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9AD98CFF-5139-44F5-A195-1FBBD0723787}"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TDSheet!$A$3:$X$2338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<sst xmlns="http://schemas.openxmlformats.org/spreadsheetml/2006/main" count="30199" uniqueCount="3250">
  <si>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</si>
  <si>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</si>
  <si>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</si>
  <si>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</si>
  <si>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</si>
  <si>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</si>
  <si>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</si>
  <si>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</si>
  <si>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</si>
  <si>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</si>
  <si>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</si>
  <si>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</si>
  <si>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</si>
  <si>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</si>
  <si>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</si>
  <si>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</si>
  <si>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</si>
  <si>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</si>
  <si>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</si>
  <si>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</si>
  <si>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</si>
  <si>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</si>
  <si>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</si>
  <si>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Peak</t>
  </si>
  <si>
    <t>KNITTED PANTS</t>
  </si>
  <si>
    <t>FW3231162-PUCB</t>
  </si>
  <si>
    <t>Брюки</t>
  </si>
  <si>
    <t>Одежда</t>
  </si>
  <si>
    <t>Спортивный стиль</t>
  </si>
  <si>
    <t>Женщины</t>
  </si>
  <si>
    <t>Женские брюки Peak Knitted Pants с лампасами - это отличный выбор для тех, кто хочет сочетать стиль и комфорт. Изготовленные из мягкой и теплой ткани, они обеспечивают максимальный комфорт в любую погоду. Лампасы вдоль боковых швов добавляют спортивный акцент к образу. Благодаря своей простоте и универсальности, женские брюки Peak Knitted Pants с лампасами с легкостью сочетаются с другой одеждой, делая ваш образ восхитительным. Брюки также имеют эластичный пояс со шнурком, что обеспечивает идеальную посадку.</t>
  </si>
  <si>
    <t>синий</t>
  </si>
  <si>
    <t>92% полиэстер, 8% спандекс</t>
  </si>
  <si>
    <t>INT</t>
  </si>
  <si>
    <t>S</t>
  </si>
  <si>
    <t>42-44</t>
  </si>
  <si>
    <t>FW3231008-BLK</t>
  </si>
  <si>
    <t>Peak KNITTED PANTS - это удобные и стильные спортивные штаны для женщин. Они выполнены из мягкого и приятного на ощупь материала, который обеспечивает комфорт и свободу движений. Штаны имеют свободный крой, эластичный пояс на шнурке и манжеты на щиколотках. Два боковых кармана обеспечивают дополнительную удобство для хранения мелочей. Яркий контрастный цвет и логотип бренда на левой штанине придают штанам эффектный вид. Peak KNITTED PANTS идеально подходят для занятий спортом, работы в спортивном клубе или просто для повседневной носки. Комфорт, свободу движений и стильный дизайн делают эти штаны незаменимой частью гардероба для активных женщин. Они могут быть сочетаны с множеством топов и худи, чтобы создать современный и стильный образ.</t>
  </si>
  <si>
    <t>черный</t>
  </si>
  <si>
    <t>74% хлопок, 26% полиэстер</t>
  </si>
  <si>
    <t>L</t>
  </si>
  <si>
    <t>46-48</t>
  </si>
  <si>
    <t>XL</t>
  </si>
  <si>
    <t>48-50</t>
  </si>
  <si>
    <t>FW3231291-BLK</t>
  </si>
  <si>
    <t>Мужчины</t>
  </si>
  <si>
    <t>Peak Knitted Pants - это стильный и удобный выбор для мужчин, которые хотят подчеркнуть свой индивидуальный стиль. Сделанные из мягкой и комфортной ткани, эти брюки идеально подходят для повседневной носки в различных условиях и погодных условиях. Логотип в виде надписи «Peak» на левой штанине придает им стильный и эффектный вид, добавляя оригинальность вашему образу. Благодаря эластичному поясу с шнурком, можно выбрать комфортную идеальную посадку на талии. Карманы на молнии обеспечивают удобное место для хранения необходимых вещей. Peak Knitted Pants - это отличный выбор для тех, кто желает комфорта и элегантности в одежде на каждый день. Это универсальные брюки, которые можно сочетать с различными верхами и обувью, чтобы создавать новые модные образы.</t>
  </si>
  <si>
    <t>92% хлопок, 8% полиэстер</t>
  </si>
  <si>
    <t>50-52</t>
  </si>
  <si>
    <t>52-54</t>
  </si>
  <si>
    <t>FW3231172-BLK</t>
  </si>
  <si>
    <t>53% хлопок, 47% полиэстер</t>
  </si>
  <si>
    <t>M</t>
  </si>
  <si>
    <t>44-46</t>
  </si>
  <si>
    <t>FW3231162-KHK</t>
  </si>
  <si>
    <t>зеленый</t>
  </si>
  <si>
    <t>WARRIOR</t>
  </si>
  <si>
    <t>Alpha Sportwear Sweat Pant YTH</t>
  </si>
  <si>
    <t>JP738110-NV</t>
  </si>
  <si>
    <t>Дети</t>
  </si>
  <si>
    <t>Спортивные брюки от фирмы Warriors, отлично подходят как для тренировок, так и для повседневной носки. Пояс со шнурком позволит вам регулировать размер. Сами по себе брюки очень легкие, поэтому создают для вас комфортную носку, плюс ко всему за счет своих материалов они приятны на ощупь.</t>
  </si>
  <si>
    <t>N/A.</t>
  </si>
  <si>
    <t>хлопок 60%; полиэстер 40%</t>
  </si>
  <si>
    <t>US</t>
  </si>
  <si>
    <t>XSB</t>
  </si>
  <si>
    <t>102-113</t>
  </si>
  <si>
    <t>HAT</t>
  </si>
  <si>
    <t>M7231010-RED</t>
  </si>
  <si>
    <t>Панама</t>
  </si>
  <si>
    <t>Аксессуары</t>
  </si>
  <si>
    <t>Головные уборы</t>
  </si>
  <si>
    <t>Унисекс</t>
  </si>
  <si>
    <t>Peak Hat - это стильная и универсальность панама, которая защитит вас от солнца и придаст вам неповторимый образ. Эта панама отличается высоким качеством материалов и внимательной проработкой деталей, чтобы вы могли наслаждаться максимальным комфортом и защитой во время активных отдыха и на пляже. Сделанная из прочного и легкого материала, Peak Hat обеспечивает хорошую вентиляцию, предотвращает перегрев и позволяет вашей голове оставаться прохладной даже в самые жаркие дни. Изящное и элегантное исполнение делает эту панаму подходящей для любого образа и события. Вместе с панамой Peak Hat вы сможете наслаждаться отдыхом на пляже, гулять по городу или заниматься спортом, зная, что ваша голова защищена от вредных солнечных лучей. Панама также легко складывается и помещается в сумку или рюкзак, что делает ее удобной и практичной в использовании. Независимо от того, какой сезон или место вы выбираете для отдыха, Peak Hat будет незаменимым аксессуаром, добавляющим стиль и защиту в вашем образе. Выражайте свою индивидуальность и наслаждайтесь комфортом с Peak Hat - панамой, которая будет с вами во всех приключениях.</t>
  </si>
  <si>
    <t>красный</t>
  </si>
  <si>
    <t>100% хлопок</t>
  </si>
  <si>
    <t>Tech size</t>
  </si>
  <si>
    <t>Onesize</t>
  </si>
  <si>
    <t>_</t>
  </si>
  <si>
    <t>Lee Cooper</t>
  </si>
  <si>
    <t>EMMA Mom Jeans</t>
  </si>
  <si>
    <t>MT4B116877AS2LC1-DW</t>
  </si>
  <si>
    <t>Джинсы</t>
  </si>
  <si>
    <t>Casual</t>
  </si>
  <si>
    <t>Женские джинсы Lee Cooper Mom Emma из денима с винтажными потертостями. Выполнены из  хлопка с добавлением эластана для комфорта движения. Свободный крой от бедра, высокая посадка на талии. Ширинка на молнии. Классический стиль с пятью карманами. Фирменный лейбл и зигзагообразные строчки на задних карманах.</t>
  </si>
  <si>
    <t>темно-синий</t>
  </si>
  <si>
    <t>98% хлопок, 2% эластан</t>
  </si>
  <si>
    <t>28</t>
  </si>
  <si>
    <t>29</t>
  </si>
  <si>
    <t>30</t>
  </si>
  <si>
    <t>Ecco</t>
  </si>
  <si>
    <t>ECCO EXOSTRIDE M</t>
  </si>
  <si>
    <t>835344-01001</t>
  </si>
  <si>
    <t>Ботинки</t>
  </si>
  <si>
    <t>Обувь</t>
  </si>
  <si>
    <t>Зимняя обувь</t>
  </si>
  <si>
    <t>В демисезонных мужских ботинках из натуральной кожи или нубука ECCO EXOSTRIDE M покорятся любые высоты.
Двухкомпонентная подошва из легкого и гибкого полиуретана и износостойкой резины гарантирует усиленное сцепление на влажных и скользких поверхностях. Текстильная шнуровка хорошо регулирует посадку обуви по ноге, снижая нагрузку на суставы. Утепленная подкладка PrimaLoft защищает ноги от холода в любую погоду.
В дизайне ботинок сочетается сразу несколько трендов: скрытая шнуровка, рельефная подошва и наружная защита пятки. Спокойные цвета модели гармонично смотрятся со спортивной и повседневной одеждой.
Технология ECCO FLUIDFORM формирует анатомически правильную подошву для исключительной стабильности и амортизации во время ходьбы. Уникальный пяточный амортизатор ECCO SHOCK THRU смягчает удар при касании. Специальная пропитка ECCO HYDROMAX делает кожу абсолютно водонепроницаемой до 10 часов и сохраняет ее мягкой и дышащей.</t>
  </si>
  <si>
    <t>Primaloft. Утеплитель.; ECCO Hydromax. Водоотталкивающий материал.</t>
  </si>
  <si>
    <t>Демисезон</t>
  </si>
  <si>
    <t>материал верха кожа яка, материал подкладки текстиль primaloft</t>
  </si>
  <si>
    <t>EUR</t>
  </si>
  <si>
    <t>40</t>
  </si>
  <si>
    <t>Billabong</t>
  </si>
  <si>
    <t>PODIUM TRUCKER</t>
  </si>
  <si>
    <t>W5CT01BIP1-0019</t>
  </si>
  <si>
    <t>Кепка</t>
  </si>
  <si>
    <t>Кепки</t>
  </si>
  <si>
    <t>100% полиэстер</t>
  </si>
  <si>
    <t>1SZ</t>
  </si>
  <si>
    <t>SURF CAPSULE LS</t>
  </si>
  <si>
    <t>EBJWR03026-BQT0</t>
  </si>
  <si>
    <t>Рашгард</t>
  </si>
  <si>
    <t>Купальные костюмы</t>
  </si>
  <si>
    <t>Плавание</t>
  </si>
  <si>
    <t>82% полиэстер, 18% эластан</t>
  </si>
  <si>
    <t>XS/6</t>
  </si>
  <si>
    <t>S/8</t>
  </si>
  <si>
    <t>M/10</t>
  </si>
  <si>
    <t>L/12</t>
  </si>
  <si>
    <t>Joss</t>
  </si>
  <si>
    <t>Girls' swimsuit</t>
  </si>
  <si>
    <t>A19AJSWSK01-QW</t>
  </si>
  <si>
    <t>Купальник</t>
  </si>
  <si>
    <t>голубой</t>
  </si>
  <si>
    <t>80% полиамид, 20% эластан</t>
  </si>
  <si>
    <t>СМ</t>
  </si>
  <si>
    <t>104</t>
  </si>
  <si>
    <t>Martyn Bal</t>
  </si>
  <si>
    <t>Martyn Bal down jacket</t>
  </si>
  <si>
    <t>FBS2345BJ</t>
  </si>
  <si>
    <t>Пуховик</t>
  </si>
  <si>
    <t>Куртки и пуховики</t>
  </si>
  <si>
    <t>Стильный функциональный пуховик от бренда Martyn Bal создан специально для суровых погодных условий. 
Верх из практичного полиэстера с добавлением нейлона, прочная несъемная подкладка. 
Кулиска с утяжкой на поясе позволяет регулировать размер. 
В качестве утеплителя использован натуральный гусиный пух с минимальным содержанием перьев. 
Объемный капюшон имеет роскошную отделку натуральным мехом енота. Капюшон крепится к воротнику с помощью молнии, поэтому при желании его можно отстегнуть. Мех крепится к капюшону на кнопки, поэтому его также при необходимости можно снять. 
Пуховик застегивается на молнию с двумя бегунками, что позволяет быстро расстегивать его также и снизу. Ветрозащитный клапан поверх молнии застегивается на кнопки, обеспечивая дополнительную защиту от проникновения ветра. 
Двойные карманы с клапанами на кнопках подходят для хранения важных мелочей и для согрева рук. 
Пуховик имеет также внутренний карман на молнии с левой стороны для хранения документов, мобильного или бумажника. 
Рукава с внутренними манжетами завершают теплый зимний образ. 
Параметры модели на фото (размер L): рост 183, грудь 104 см, талия 80 см, бедра 97 см</t>
  </si>
  <si>
    <t>бежевый</t>
  </si>
  <si>
    <t>верх 95% полиэстер, 5% нейлон, подкладка 100% полиэстер, наполнитель 80% пух, 20% перо, отделка капюшона мех (енот)</t>
  </si>
  <si>
    <t>(100/L)</t>
  </si>
  <si>
    <t>FBS2345HK</t>
  </si>
  <si>
    <t>FBS2345NV</t>
  </si>
  <si>
    <t>FBS2345BL</t>
  </si>
  <si>
    <t>KNITTED BASEBALL JACKET</t>
  </si>
  <si>
    <t>FW6231202-KHK</t>
  </si>
  <si>
    <t>Куртка</t>
  </si>
  <si>
    <t>Женский бомбер Peak Knitted Baseball Jacket - это стильная и удобная куртка от марки Peak, которая сочетает в себе элегантный дизайн и высокое качество. Изготовленная из мягкого и прочного трикотажного материала, эта куртка обеспечивает комфорт и тепло во время ношения.
Бомбер Peak Knitted Baseball Jacket имеет классический дизайн с воротником "бейсболка" и застежкой на молнию, что придает ей стильный и современный вид. Она легко сочетается с различными стилями одежды и подходит как для повседневных образов, так и для более формальных случаев.
Куртка имеет отличную посадку и эластичность, что обеспечивает свободу движений. Она также отлично сидит по фигуре и создает женственный силуэт. Бомбер имеет эластичные манжеты и подол, которые обеспечивают идеальное прилегание, а также дополнительную защиту от холодного воздуха.
Peak Knitted Baseball Jacket доступен в различных цветах, позволяя вам выбрать наиболее подходящий вариант для вашего стиля и предпочтений. Он также дополнен элегантными деталями, такими как логотип марки и другие декоративные элементы, которые добавляют шарма и индивидуальности.
Эта куртка выполнена из качественных материалов, что обеспечивает ее долговечность и сохранение первоначального вида даже после многократной стирки. Она будет отличным дополнением к вашему гардеробу и прослужит вам верой и правдой в течение длительного времени.
Оденьте женский бомбер Peak Knitted Baseball Jacket и наслаждайтесь комфортом, стилем и функциональностью в вашем повседневном образе.</t>
  </si>
  <si>
    <t>52,8% хлопок, 47,2% полиэстер</t>
  </si>
  <si>
    <t>B.L.E.S</t>
  </si>
  <si>
    <t>Coat Crea</t>
  </si>
  <si>
    <t>21037</t>
  </si>
  <si>
    <t>Пальто</t>
  </si>
  <si>
    <t>Пальто из шерсти и кашемира Crea</t>
  </si>
  <si>
    <t>Шерсть 90%, Кашемир 10%</t>
  </si>
  <si>
    <t>46</t>
  </si>
  <si>
    <t>Xtep</t>
  </si>
  <si>
    <t>Basketball arena competition athletic performance</t>
  </si>
  <si>
    <t>977119120018-7683</t>
  </si>
  <si>
    <t>Кроссовки</t>
  </si>
  <si>
    <t>Обувь для спорта</t>
  </si>
  <si>
    <t>Баскетбол</t>
  </si>
  <si>
    <t>Xtep Basketball Arena Competition Athletic Performance - это баскетбольные кроссовки высокого качества, разработанные для улучшения производительности баскетболистов на площадке. Эти кроссовки имеют прочную и легкую конструкцию, которая обеспечивает устойчивость и комфорт во время бега, прыжков и других действий на площадке.
Кроссовки Xtep Basketball Arena Competition Athletic Performance оснащены подошвой, которая обеспечивает хорошую амортизацию и сцепление с поверхностью. Это позволяет баскетболистам быстро передвигаться по площадке, делать резкие повороты и торможения.
Верхняя часть кроссовок выполнена из прочных и дышащих материалов, что позволяет ногам дышать и оставаться сухими в течение всей игры. Кроме того, кроссовки имеют эргономичную форму для оптимальной поддержки стопы и предотвращения травм.</t>
  </si>
  <si>
    <t>Текстиль 40%, 60% резина</t>
  </si>
  <si>
    <t>44</t>
  </si>
  <si>
    <t>45</t>
  </si>
  <si>
    <t>Running run comfortably athletic performance</t>
  </si>
  <si>
    <t>977119110011-A357</t>
  </si>
  <si>
    <t>Бег и Фитнес</t>
  </si>
  <si>
    <t>Мужские кроссовки Xtep Running run comfortably athletic performance - это идеальный выбор для тех, кто ищет комфорт и высокую производительность во время занятий спортом. Кроссовки сделаны из высококачественных материалов, которые обеспечивают комфорт и поддержку для стопы. Они имеют легкий дизайн и дышащую сетчатую верхнюю часть, которая обеспечивает защиту и поддержку для ног и стопы. Кроссовки также имеют амортизирующую систему, которая помогает смягчить удары во время бега и тренировок. Прочная резиновая подошва обеспечивает противоскользящий эффект и предотвращает возможные повреждения обуви. Они имеют легкую систему шнуровки, которая позволяет легко регулировать размер и облегчает использование. Кроссовки Xtep Running run comfortably athletic performance доступны в различных размерах и цветах, что обеспечивает возможность выбора соответствующей модели каждому мужчине. Идеально подходят для любого вида спорта, включая бег, ходьбу и многие другие. Эти кроссовки обеспечивают комфорт, поддержку и стильный внешний вид, что делает их идеальным выбором для любого лучшего гардероба фитнес-любителя.</t>
  </si>
  <si>
    <t>42</t>
  </si>
  <si>
    <t>43</t>
  </si>
  <si>
    <t>CUSHION RUNNING SHOES</t>
  </si>
  <si>
    <t>E231058H-BLWH</t>
  </si>
  <si>
    <t>Peak RETRO CASUAL SHOES - это модные и комфортные женские кроссовки, которые подойдут как для повседневной носки, так и для занятий спортом. Изготовленные из качественных материалов, они имеют дышащую верхнюю часть из сетки и прочную резиновую подошву. Кроссовки имеют стильный дизайн, который сочетает в себе класические элементы и современные тренды. Они также обладают амортизирующей подошвой, которая обеспечивает удобство и поддержку во время активной носки. Идеально подходят для любительниц комфортной и стильной обуви.</t>
  </si>
  <si>
    <t>ВЕРХ: 90% полиэстер, 10% полиуретан  ПОДКЛАДКА: 100% полиэстер НИЗ: 100% ЭВА</t>
  </si>
  <si>
    <t>37</t>
  </si>
  <si>
    <t>E231138H-WHT</t>
  </si>
  <si>
    <t>Мужские кроссовки Peak E231138H-GGR - идеальный выбор для повседневной носки. Эти кроссовки отличаются стильным дизайном и комфортом, делая их идеальными для активных мужчин, желающих выглядеть модно и чувствовать себя комфортно в любой ситуации.
Верхняя часть кроссовок изготовлена из прочных материалов, которые обеспечивают превосходную прочность и долговечность. Они также обладают отличной вентиляцией, позволяющей ногам оставаться свежими даже в течение длительного времени. Кроссовки имеют удобную систему шнуровки, которая обеспечивает плотное прилегание и поддержку стопы.
Подошва кроссовок Peak E231138H-GGR обеспечивает отличное сцепление с поверхностью и амортизацию во время ходьбы. Она также обладает хорошим смягчением ударов, что помогает снизить нагрузку на ноги и суставы. Кроссовки имеют устойчивую конструкцию, обеспечивая комфорт и уверенность в каждом шаге.
Дизайн кроссовок Peak E231138H-GGR является современным и элегантным. Они доступны в различных цветовых вариантах, позволяя мужчинам выбирать кроссовки, которые соответствуют их индивидуальному стилю и предпочтениям.
Независимо от того, куда вы направляетесь - на прогулку по городу, в спортзал или на тренировку, мужские кроссовки Peak E231138H-GGR обеспечат комфорт и стиль во время каждого шага. Будь то повседневная носка или активные физические нагрузки, эти кроссовки позволяют вам чувствовать себя уверенно и выглядеть модно в любой ситуации.</t>
  </si>
  <si>
    <t>белый</t>
  </si>
  <si>
    <t>ВЕРХ: 90% полиэстер, 10% полиуретан  ПОДКЛАДКА: 100% полиэстер НИЗ: 80% ЭВА, 20% резина</t>
  </si>
  <si>
    <t>39</t>
  </si>
  <si>
    <t>RUNNING SHOES</t>
  </si>
  <si>
    <t>E231157H-BLU</t>
  </si>
  <si>
    <t>Peak RUNNING SHOES - это высококачественные мужские беговые кроссовки, которые обеспечивают оптимальный комфорт и производительность во время бега. Изготовленные из дышащих материалов, они имеют легкую верхнюю часть из сетки и специальную амортизирующую подошву, которая обеспечивает оптимальное смягчение ударов. Кроссовки обеспечивают правильную поддержку ноги благодаря уникальной технологии, которая гарантирует устойчивость и комфорт во время бега. Дизайн кроссовок сочетает в себе современный стиль и высокую функциональность, позволяющую получать максимальный эффект от занятий спортом. Идеальны для любителей бега и профессионалов, которые стремятся к высоким результатам и заботятся о своем комфорте во время занятий спортом.</t>
  </si>
  <si>
    <t>ВЕРХ: 100% ПОЛИЭСТЕР ПОДКЛАДКА: 100% ПОЛИЭСТЕР НИЗ: 80% ЭВА, 20% РЕЗИНА</t>
  </si>
  <si>
    <t>E231127H-BLSL</t>
  </si>
  <si>
    <t>Мужские кроссовки Peak Cushion Running Shoes - это идеальный выбор для активных мужчин, которые ценят комфорт и функциональность во время бега или других физических нагрузок. Эти кроссовки сделаны из высококачественных материалов, обеспечивающих отличную поддержку и амортизацию.
Верх кроссовок выполнен из прочной и дышащей сетчатой ткани, которая позволяет ногам дышать и остаться свежими во время тренировок. Кроссовки также оснащены плотной шнуровкой, которая обеспечивает надежную посадку и поддержку стопы.
Одна из ключевых особенностей этих кроссовок - это подошва с системой Peak Cushioning. Она предлагает превосходную амортизацию и смягчение ударов при беге или выполнении других физических упражнений. Эта система внедрена в пятку и переднюю часть подошвы, чтобы снизить нагрузку на суставы и предотвратить возможные повреждения.
Кроссовки Peak Cushion Running Shoes также имеют прочную и гибкую подошву, обеспечивающую отличное сцепление с поверхностью. Это позволяет бегунам чувствовать себя уверенно и безопасно на любом типе трассы.
Дизайн кроссовок строгий и элегантный. Они предлагают классический спортивный стиль с неброской цветовой гаммой и деталями бренда Peak. Это делает их легкими для сочетания с любыми спортивными или повседневными нарядами.
В целом, мужские кроссовки Peak Cushion Running Shoes - это высококачественные, комфортные и функциональные обувь, идеально подходящая для бега или других видов физической активности. Они предлагают отличное сочетание амортизации, поддержки и стиля, позволяя мужчинам достичь лучших спортивных результатов и ощущать комфорт во время тренировок.</t>
  </si>
  <si>
    <t>ВЕРХ: 100% полиэстер ПОДКЛАДКА: 100% полиэстер НИЗ: 90% ЭВА, 5% резина, 5% ТПУ</t>
  </si>
  <si>
    <t>Running Power run athletic performance</t>
  </si>
  <si>
    <t>977118110006-D952</t>
  </si>
  <si>
    <t>Женские кроссовки Xtep Running Power Run Athletic Performance - это идеальный выбор для активных женщин, стремящихся достичь лучших результатов в своей спортивной деятельности. Кроссовки сочетают в себе высокое качество материалов и инновационные технологии, чтобы обеспечить максимальный комфорт и поддержку во время бега и тренировок.
Одной из ключевых особенностей Xtep Running Power Run является удивительная легкость, которая позволяет ноге свободно двигаться и чувствовать себя комфортно на протяжении всей тренировки. Верхняя часть кроссовок изготовлена из дышащих материалов, которые обеспечивают идеальную вентиляцию, предотвращая излишнее потоотделение и сохраняя свежесть ног.
Кроме того, Xtep Running Power Run обладает уникальной подошвой, которая обеспечивает превосходное сцепление и амортизацию. Это позволяет бегунье чувствовать себя уверенно на любом типе поверхности, минимизируя риск скольжения и травмирования.
Независимо от того, занимаетесь ли вы бегом на долгие дистанции или проводите интенсивные тренировки, женские кроссовки Xtep Running Power Run Athletic Performance обеспечат вам поддержку и комфорт на каждом шагу. Их стильный дизайн и разнообразие цветовых вариантов добавят штрих современности и элегантности в ваш спортивный гардероб.</t>
  </si>
  <si>
    <t>верх: 100% полиэстер подкладка: 100% полиэстер низ: 60% тпу, 40% резина</t>
  </si>
  <si>
    <t>977118110053-6851</t>
  </si>
  <si>
    <t>Женские кроссовки Xtep Running Run Comfortably Athletic Performance - это прекрасный выбор для женщин, которые ценят комфорт и производительность во время бега и физических упражнений. Эти кроссовки сочетают в себе удобство, стиль и инновационные технологии, чтобы обеспечить вам невероятное удовольствие от активной деятельности.
Одной из главных особенностей Xtep Running Run Comfortably является высокие степень амортизации и поддержки, которые позволяют смягчить удары при каждом шаге и снизить утомляемость ног. Благодаря этому, вы сможете бегать или тренироваться более долгое время, не испытывая дискомфорта.
Уникальная контурная форма кроссовок идеально подходит для женской ноги, обеспечивая комфортную посадку и поддержку во время движения. Они также имеют дышащий верх из качественных материалов, который улучшает вентиляцию и предотвращает перегрев ног во время тренировок.
Надежная резиновая подошва с протектором обеспечивает отличное сцепление с различными поверхностями, обеспечивая вам уверенность и стабильность во время бега или тренировки. Благодаря своей легкости, эти кроссовки также помогают снизить утомление ног, позволяя вам наслаждаться активностью без ненужного дискомфорта.
Женские кроссовки Xtep Running Run Comfortably Athletic Performance - это идеальное сочетание стиля, комфорта и производительности, которые подойдут как для профессиональных спортсменок, так и для любителей активного образа жизни. Они подчеркнут вашу индивидуальность и помогут достигнуть ваших спортивных целей.</t>
  </si>
  <si>
    <t>верх: 100% полиэстер подкладка: 100% полиэстер низ: 96% эва, 4% тпу</t>
  </si>
  <si>
    <t>977119110027-6394</t>
  </si>
  <si>
    <t>977119110066-6954</t>
  </si>
  <si>
    <t>Мужские кроссовки Xtep Running Run Comfortably Athletic Performance - это идеальный выбор для мужчин, которые ценят комфорт и производительность во время своих беговых тренировок и физических упражнений. Эти кроссовки предлагают идеальное сочетание удобства, стиля и передовых технологий, чтобы обеспечить вам максимальное удовольствие и результаты в тренировках.
Xtep Running Run Comfortably обладает превосходной амортизацией и поддержкой, которая поможет смягчить удары и снизить риск травмирования ног при тренировках на жестких поверхностях. Вам не придется беспокоиться о дискомфорте или утомлении во время бега или других физических активностей.
Кроссовки также обладают отличной посадкой на ноге благодаря своей эргономичной форме и легкому материалу верхней части. Это не только обеспечивает комфортный и надежный фит, но и обеспечивает хорошую вентиляцию, предотвращая излишнюю потливость и сохраняя свежесть ног.
Специальная резиновая подошва с протектором обеспечивает отличное сцепление с поверхностью, обеспечивая уверенность и стабильность во время тренировок. Вы сможете бегать на различных типах поверхностей безопасно и без проблем.
Стильный и современный дизайн кроссовок Xtep Running Run Comfortably Athletic Performance добавит элегантности и стиля в ваш спортивный гардероб. Вы будете выглядеть модно и уверенно, даже во время самых интенсивных тренировок.
Мужские кроссовки Xtep Running Run Comfortably Athletic Performance - это идеальный выбор для мужчин, которые ценят комфорт и производительность. Они обеспечат вам не только комфортную поддержку при беге и тренировках, но и будут отличным стилистическим акцентом в вашем спортивном образе.</t>
  </si>
  <si>
    <t>верх: 100% полиэстер подкладка: 100% полиэстер низ: 100% эва</t>
  </si>
  <si>
    <t>FASHION CASUAL SHOES</t>
  </si>
  <si>
    <t>ET31507E-WBU</t>
  </si>
  <si>
    <t>Повседневная обувь</t>
  </si>
  <si>
    <t>Мужские кроссовки Peak Fashion Casual Shoes представляют собой идеальный микс трендов и комфорта в повседневной обуви. Изготовленные из высококачественных материалов, эти кроссовки обеспечивают длительный срок использования и комфортность.
Модель Fashion Casual Shoes имеет легкий и прочный верх, который обеспечивает хорошую вентиляцию и поддержку стопы. Они также имеют удобную промежуточную подошву, которая обеспечивает поддержку и защиту стопы во время ходьбы. Надежная резиновая подошва обеспечивает отличное сцепление с поверхностью и устойчивость в любых условиях.
Peak Fashion Casual Shoes отлично подходят для повседневных дел, торговых поездок и прогулок по городу. Эти кроссовки сочетают в себе стильный дизайн, высокую производительность и комфортность. Если вы ищете альтернативу классической обуви, то Peak Fashion Casual Shoes – это именно то, что вам нужно.</t>
  </si>
  <si>
    <t>ВЕРХ: 70% полиуретан, 30% полиэстер ПОДКЛАДКА: 100% полиэстер НИЗ: 80% ЭВА, 20% резина</t>
  </si>
  <si>
    <t>Retro 70 series sports life</t>
  </si>
  <si>
    <t>977118320031-D955</t>
  </si>
  <si>
    <t>Женские кроссовки Xtep Retro 70 series sports life сочетают в себе стильный дизайн и комфорт. Верхний материал выполнен из прочной сетки и кожи, которые обеспечивают хорошую вентиляцию ног и защищают их от внешних воздействий. Подкладка кроссовок изогнута анатомически, что позволяет повторить форму стопы и обеспечить дополнительный комфорт.
Кроссовки оснащены современными замшевыми вставками, амортизирующей подошвой и технологией арочной поддержки, которая обеспечивает устойчивость и поддержку стопы во время физических нагрузок. Резиновая подошва с нескользящим протектором обеспечивает надежное сцепление с поверхностью, что делает эти кроссовки идеальными для занятий спортом и активного образа жизни.</t>
  </si>
  <si>
    <t>38</t>
  </si>
  <si>
    <t>977118320035-8619</t>
  </si>
  <si>
    <t>977118320035-F038</t>
  </si>
  <si>
    <t>Street Classic sneakers series sports life</t>
  </si>
  <si>
    <t>977118310037-F186</t>
  </si>
  <si>
    <t>Женские высокие кеды Xtep Street Classic Sneakers Series Sports Life - это идеальный выбор для любителей уличной моды и активного образа жизни. Эти кеды сочетают в себе стильный дизайн и высокий уровень комфорта. Верхний материал выполнен из прочной кожи и искусственных материалов, которые обеспечивают дополнительную поддержку и защиту ног во время ношения. Внутренняя подкладка выполнена из мягкого материала, который обеспечивает ощущение комфорта и защищает ноги от натирания. Кроссовки Xtep Street Classic Sneakers Series Sports Life также оснащены прочной и износостойкой резиновой подошвой, которая обеспечивает надежное сцепление с любой поверхностью и защищает стопу от случайных травм. Дополнительные преимущества включают в себя удобную шнуровку, что обеспечивает идеальную посадку на стопе, а также встроенную амортизацию и технологию арочной поддержки для повышения уровня комфорта и уменьшения усталости во время длительных прогулок или физических нагрузок.</t>
  </si>
  <si>
    <t>977118310037-9071</t>
  </si>
  <si>
    <t>Street Street shoes series sports life</t>
  </si>
  <si>
    <t>977118310083-B611</t>
  </si>
  <si>
    <t>Женские кроссовки Xtep Street Shoes Series Sports Life сочетают в себе стильный дизайн и высокий уровень комфорта, что делает их идеальным выбором для повседневной носки и занятий спортом. Эти кроссовки выполнены из качественных материалов, которые обеспечивают дополнительную защиту и комфорт стопе.
Верхняя часть кроссовок выполнена из дышащих материалов, что делает их легкими и удобными для носки в любое время года. Внутренняя подкладка и стелька выполнены из мягких материалов, что обеспечивает дополнительный комфорт при ношении.
Кроссовки Xtep Street Shoes Series Sports Life также оснащены прочной и износоустойчивой резиновой подошвой, которая обеспечивает надежное сцепление с поверхностью и уменьшает риск травм. Дополнительно, они имеют технологию арочной поддержки и встроенную амортизацию, что повышает уровень комфорта и снижает усталость во время физических нагрузок.
Кроссовки Xtep Street Shoes Series Sports Life представлены в стильном дизайне и различных цветовых вариантах, что позволяет выбрать обувь под свой индивидуальный стиль. Они идеально подходят для повседневной носки</t>
  </si>
  <si>
    <t>розовый</t>
  </si>
  <si>
    <t>977118320031-B797</t>
  </si>
  <si>
    <t>35</t>
  </si>
  <si>
    <t>Retro Daddy series sports life</t>
  </si>
  <si>
    <t>977119320032-F665</t>
  </si>
  <si>
    <t>Мужские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</si>
  <si>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серый</t>
  </si>
  <si>
    <t>ECCO BIOM 2.1 X COUNTRY M</t>
  </si>
  <si>
    <t>822834-51052</t>
  </si>
  <si>
    <t>Отправляйся покорять неизведанное в мужских кроссовках из текстиля ECCO BIOM 2.1 X COUNTRY. Анатомическая подошва и водозащитная мембрана делают пару идеальной обувью для хайкинга и трейлраннинга.
Подошва дополнена резиновым протектором ECCO PERFORMANCE RUBBER+ для исключительного сцепления. Посадка кроссовок легко регулируется шнуровкой.
Четкие линии, геометричный декор, крупная подошва и сглаженный силуэт верха передают идею динамики и скорости движения. 
Съемные стельки OrthoLite UltraLite поддерживают стопу и амортизируют. Технология BIOM NATURAL MOTION формирует уникальную колодку для максимально естественного движения. Мембранный слой GORE-TEХ на 100% защищает от влаги и ветра, сохраняя ноги теплыми и сухими. Технология ECCO FLUIDFORM позволяет получить анатомически правильную подошву и бесшовно соединить ее с верхом. Подошва модели изготовлена из сверхлегкого материала ECCO PHORENE, вес которого на треть меньше обычного полиуретана, а амортизация при этом в два раза выше.</t>
  </si>
  <si>
    <t>верх текстиль/искусственная кожа, подкладка текстиль, стелька текстиль/пеноматериал, подошва форин/резина</t>
  </si>
  <si>
    <t>RETRO CASUAL SHOES</t>
  </si>
  <si>
    <t>E231002E-IYE</t>
  </si>
  <si>
    <t>желтый</t>
  </si>
  <si>
    <t>ВЕРХ: 65% полиуретан, 35% полиэстер ПОДКЛАДКА: 100% полиэстер НИЗ: 90% ЭВА, 10% резина</t>
  </si>
  <si>
    <t>977118310083-6435</t>
  </si>
  <si>
    <t>977118320041-0200</t>
  </si>
  <si>
    <t>Женские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</si>
  <si>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977118310037-6431</t>
  </si>
  <si>
    <t>ET31507E-OWBL</t>
  </si>
  <si>
    <t>Retro 80 series sports life</t>
  </si>
  <si>
    <t>977119320023-0200</t>
  </si>
  <si>
    <t>Мужские кроссовки Xtep Retro 80 series sports life - это стильная, качественная и комфортная обувь для занятий спортом и повседневной носки. Эти кроссовки объединяют в себе технологичный дизайн и современные технологии, которые делают обувь удобной и функциональной.
Верх кроссовок выполнен из дышащих материалов, что обеспечивает комфортную вентиляцию ног. Мягкая и удобная подкладка создает ощущение комфорта и поддержки ноги. В сочетании с уникальной протекторной конструкцией, эти кроссовки обеспечивают отличное сцепление с поверхностью.
Кроссовки Xtep Retro 80 series sports life также оснащены дополнительными функциональными элементами, такими как встроенная амортизация и технология арочной поддержки. Эти технологии позволяют снизить утомление ног и повысить уровень комфорта во время физических нагрузок.
Дополнительно, кроссовки Xtep Retro 80 series sports life имеют легкую и прочную подошву, которая обеспечивает амортизацию и увеличенную долговечность, что делает их идеальным выбором для занятий спортом и повседневной носки. Они также имеют прочные шнуровки, которые обеспечивают идеальную посадку на стопе.</t>
  </si>
  <si>
    <t>41</t>
  </si>
  <si>
    <t>ECCO TERRACRUISE II M</t>
  </si>
  <si>
    <t>843064-51052</t>
  </si>
  <si>
    <t>Мужские ботинки ECCO TERRACRUISE II -  идеальный выбор для активного отдыха и повседневной носки. Эта модель обуви сочетает в себе стильный дизайн, технологичность и комфорт. Верх ботинка изготовлен из высококачественных синтетических материалов и текстиля, что обеспечивает прочность и долговечность. Климатическая мембрана GORE-TEX обеспечивает воздухопроницаемость, препятствует проникновению воды внутрь ботинка и отводит влагу изнутри, сохраняя ощущение сухости и комфорта при любой погоде. Удобная анатомическая подошва ECCO FLUIDFORM полностью повторяет естественные изгибы стопы, сохраняя баланс мягкости и упругости для исключительного комфорта и полной свободы движения. Бесшовный метод крепления подошвы к верху позволяет сделать место стыка водонепроницаемым и особенно прочным на сгибе.
Эластичная система быстрой шнуровки для исключительного комфорта и естественной посадки.
Съемная стелька обеспечивает циркуляцию воздуха и поддерживает оптимальный климат для ноги, а также амортизацию и поддержку в течение всего дня. Эти ботинки идеальны для любого вида активностей на открытом воздухе, будь то лёгкий трекинг, прогулки по городу или ежедневные поездки.</t>
  </si>
  <si>
    <t>текстиль</t>
  </si>
  <si>
    <t>977119310033-F083</t>
  </si>
  <si>
    <t>Мужские высокие кеды Xtep Street Classic Sneakers Series Sports Life - это идеальный выбор для любителей уличной моды и активного образа жизни. Эти кеды сочетают в себе стильный дизайн и высокий уровень комфорта. Верхний материал выполнен из прочной кожи и искусственных материалов, которые обеспечивают дополнительную поддержку и защиту ног во время ношения. Внутренняя подкладка выполнена из мягкого материала, который обеспечивает ощущение комфорта и защищает ноги от натирания. Кроссовки Xtep Street Classic Sneakers Series Sports Life также оснащены прочной и износостойкой резиновой подошвой, которая обеспечивает надежное сцепление с любой поверхностью и защищает стопу от случайных травм. Дополнительные преимущества включают в себя удобную шнуровку, что обеспечивает идеальную посадку на стопе, а также встроенную амортизацию и технологию арочной поддержки для повышения уровня комфорта и уменьшения усталости во время длительных прогулок или физических нагрузок.</t>
  </si>
  <si>
    <t>CULTURE SHOES</t>
  </si>
  <si>
    <t>E231437B-WBL</t>
  </si>
  <si>
    <t>Peak - это модные и функциональные высокие кеды для мужчин, которые обеспечивают комфорт и надежность при ношении. Кеды выполнены из дышащего материала, который не сковывает движений и обеспечивает постоянное чувство свежести и комфорта.
Высокая форма кедов обеспечивает надежное крепление голени и высокую степень поддержки ноги во время ходьбы. Они также оснащены литой подошвой, которая позволяет устойчиво стоять на любой поверхности.
Peak - это универсальные кеды, которые могут использоваться как для повседневной носки, так и для активного образа жизни. Стильный и лаконичный дизайн позволяет сочетать их с любой одеждой, а обилие цветовых решений позволяет выбирать необходимый вариант для каждого случая.</t>
  </si>
  <si>
    <t>верх: 90% полиуретан, 10% полиэстер, подкладка: 100% полиэстер, подошва: 100% ЭВА</t>
  </si>
  <si>
    <t>977118310035-6353</t>
  </si>
  <si>
    <t>ВЕРХ: 95% ПОЛИУРЕТАН, 5% ПОЛИЭСТЕР ПОДКЛАДКА: 100% ПОЛИЭСТЕР НИЗ: 100% ЭВА</t>
  </si>
  <si>
    <t>977118310071-0200</t>
  </si>
  <si>
    <t>977119320023-F207</t>
  </si>
  <si>
    <t>977119320038-0200</t>
  </si>
  <si>
    <t>ECCO ULT-TRN M</t>
  </si>
  <si>
    <t>824254-56665</t>
  </si>
  <si>
    <t>ХИТ</t>
  </si>
  <si>
    <t>Мужские кроссовки ECCO ULT-TRN M с эргономичной сверхлегкой подошвой смотрятся органично не только на природе, но и на городских улицах. Эффект многослойности и использование материалов разных фактур делает верх объемнее и современнее. Изготовлены из натурального нубука по экологичной технологии ECCO DriTan. Этот материал устойчив к внешнему воздействию и прост в уходе, поэтому кроссовки надолго сохранят превосходный внешний вид. 
Сетчатый текстиль идеален для спортивной обуви: он легкий, тонкий и дышащий, поэтому ноги не перегреваются и меньше потеют даже при интенсивных нагрузках. 
Инновационная мембрана Waterproof не допускает промокания верха и отводит испарения изнутри, сохраняя ноги сухими в любую погоду
Подкладка из мягкого текстиля поддерживает комфортный внутренний микроклимат. 
Уникальная сверхлегкая подошва ECCO PHORENE обладает повышенной амортизацией и гибкостью. Супинатор в зоне пятки улучшает стабильность шага и снижает ударную нагрузку. Самоочищающийся резиновый протектор Michelin имеет разнонаправленный глубокий рисунок и две зоны устойчивости для уверенного и безопасного движения даже на сложных трейлах.
Инновационная технология ECCO FLUIDFORM формирует анатомически правильную подошву в соответствии с естественными контурами стопы. Подошва крепится к верху модели без клея и швов, поэтому получается гибкой, мягкой и прочной.</t>
  </si>
  <si>
    <t>Waterproof. Водооталкивающий материал.</t>
  </si>
  <si>
    <t>промасленный нубук</t>
  </si>
  <si>
    <t>BIOM 2.1 X MOUNTAIN M</t>
  </si>
  <si>
    <t>823874-50869</t>
  </si>
  <si>
    <t>Универсальная модель мужских кроссовок ECCO BIOM 2.1 X MOUNTAIN M подойдёт как для городской среды, так и для горных трейлов и пеших походов. Всё дело в амортизирующей конструкции подошвы ECCO FLUIDFORM и технологии BIOM NATURAL MOTION, которые дарят естественное движение без усталости, сколько бы километров ни было за плечами, а резиновые шипы EPR+ подарят устойчивость на любой поверхности. Тёплая флисовая подкладка Primaloft 200 согреет при небольшом морозе, чтобы защитить ноги от перепада температур на разных высотах в горах или в изменчивых погодных условиях межсезонья.
Стильный монохромный дизайн в стиле датского минимализма дополнит образ в повседневном или спортивном стиле для любого повода. Энергичный и динамичный облик модели достигается за счёт комбинации разных материалов и необычной фактуры. Идеальный выбор для города, активного отдыха на природе, горных прогулок или всего сразу!
Лёгкая подошва из материала ECCO PHORENE не утяжеляет шаг и сохраняет свою упругость и амортизацию при низких температурах и в мороз. Резиновый протектор с разнонаправленными шипами ECCO PERFORMANCE RUBBER+ справится даже со сложными поверхностями гор и каменистых трейлов и подарит устойчивое и стабильное движение.
Анатомическая колодка ECCO FLUIDFORM равномерно загружает стопу, снижая при этом усталость при интенсивных нагрузках. Технология BIOM NATURAL MOTION подключает те мышцы и связки, которые обычно участвуют в движении босиком, усиливая естественность шага, чтобы обувь ощущалась как продолжение ноги.
Верх из роскошной натуральной кожи имеет оригинальный облик и прочную структуру. Материал обработан на собственных кожевенных фабриках ECCO с применением новейших технологий в области дубления и выделки кожи. Синтетический утеплитель Primaloft® 200 согревает в условиях мороза до минус 10–15°C (зависит от физической активности и индивидуальных ощущений от холода). Текстильная подкладка и стелька обеспечивают воздухообмен и поглощают влагу для комфортной посадки.</t>
  </si>
  <si>
    <t>Кожа, текстиль</t>
  </si>
  <si>
    <t>ECCO MX M</t>
  </si>
  <si>
    <t>820294-02667</t>
  </si>
  <si>
    <t>Слипоны</t>
  </si>
  <si>
    <t>Мужские слипоны ECCO MX M как нельзя лучше подойдут для прогулок по городу, поездок на дачу и путешествий. Современная эстетика скандинавского минимализма гармонично сочетается с прочной подошвой модели в уличном стиле, вдохновленной дизайном шин для мотокросса. 
Лаконичный силуэт получает дополнительный объем за счет бархатистой фактуры нубука с перфорацией и петелек спереди и на заднике.
Удобная анатомическая колодка ECCO FLUIDFORM обеспечит правильное положение и поддержку стопы, а прочная подошва гарантирует сцепление и устойчивость обуви на разных ландшафтах.
Мягкий промасленный нубук производства бренда ECCO остается водонепроницаемым благодаря особой смеси масел и воска и устойчив к появлению царапин – идеальное решение для холодов в городе и на природе. Текстильная подкладка и съемные стельки создают дополнительный комфорт при ходьбе.
Мягкая имитация носка из неопрена дарит ощущение уюта и защищает от холода и ветра. Светоотражающие полоски гарантируют безопасность в темное время суток.
Современная технология ECCO FLUIDFORM формирует анатомическую подошву, в точности повторяющую изгибы стопы для поддержки, амортизации и исключительного удобства. Бесшовный метод крепления подошвы к верху позволяет сделать место стыка водонепроницаемым и особенно прочным на сгибе. 
Мощная полиуретановая подошва обеспечивает отличное сцепление и стабильность в городе и за его пределами, оставаясь при этом легкой и гибкой.</t>
  </si>
  <si>
    <t>коричневый</t>
  </si>
  <si>
    <t>верх нубук, текстиль, подкладка текстиль, подошва полиуретан</t>
  </si>
  <si>
    <t>ECCO BIOM 2.1 X MOUNTAIN M</t>
  </si>
  <si>
    <t>823804-60441</t>
  </si>
  <si>
    <t>Демисезонные мужские ботинки из натурального нубука и сверхпрочной ткани рипстоп идеально показывают себя в любых условиях. 
Высокая шнуровка и мягкое голенище позволяют надежно зафиксировать обувь. Легкая подошва невероятно устойчива за счет усиленного глубокого протектора с инновационной системой шипов из резины. Носок и свод стопы защищены от острых камней. 
Многослойность, сложная геометрия, комбинация фактур поддерживают аутдор-стиль модели. Сочетание оттенков напоминает природные ландшафты и отлично вписывается в походную экипировку.
Съемные стельки OrthoLite UltraLite подстраиваются под форму стопы. Технология ECCO FLUIDFORM создает анатомическую подошву без клея или ниток. Технология BIOM NATURAL MOTION обеспечивает полную поддержку стопы и позволяет ей двигаться естественно. Сверхлегкий материал подошвы ECCO PHORENE обеспечивает повышенную амортизацию даже в мороз. Климатическая мембрана GORE-TEX гарантирует 100%-ную защиту от ветра и влаги.</t>
  </si>
  <si>
    <t>Gore-Tex. Мембрана: помогает предотвратить попадание дождя и грязи внутрь обуви.; ECCO FLUIDFORM™. Износостойкая подошва, устойчивая к деформациям.; ECCO BIOM®. Поддержка стопы.</t>
  </si>
  <si>
    <t>зеленый/серый</t>
  </si>
  <si>
    <t>верх: текстиль/нубук; подкладка: текстиль; стелька: текстиль/пеноматериал; подошва: форин/полиуретан/резина</t>
  </si>
  <si>
    <t>ECCO NOUVELLE</t>
  </si>
  <si>
    <t>216263-60825</t>
  </si>
  <si>
    <t>Ботильоны</t>
  </si>
  <si>
    <t>Женские зимние ботильоны из натуральной замши Ecco Nouvelle  - идеальный выбор для холодной погоды. Основной материал - высококачественная натуральная замша, обработанная на собственных кожевенных производствах Ecco.
Носок и пятка модели обтянуты кожей, чтобы защитить мягкий верх от влаги и грязи и надолго сохранить великолепный внешний вид. Утепленная подкладка из натуральной овчины сохранит тепло и уют в течение всего дня. Легкая и гибкая полиуретановая подошва обладает высокой амортизацией и обеспечивает устойчивость и комфорт.
Мягкое голенище можно носить поднятым или опустить, чтобы была видна подкладка из шерсти. 
Современная технология бренда Ecco Fluidform позволяет создать анатомически правильную подошву и соединить ее с верхом модели. Такое решение позволяет сохранить гибкость, мягкость и прочность подошвы.</t>
  </si>
  <si>
    <t>Материал верха: замша/кожа. Материал подкладки: нат. мех(овчина)/текстиль (шерсть). Утеплитель: текстиль (шерсть/искусственный мех). Материал подошвы: Полиуретан/резина</t>
  </si>
  <si>
    <t>ECCO STREET LITE W</t>
  </si>
  <si>
    <t>212883-51052</t>
  </si>
  <si>
    <t>Кеды ECCO STREET LITE  – это стильная и комфортная городская обувь, предназначенная для активного образа жизни. Универсальный дизайн гармонично сочетается как с повседневным нарядом, так и с образом в спортивном стиле. 
Верх кедов изготовлен из натуральной зернистой кожи производства бренда ECCO, известной своим превосходным качеством, роскошным внешним видом и особой прочностью. Климатическая мембрана GORE-TEX, расположенная между подкладкой и верхом, не пропускает воду внутрь обуви и отводит влагу изнутри, сохраняя ощущение сухости и комфорта при любой погоде.  Широкая шнуровка надежно фиксирует верх обуви, уменьшая нагрузку на стопу. Текстильная подкладка и съемные  стельки поддерживают естественную циркуляцию воздуха и дарят ощущение мягкости при ходьбе. Технология ECCO FLUIDFORM формирует анатомически правильную подошву и надежно соединяет ее с верхом без применения клея или ниток.</t>
  </si>
  <si>
    <t>верха кожа/текстиль, подклад текстиль</t>
  </si>
  <si>
    <t>824254-51052</t>
  </si>
  <si>
    <t>текстиль, нубук</t>
  </si>
  <si>
    <t>COG BELT  BLTS STH</t>
  </si>
  <si>
    <t>ABYAA00263-STH</t>
  </si>
  <si>
    <t>Ремень</t>
  </si>
  <si>
    <t>Прочие аксессуары</t>
  </si>
  <si>
    <t>Backpack</t>
  </si>
  <si>
    <t>B1231140-KHK</t>
  </si>
  <si>
    <t>Рюкзак</t>
  </si>
  <si>
    <t>Сумки и рюкзаки</t>
  </si>
  <si>
    <t>Рюкзаки</t>
  </si>
  <si>
    <t>Рюкзак Peak Backpack - ваш незаменимый спутник для каждого приключения! Этот стильный и прочный рюкзак обеспечивает максимальный комфорт и удобство в любых условиях. С его помощью вы сможете легко организовать свои вещи и снаряжение, благодаря большому основному отделению и многочисленным карманам. Прочные материалы и плотные швы обеспечивают долговечность и надежность, а эргономичная конструкция смягчает нагрузку на спину и позволяет вам чувствовать себя комфортно даже при длительных путешествиях. Независимо от того, отправляетесь ли вы в горы, в парк или на путешествие, рюкзак Peak Backpack станет вашим верным спутником, готовым помочь вам достичь новых высот!</t>
  </si>
  <si>
    <t>BACKPACK</t>
  </si>
  <si>
    <t>B1231060-RED</t>
  </si>
  <si>
    <t>Рюкзак Peak - это прочный и удобный рюкзак для ношения в повседневной жизни, путешествиях или спортивных мероприятиях. Он выполнен из качественных материалов и имеет прочную конструкцию, что делает его долговечным и надежным.
Рюкзак Peak имеет удобную форму и достаточную вместительность, чтобы хранить все необходимые вещи. Его внутреннее отделение разделено на несколько секций для удобства хранения, а также имеется карман на молнии для хранения ценных вещей. Он имеет дополнительный карман на передней стенке и боковые карманы для хранения бутылок с водой или других вещей, которые необходимо иметь под рукой. Ремни на лямках регулируются по длине, что позволяет настроить крепление рюкзака на любом росте и оставить руки свободными.
Рюкзак Peak также имеет дополнительное усиление на дне, что обеспечивает дополнительную защиту и прочность для рюкзака. Сочетание износостойких материалов и качественной конструкции делают рюкзак Peak идеальным выбором для повседневного использования, путешествий, походов и спортивных мероприятий.
Если вы ищете простой и удобный рюкзак, который прослужит вам долгое время, рюкзак Peak является идеальным выбором для вас.</t>
  </si>
  <si>
    <t>OneSize</t>
  </si>
  <si>
    <t>ROUND NECK SWEATER</t>
  </si>
  <si>
    <t>FW6231152-BLK</t>
  </si>
  <si>
    <t>Джемпер</t>
  </si>
  <si>
    <t>Толстовки и ветровки</t>
  </si>
  <si>
    <t>Женский свитшот Peak ROUND NECK SWEATER - это удобная и практичная вещь для расслабленного образа. Он выполнен из мягкого и приятного к телу материала высокого качества, состоящего из 100% хлопка. Свитшот имеет круглый вырез и длинные рукава с манжетами, что делает его удобным и легким в ношении. На груди украшен логотипом Peak Performance, что добавляет элементы элегантности и красивого дизайна. Свитшот идеально подходит для повседневного ношения и может быть сочетан с любыми другими предметами гардероба. Он доступен в различных размерах и цветах, чтобы каждая женщина могла выбрать подходящий вариант для себя.</t>
  </si>
  <si>
    <t>46% полиэстер, 45% хлопок, 9% спандекс</t>
  </si>
  <si>
    <t>HOODIE SWEATER</t>
  </si>
  <si>
    <t>FW6231008-RED</t>
  </si>
  <si>
    <t>Толстовка</t>
  </si>
  <si>
    <t>Женское худи Peak Hoodie Sweater - это стильное и удобное предложение от марки Peak, которое сочетает в себе модный дизайн и высокое качество. Изготовленное из мягкого и комфортного материала, это худи предлагает отличное сочетание стиля и функциональности.
Особенностями женского худи Peak Hoodie Sweater являются его удобный капюшон с регулируемыми тульями и передний карман-кенгуру, который позволяет хранить мелкие вещи или согревать руки в холодную погоду. Худи имеет свободную посадку, что делает его идеальным выбором для повседневного ношения или спортивных мероприятий.
Peak Hoodie Sweater предлагает удобство и комфорт при ношении благодаря мягкому материалу и превосходному качеству изготовления. Он обеспечивает тепло и защиту в прохладные дни, при этом остается легким и дышащим для предотвращения перегрева.
Стильный дизайн худи с элегантными принтами и логотипом Peak дополняет вашу индивидуальность и позволяет выделиться из толпы. Gorinich Ladies Sweater доступно в различных цветовых вариантах, позволяя вам выбрать наиболее подходящий для вашего стиля.
Это худи изготовлено из прочного материала, сохраняя свою форму и цвет даже после многократной стирки. Оно станет надежной частью вашего гардероба и прослужит вам долго.
Оденьте женское худи Peak Hoodie Sweater и наслаждайтесь комфортом, стилем и функциональностью в вашем повседневном образе.</t>
  </si>
  <si>
    <t>72,1% хлопок, 27,9% полиэстер</t>
  </si>
  <si>
    <t>Alpha 1/4 ZIP Yth</t>
  </si>
  <si>
    <t>JT738112-NV</t>
  </si>
  <si>
    <t>Разогреваясь, охлаждаясь или отдыхая, Alpha 1/4 Zip поможет вам. Технология Wartech: система управления влажностью: ткани сохраняют тепло, отводя пот и влагу от тела.</t>
  </si>
  <si>
    <t>Полиэстер 100%</t>
  </si>
  <si>
    <t>ARCH CREW SS</t>
  </si>
  <si>
    <t>EBYKT00100-BMC0</t>
  </si>
  <si>
    <t>Футболка</t>
  </si>
  <si>
    <t>Футболки и майки</t>
  </si>
  <si>
    <t>Onitsuka Tiger</t>
  </si>
  <si>
    <t>IPHONE CASE</t>
  </si>
  <si>
    <t>113939-0900</t>
  </si>
  <si>
    <t>Чехол для телефона iPhone 5</t>
  </si>
  <si>
    <t>Чехол для мобильного телефона Onitsuka Tiger имеет стильный дизайн. Защитит корпус устройства от потертостей и царапин. Ширина-8 см, высота-13.5 см.</t>
  </si>
  <si>
    <t>черный/серый</t>
  </si>
  <si>
    <t>100% кожа</t>
  </si>
  <si>
    <t>OS</t>
  </si>
  <si>
    <t>113939-8059</t>
  </si>
  <si>
    <t>Чехол для телефона Onitsuka Tiger iPhone имеет стильный дизайн. Защитит корпус устройства от потертостей и царапин. Ширина-8 см, высота-13.5 см.</t>
  </si>
  <si>
    <t>Mizuno</t>
  </si>
  <si>
    <t>WAVE PROPHECY BETA</t>
  </si>
  <si>
    <t>D1GA2202-02</t>
  </si>
  <si>
    <t>Мужские кроссовки Mizuno Wave Prophecy B для бега и тренеровок. Ощутите непревзойденный комфорт и поддержку с этими кроссовками. Имеют элегантный черный дизайн с кремово-белыми акцентами.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шаг.Стиль и функциональность с этой первоклассной обувью от Mizuno.</t>
  </si>
  <si>
    <t>Mizuno Wave. Амортизация.</t>
  </si>
  <si>
    <t>60% нейлоновая сетка, 40% замша; 80% полиэстер, 20% полиуретан; 100% резина</t>
  </si>
  <si>
    <t>UK</t>
  </si>
  <si>
    <t>5,5</t>
  </si>
  <si>
    <t>6</t>
  </si>
  <si>
    <t>MIZUNO SHOES MONAR NEO SELECT</t>
  </si>
  <si>
    <t>P1GA1925-03</t>
  </si>
  <si>
    <t>Бутсы</t>
  </si>
  <si>
    <t>Футбол</t>
  </si>
  <si>
    <t>Мужские футбольные бутсы В этих футбольных бутсах используются инновации в области посадки и формы, позволяющие вам реализовать креативность на поле. Литые шипы обеспечивают невероятное сцепление даже на натуральном поле, а съемная стелька ZeroGlide удерживает стопу на месте и дает максимальный комфорт и исключительную посадку. Преимущества: Технологичный синтетический верх по отличной цене. Классическая подошва для игры на натуральной траве. Съемная стелька  ZeroGlide  для более плотной посадки и максимального комфорта. Для искусственного покрытия. Вес: 225г</t>
  </si>
  <si>
    <t>черный/белый</t>
  </si>
  <si>
    <t>Синтетическая кожа; Текстиль; Резина</t>
  </si>
  <si>
    <t>8</t>
  </si>
  <si>
    <t>8,5</t>
  </si>
  <si>
    <t>9</t>
  </si>
  <si>
    <t>D1GA2202-01</t>
  </si>
  <si>
    <t>Мужские кроссовки Mizuno Wave Prophecy B для бега и тренеровок. Ощутите непревзойденный комфорт и поддержку с этими кроссовками. Имеют элегантный дизайн в кремово-белом акценте.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 Стиль и функциональность с этой первоклассной обувью от Mizuno.</t>
  </si>
  <si>
    <t>4,5</t>
  </si>
  <si>
    <t>5</t>
  </si>
  <si>
    <t>WAVE SKY NEO 2 (W)</t>
  </si>
  <si>
    <t>J1GD2134-23</t>
  </si>
  <si>
    <t>Кроссовки для бега Mizuno Wave Sky Neo 2 (W) созданы специально для женщин, которые ищут идеальное сочетание комфорта и производительности. Верх из синтетической сетки обеспечивает отличную вентиляцию, позволяя вашим ногам дышать даже во время самых интенсивных пробежек. Подошва из резины гарантирует надежное сцепление с поверхностью и долговечность, а классическая шнуровка позволяет идеально подогнать обувь по ноге, обеспечивая надежную поддержку. Эти кроссовки идеально подходят как для тренировок, так и для долгих дистанций, обеспечивая мягкую амортизацию и ощущение легкости при каждом шаге.</t>
  </si>
  <si>
    <t>Синтетическая сетка, резина</t>
  </si>
  <si>
    <t>4</t>
  </si>
  <si>
    <t>6,5</t>
  </si>
  <si>
    <t>7</t>
  </si>
  <si>
    <t>7,5</t>
  </si>
  <si>
    <t>WAVE EXCEED LIGHT CC</t>
  </si>
  <si>
    <t>61GC2220-26</t>
  </si>
  <si>
    <t>Теннис</t>
  </si>
  <si>
    <t>Испытайте легкую амортизацию на новом уровне. Проведите день на корте в Wave Exceed Light, одной из самых легких теннисных туфель на рынке. Он оснащен MIZUNO ENERZY в области пятки и, таким образом, обеспечивает высокую отдачу энергии от первой подачи до последней точки матча. Удобная, легкая и быстрая обувь для всех активных игроков.
MIZUNO ENERZY Foam и Foam Wave обеспечивают удобную посадку с первого момента и обеспечивают амортизацию и возврат энергии.
Верх на сетчатой основе обеспечивает высокий уровень комфорта
Хорошо амортизирующая стелька</t>
  </si>
  <si>
    <t>текстиль, ЭВА, резина</t>
  </si>
  <si>
    <t>WAVE SKYRISE 3</t>
  </si>
  <si>
    <t>J1GC2209-04</t>
  </si>
  <si>
    <t>Наслаждайтесь бегом, как никогда раньше, чувствуя, что плывете на каждом шагу. Новые мужские кроссовки Wave Skyrise 3, улучшенные с помощью MIZUNO ENERZY CORE, обеспечивают удивительную мягкую амортизацию и высокую отдачу энергии.</t>
  </si>
  <si>
    <t>10</t>
  </si>
  <si>
    <t>SHOE WAVE EXCEED TOUR CC WOS</t>
  </si>
  <si>
    <t>61GC2275-56</t>
  </si>
  <si>
    <t>Быстрые , легкие и мягкие мужские теннисные кроссовки Mizuno Wave Exceed Tour 5 Clay созданы для опытных игроков, которым нужна максимальная взрывная реакция. Подошва подходит для грунтовых кортов . Верхняя конструкция с первым слоем из сетки, обеспечивающей мягкость и воздухопроницаемость.
Подошва DuRubber, обеспечивающая максимальную долговечность. Удлиненный воротник с мягкой подкладкой для комфорта, направленного на ахиллово сухожилие. Язык интегрирован в структуру с набивками в стратегически важных местах.
Широкая передняя часть стопы для комфортной и расслабленной посадки.
Съемная стелька
3D-SOLID Уникальный верх, обеспечивающий высочайший уровень мягкости и прочности, сохраняя при этом воздухопроницаемость.Enerzy
Это технология межподошвы, созданная для обеспечения максимальной амортизации и возврата энергии, а также превосходного ощущения комфорта. Он на 17 % мягче и обеспечивает на 15 % больше отклика, чем используемые ранее материалы.
PoWnCe
Чрезвычайно легкий материал межподошвы с превосходными свойствами комфорта и упругости.
Стелька премиум-класса
Съемная стелька для максимального комфорта, амортизации и долговечности.
D-Flex Groove 
Специально разработанная диагональная канавка в средней части стопы позволяет игроку поворачиваться с максимальной скоростью и силой, эффективно передавая естественные движения тела и меняя направление.
Wave
Вдохновленная природой, Wave — это самая эффективная на данный момент технология межподошвы в отрасли. Его уникальная форма рассеивает ударную силу от стопы, обеспечивая более плавное и мягкое ощущение при каждом шаге.
X10
Прочность и тяга. X-10 изготовлен из самой прочной углеродистой резины от Mizuno, обеспечивает более длительный износ в зонах сильных ударов и обеспечивает лучшее сцепление при ударе пяткой.</t>
  </si>
  <si>
    <t>65% Полиуретан, 35% Полиэстер; 80% Полиэстер, 20% Полиуретан; 100% Резина</t>
  </si>
  <si>
    <t>MIZUNO SHOE WAVE SUPERSONIC (W)</t>
  </si>
  <si>
    <t>V1GC2045-29</t>
  </si>
  <si>
    <t>Почувствуйте повышенный уровень комфорта с волейбольной обувью Mizuno Wave Supersonic 2. Сочетая мягкую беговую подошву с технологией Mizuno Wave, обувь обеспечивает очень мягкое ощущение без ущерба для надёжности. Легкий верх на сетчатой основе дает вам возможность комфортного перемещения.</t>
  </si>
  <si>
    <t>WAVE SKY 6 W</t>
  </si>
  <si>
    <t>J1GD2202-73</t>
  </si>
  <si>
    <t>Гибкие и удобные Wave Sky 6 заставят вас почувствовать, что вы плывете. Эта модель обеспечивает плавный контакт с землей и потрясающую отдачу энергии благодаря нашим технологиям MIZUNO ENERZY Core и MIZUNO ENERZY. В сочетании с технологией Mizuno Wave для оптимальной стабильности.</t>
  </si>
  <si>
    <t>80% ПОЛИЭСТЕР 20% ПОЛИУРЕТАН</t>
  </si>
  <si>
    <t>WAVE PARADOX 5 W</t>
  </si>
  <si>
    <t>J1GD1840-11</t>
  </si>
  <si>
    <t>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t>
  </si>
  <si>
    <t>70% полиэстер, 30% полиуретан; 100% ЭВА</t>
  </si>
  <si>
    <t>SHOE WAVE PARADOX WOS</t>
  </si>
  <si>
    <t>J1GD1840-61</t>
  </si>
  <si>
    <t>Женские кроссовки для бега WAVE PARADOX 5. 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 
Стабильность, комфорт и воздухопроницаемость сочетаются в этих женских кроссовках для бега с упругим каркасом, оснащенным технологиями DynamotionFit и Mizuno Wave, обеспечивающими идеальную поддержку. Комфорт и амортизация обеспечиваются комбинированной межподошвой ap+ и U4icX, а верхняя часть AIRmesh обеспечивает максимальную воздухопроницаемость, позволяя вам дольше оставаться на ногах.</t>
  </si>
  <si>
    <t>80% Полиэстер, 20% Полиуретан; 80% Полиэстер, 20% Полиуретан; 100% Резина</t>
  </si>
  <si>
    <t>WAVE HORIZON 6 (W)</t>
  </si>
  <si>
    <t>J1GD2226-04</t>
  </si>
  <si>
    <t>Комфортные кроссовки с поддержкой при избыточной пронации, идеально подходит для тренировок в среднем темпе и длительных пробежек. Модель обладает великолепной амортизацией, стабильностью и удобной посадкой, благодаря чему преодолевать километры будет легче и приятнее. Эластичный верх. Верх выполнен из эластичной ткани, обеспечивающей хороший воздухообмен, а также фиксацию и поддержку стоп во время бега. Подошва с широким дизайном. Амортизирующие слои подошвы состоят из материалов Mizuno Enerzy Core и Mizuno Wave - их сочетание обеспечивает высокую устойчивость без ущерба для амортизации. Технология Mizuno Enerzy Core дарит комфортные ощущения и высокую отдачу энергии, так как изготовлена из ультрамягкой и упругой пены. Технология Mizuno Wave в сочетании с резиновыми боковыми стенками распределяет давление при контакте с поверхностью для более мягкого ощущения каждого шага. Сцепление и долговечность. В зонах максимальной нагрузки в подошве используется износостойкая углеродистая резина для увеличения срока службы. Также она улучшает сцеплении стопы при беге "с пятки".
Bес: 270 г (женский размер 7H US). Перепад: 8 мм.</t>
  </si>
  <si>
    <t>MIZUNO SHOES MONA NEO SLCT</t>
  </si>
  <si>
    <t>P1GA1925-01</t>
  </si>
  <si>
    <t>синий/белый</t>
  </si>
  <si>
    <t>9,5</t>
  </si>
  <si>
    <t>MIZUNO SHOES MONA NEO SELECT</t>
  </si>
  <si>
    <t>P1GA1925-04</t>
  </si>
  <si>
    <t>P1GA1925-54</t>
  </si>
  <si>
    <t>оранжевый/белый</t>
  </si>
  <si>
    <t>S.L.WAVE RIDER</t>
  </si>
  <si>
    <t>D1GA1925-60</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</si>
  <si>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</si>
  <si>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Круглогодично</t>
  </si>
  <si>
    <t>Синтетические материалы</t>
  </si>
  <si>
    <t>Wave Rider 1</t>
  </si>
  <si>
    <t>D1GA1927-09</t>
  </si>
  <si>
    <t>кожа, сетка; текстиль; резина</t>
  </si>
  <si>
    <t>D1GA1927-14</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</si>
  <si>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t>
  </si>
  <si>
    <t>WAVE DUEL 3 (W)</t>
  </si>
  <si>
    <t>U1GE2160-64</t>
  </si>
  <si>
    <t>Беговые кроссовки Mizuno Wave Duel 3 (W) — это выбор для женщин, стремящихся к высокоскоростным результатам и максимальному комфорту на дорожке. Верх кроссовок выполнен из легкого и дышащего текстиля, обеспечивающего отличную вентиляцию во время бега. Промежуточная подошва из ЭВА гарантирует отличную амортизацию и поддержку стопы, сводя к минимуму усталость даже при длительных пробежках. Резиновая подошва обеспечивает надежное сцепление с поверхностью, а классическая шнуровка позволяет идеально подогнать обувь по ноге. Эти кроссовки — ваш надежный партнер на пути к новым победам.</t>
  </si>
  <si>
    <t>Sky Medal Fresh 90S</t>
  </si>
  <si>
    <t>D1GA1922-60</t>
  </si>
  <si>
    <t>Кроссовки модели Sky Medal от японского бренда Mizuno. В массовое производство эта модель поступила в 1994 году после того, как дебютировала в 1992 году на церемонии открытия Олимпийских игр в Барселоне. Кроссовки в яркой расцветке из пака "Fresh 90'" с верхом из текстиля и синтетической кожи. Фирменный знак "Runbird" по бокам кроссовок выполнен в ярком жёлтом цвете.
— верх кроссовок из синтетической кожи и текстиля 
— двойной язычок
— промежуточная подошва из амортизирующего пеноматериала 
— цепкая резиновая подмётка</t>
  </si>
  <si>
    <t>фиолетовый</t>
  </si>
  <si>
    <t>D1GA1927-01</t>
  </si>
  <si>
    <t>Wave Rider 1S</t>
  </si>
  <si>
    <t>D1GA1932-67</t>
  </si>
  <si>
    <t>Кроссовки Mizuno Wave Rider 1 S выполнены из сочетания воздухопроницаемой сетки и натуральной замши.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</si>
  <si>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замша, сетка; текстиль; резина</t>
  </si>
  <si>
    <t>Wave Rider 1 Shape ofTime</t>
  </si>
  <si>
    <t>D1GA2003-47</t>
  </si>
  <si>
    <t>Кроссовки Mizuno Wave Rider 1S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</si>
  <si>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D1GA1932-63</t>
  </si>
  <si>
    <t>бордовый</t>
  </si>
  <si>
    <t>D1GA1932-66</t>
  </si>
  <si>
    <t>MIZUNO ARM POUCH</t>
  </si>
  <si>
    <t>J3GD3015-09</t>
  </si>
  <si>
    <t>Чехол для телефона на предплечье</t>
  </si>
  <si>
    <t>Чехол для телефона на предплечье MIZUNO ARM POUCH — это удобный и стильный аксессуар для активных людей. Изготовленный из 100% полиэстера, он обеспечит долговечность и легкость в уходе. Основное отделение с сенсорным экраном позволяет использовать телефон, не вынимая его из чехла, а внутренний карман удобно хранит небольшие вещи. Отражающая лента повышает вашу безопасность в условиях низкой освещенности. С размерами 11×19 см, этот чехол подходит для большинства смартфонов. Уход прост: машинная стирка при 30°C, без отбеливания и глажки. Это идеальный выбор для занятий спортом на свежем воздухе.</t>
  </si>
  <si>
    <t>70% нейлон, 15% полиуретан, 15% полиэстер</t>
  </si>
  <si>
    <t>NS</t>
  </si>
  <si>
    <t>MIZUNO TEAM TOKYO MICRO TRACKSUIT</t>
  </si>
  <si>
    <t>32EG7201C-22</t>
  </si>
  <si>
    <t>Спортивный костюм</t>
  </si>
  <si>
    <t>Спортивные костюмы</t>
  </si>
  <si>
    <t>Спортивный костюм Team Tokyo Micro Tracksuit для женщин объединяет стиль и функциональность, идеально подходя для активного образа жизни. Изготовленный из 100% полиэстера, он дарит легкость и защиту от ветра. Куртка снабжена боковыми карманами на молнии для удобного хранения мелочей, а регулируемый эластичный нижний край обеспечивает комфортную посадку. Брюки оснащены боковыми карманами на молнии и молниями внизу брючин для легкости надевания. Эластичный пояс со шнурком и резинки на брючинах позволяют индивидуально подогнать костюм, что делает его отличным выбором для тренировок и повседневной носки.</t>
  </si>
  <si>
    <t>белый/черный</t>
  </si>
  <si>
    <t>Flex Short  (W)</t>
  </si>
  <si>
    <t>62GB1215-01</t>
  </si>
  <si>
    <t>Шорты</t>
  </si>
  <si>
    <t>Женские шорты Mizuno Flex Short созданы для тех, кто ценит комфорт и свободу движений. Изготовленные из легкой эластичной ткани, они обеспечивают полную свободу движений, идеально подходя для активных тренировок и повседневной носки. Два открытых боковых кармана добавляют практичности, позволяя удобно хранить мелочи или необходимые мелкие аксессуары. Эти шорты помогут вам чувствовать себя уверенно и комфортно в любой ситуации, будь то интенсивное занятие спортом или непринужденная прогулка. Mizuno Flex Short — стильный и функциональный выбор для современных активных женщин.</t>
  </si>
  <si>
    <t>Полиэстер 88%, Эластан 12%</t>
  </si>
  <si>
    <t>XS</t>
  </si>
  <si>
    <t>62GB1215-09</t>
  </si>
  <si>
    <t>Flex Skort  (W)</t>
  </si>
  <si>
    <t>62GB1211-01</t>
  </si>
  <si>
    <t>Юбка</t>
  </si>
  <si>
    <t>Юбки и платья</t>
  </si>
  <si>
    <t>Mizuno Flex Skort для женщин сочетает в себе инновационный дизайн и максимальный комфорт, предлагая встроенные тайтсы, которые обеспечивают поддержку основных мышечных групп для оптимальной посадки и повышенной производительности. Широкий эластичный пояс гарантирует дополнительный комфорт и уверенность во время движения, не стесняя свободу. Этот спортивный элемент одежды идеально подходит как для тренировок, так и для повседневной активности, обеспечивая стиль и функциональность. Skort от Mizuno — это превосходный выбор для женщин, стремящихся к удобству и поддержке без компромиссов на пути к своим целям.</t>
  </si>
  <si>
    <t>Flying skirt (W)</t>
  </si>
  <si>
    <t>62GB2201-13</t>
  </si>
  <si>
    <t>Женская юбка Flying Skirt – идеальный выбор для активных и стильных женщин. Изготовленная из мягкой и эластичной ткани, она обеспечивает комфорт и свободу движений в любой ситуации. Основное тело состоит из 88% полиэстера и 12% эластана, что делает юбку лёгкой и дышащей. Вставки из 100% полиэстера добавляют стильные акценты и дополнительную прочность. Эта юбка универсальна и подходит как для занятий спортом, так и для повседневной носки. Легко сочетается с различными топами и обувью, позволяя вам создать уникальный стиль. Добавьте в свой гардероб эту яркую и функциональную вещь!</t>
  </si>
  <si>
    <t>Тело:88% Полиэстер 12%Эластан, Вставки:100% Полиэстер</t>
  </si>
  <si>
    <t>MIZUNO  RELEASE FLYIN</t>
  </si>
  <si>
    <t>62GBA701-53</t>
  </si>
  <si>
    <t>Женская юбка Release Flyin — сочетание стиля и комфорта для современной активной женщины. Изготовленная из материала, состоящего на 85% из полиэстера и на 15% из эластана, она обеспечивает отличную эластичность и свободу движений, что идеально подходит для занятий спортом и активных прогулок. Ткань легкая и дышащая, что дарит ощущение свежести в течение всего дня. Универсальный дизайн позволяет легко комбинировать юбку с различными топами и обувью, создавая разнообразные образы. Release Flyin незаменима как в спортивном, так и в повседневном гардеробе, добавляя яркий акцент вашему стилю.</t>
  </si>
  <si>
    <t>85 % полиэстер, 15 % эластан</t>
  </si>
  <si>
    <t>MIZUNO Printed Dress</t>
  </si>
  <si>
    <t>62GH2201-13</t>
  </si>
  <si>
    <t>Платье</t>
  </si>
  <si>
    <t>Женское спортивное платье MIZUNO Printed Dress сочетает в себе стиль и функциональность, идеальное для активных женщин, стремящихся к комфорту и элегантности. Изготовленное из легких и дышащих материалов, это платье обеспечивает свободу движений и отличную циркуляцию воздуха, поддерживая комфорт даже при интенсивных занятиях. Стильный V-образный вырез добавляет изысканности, подчеркивая женственность. Узорчатый дизайн придает оригинальность вашему спортивному гардеробу, позволяя вам выглядеть ярко как на тренировках, так и в повседневной жизни. Идеально для спортивных мероприятий и активного отдыха.</t>
  </si>
  <si>
    <t>88% полиэстер, 12% эластан</t>
  </si>
  <si>
    <t>Carrera Jeans</t>
  </si>
  <si>
    <t>619-1342A-676</t>
  </si>
  <si>
    <t>Встречайте брюки карго модели 619 – оптимальное сочетание практичности и утонченного стиля. Эта модель отличается классической конструкцией с прямыми штанинами и стандартной длиной, что придаёт ей универсальный характер. Фронтальные карманы, выполненные в изысканном французском стиле, украшают переднюю часть и добавляют элегантности, в то время как объёмные боковые карманы с клапанами и надежными пуговицами обеспечивают необходимую функциональность и лёгкий доступ к вашим вещам.
Брюки предлагают идеальное сочетание комфорта и стиля – они отлично сидят на бедрах, обеспечивая вам свободу и удобство движений, вне зависимости от вашей активности. Продуманность конструкции подчёркивается дополнительными усиленными швами по бокам, которые позволяют изделию выдерживать интенсивное ежедневное использование.
Материал выполнен из 8-унционного хлопкового габардина – это не только придаёт брюкам изысканность, но и гарантирует высокую прочность при сохранении лёгкости ткани. Эти качества делают брюки идеальным вариантом для межсезонного периода, когда важен баланс тепла и вентиляции.
Сочетая в себе непринуждённый комфорт и актуальные тренды, брюки карго 619 станут неотъемлемой частью вашего гардероба, идеально подходя как для создания кэжуал-образов, так и для более составленных и структурированных ансамблей.</t>
  </si>
  <si>
    <t>IT</t>
  </si>
  <si>
    <t>619-1342A-765</t>
  </si>
  <si>
    <t>48</t>
  </si>
  <si>
    <t>624-0942A-264</t>
  </si>
  <si>
    <t>Брюки чинос 624 – синоним комфорта и изысканного стиля. Эти стандартно скроенные брюки обладают прямым силуэтом, который одинаково хорошо будет смотреться как в офисе, так и на прогулке по городу. Благодаря инновационной технологии Spintech Stretch, используемой в ткани, брюки приобретают потрясающую эластичность, обеспечивая не только идеальную посадку, но и непревзойденный уровень комфортности.
Дизайн брюк дополняют фронтальные карманы, выполненные в элегантном французском стиле, и стильные задние карманы с прорезями, которые добавляют изысканности и функциональности одновременно. Классическая посадка на бёдрах позволяет брюкам сидеть на своём месте без ощущения стеснения, даря вам свободу движений на протяжении всего дня.
Дополнительное внимание к деталям проявляется в усиленных боковых швах, придающих изделию дополнительную прочность и повышая его долговечность. Эти брюки – воплощение классической моды, проникающей сквозь время, благодаря своему бесконечно актуальному дизайну.
Идеально подходя для создания строгого повседневного образа, они легко дополняют вашу деловую рубашку или повседневный джемпер, превращая каждый ваш день в эталон стиля и утонченности.</t>
  </si>
  <si>
    <t>98% Хлопок, 2% Эластан</t>
  </si>
  <si>
    <t>624-0942A-676T</t>
  </si>
  <si>
    <t>92% хлопок, 5% полиэстер, 3% эластан</t>
  </si>
  <si>
    <t>700-1342A-262</t>
  </si>
  <si>
    <t>Эти стильные брюки c пятью функциональными карманами, созданы для комфорта и удобства на каждый день. Стандартная посадка в талии и на бедрах обеспечивает идеальное облегание, позволяя вам чувствовать себя свободно и уверенно. Удобные штанины плавно спускаются вниз, даря свободу движений и естественный силуэт.
Каждая деталь продумана до мелочей, начиная от прочной и надежной ширинки на молнии, заканчивая элегантной кожаной этикеткой Jacron на заднем поясе, которая добавляет изысканный акцент. Дизайн этих брюк воплощает собой простоту и чистоту линий, делая их вневременной классикой, которая никогда не утратит своей актуальности.
Изготовленные из высококачественного легкого хлопкового габардина, брюки гарантируют дышащую легкость и приятное ощущение на коже в теплые весенние и летние дни. Цвет - настоящий оммаж классической элегантности, который легко адаптируется к различным стилям и случаям.
Сочетайте их с легкими рубашками или повседневными футболками для создания образа, который будет радовать вас свежестью и утонченностью на протяжении всего дня.</t>
  </si>
  <si>
    <t>темно-бежевый</t>
  </si>
  <si>
    <t>700-0921S-051</t>
  </si>
  <si>
    <t>Модель Carrera 700 — это джинсы с пятью карманами, которые вошли в историю денима в Италии. Регулярная посадка обеспечивает идеальный баланс между комфортом и стилем, делая эти джинсы подходящими для любого случая. Средняя посадка на талии и бедрах, а также прямой крой создают классический силуэт, который никогда не выйдет из моды. 
Изготовленные из эластичной хлопчатобумажной ткани плотностью 13 унций с использованием передовой технологии Spintech Stretch, эти джинсы гарантируют не только долговечность, но и удобство при носке. Усиленные швы обеспечивают максимальную устойчивость и долговечность изделия, что делает их надежным выбором для повседневного использования. 
Ширинка на молнии добавляет функциональности и удобства, завершая образ этих универсальных джинсов. Модель Carrera 700 станет отличным дополнением к любому гардеробу, предлагая стиль и комфорт в каждой детали.</t>
  </si>
  <si>
    <t>710-0970A-501</t>
  </si>
  <si>
    <t>Если вы выберете модель 710, вы никогда не ошибетесь. Эти джинсы созданы для истинных ценителей качества и стиля. Модель оснащена классической ширинкой на пуговицах и предлагает регулярную посадку, обеспечивая максимальный комфорт благодаря стандартной талии и прямому крою от бедра.
Изготовленные из плотного денима 12,5 унций с использованием передовой технологии Spintech Stretch, эти джинсы сочетают в себе прочность и эластичность, гарантируя долговечность и удобство. Классические пять карманов добавляют функциональности и практичности, делая их идеальным выбором для повседневного использования.
Эти джинсы подходят для тех, кто ищет вневременный внешний вид, оставаясь верными традициям и одновременно отвечая требованиям современности. Независимо от вашего стиля, модель 710 станет отличным дополнением к вашему гардеробу, обеспечивая элегантность и комфорт в любой ситуации.</t>
  </si>
  <si>
    <t>92% хлопок, 6% полиэстер, 2% эластан</t>
  </si>
  <si>
    <t>717E-0970X-76H</t>
  </si>
  <si>
    <t>Эти джинсы зауженного кроя являются идеальным выбором для тех, кто стремится к современному и стильному образу. Изготовленные из денима плотностью 12,5 унций с использованием эластичной ткани с технологией Spintech Stretch, они сочетает в себе прочность и гибкость, гарантируя комфорт и свободу движений.
Модель с заниженной талией и зауженным низом придаёт современный и модный силуэт. Ширинка на молнии обеспечивает удобство, а этикетка на поясе Jacron сзади и персонализированные пуговица Carrera и заклепки добавляют уникальности и выразительности.
Эти джинсы также украшены потертостями с эффектом износа, которые придают изделию характерный и модный вид. Классические пять карманов делают эту модель еще более практичной и функциональной.
Эти джинсы – идеальный выбор для тех, кто ищет стильные и современные брюки, которые подчеркнут индивидуальность и помогут создать неповторимый образ.</t>
  </si>
  <si>
    <t>717R-0900A-512</t>
  </si>
  <si>
    <t>Привнесите в свой гардероб ультрасовременный комфорт с этими стильными зауженными джинсами. Каждая пара снабжена классическими пятью карманами, предоставляя не только стильный вид, но и практичность для повседневного использования. Изготовленные из денима плотностью 10 унций, эти джинсы предлагают превосходное сочетание прочности и легкости.
Материал модели Relax уникален тем, что внешне джинсы напоминают традиционный деним, в то время как внутри ощущаются так же уютно, как и ваша любимая толстовка. Это стало возможным благодаря использованию денима Play, который радует тело мягкостью и комфортом, не ожидаемым от обычных джинсов.
Ширинка на молнии обеспечивает легкость надевания и снятия, а изысканная кожаная этикетка Jacron на поясе сзади, персонализированная пуговица Carrera и фирменные заклепки вносят дополнительный характер и индивидуальность в образ. Добавление потертостей с эффектом износа не только придает нотку винтажности, но и делает каждую пару уникальной.
Эти джинсы идеально сочетают тренды и функциональность, предлагая вам одежду, которая не только выглядит фантастически, но и обеспечивает максимальный комфорт даже в самые напряженные дни. Идеальны как для создания кэжуал-образов, так и для более продуманных стилевых решений.</t>
  </si>
  <si>
    <t>85% хлопок, 12% полиэстер, 3% эластан</t>
  </si>
  <si>
    <t>752A-0987A-511</t>
  </si>
  <si>
    <t>Женские вневременные джинсы Carrera с пятью карманами - это идеальное сочетание классического стиля и современного комфорта. С их стандартной талией и удобной посадкой Regular Fit на бедрах, эти джинсы обеспечивают непревзойденное удобство и стиль в течение всего дня. Застегиваются они на молнию, что добавляет практичности и легкости в использовании. Изготовленные из эластичной хлопковой ткани с технологией Spintech Stretch, они гарантируют идеальную посадку и свободу движений. Прямые брючины делают эти джинсы универсальными, подходящими как для повседневного, так и для более формального образа. С плотностью ткани 7,5 oz, эти джинсы обладают прочностью и долговечностью, сохраняя при этом легкость и комфорт.</t>
  </si>
  <si>
    <t>93% хлопок, 5% полиэстер, 2% эластан</t>
  </si>
  <si>
    <t>753RS-0970A-560</t>
  </si>
  <si>
    <t>Женские джинсы винтажного кроя с высокой посадкой Mom Slim Fit - идеальный выбор для тех, кто ценит стиль и комфорт. Эти джинсы сочетают в себе ретро-очарование и современное удобство благодаря эластичной хлопковой ткани с технологией Spintech Stretch. Высокая посадка подчеркивает фигуру и создает эффектный силуэт, а застежка на молнию обеспечивает легкость и практичность в повседневной носке. Этот универсальный предмет гардероба прекрасно подойдет как для создания непринужденного, так и для более утонченного образа, делая их незаменимым элементом любого гардероба.</t>
  </si>
  <si>
    <t>797L-810AL-510</t>
  </si>
  <si>
    <t>Женские джинсы Carrera облегающего кроя станут идеальным дополнением вашего гардероба. Эти джинсы с пятью карманами и стандартной талией обеспечивают комфорт и стиль на каждый день. Посадка Skinny Fit акцентирует внимание на вашем силуэте, а застежка-молния добавляет удобства. Изготовленные из эластичной хлопковой ткани с применением технологий Aloe и Spintech Stretch, они предлагают уникальное сочетание мягкости, комфорта и долговечности. Независимо от повседневных дел или особых событий, джинсы Carrera подарят вам уверенность и стильный вид.</t>
  </si>
  <si>
    <t>XXL</t>
  </si>
  <si>
    <t>409-1412X-665</t>
  </si>
  <si>
    <t>Мужская стеганая куртка Carrera Jeans Ultralight Ripstop — это стиль и функциональность в одном изделии. Куртка выполнена из водоотталкивающего материала, что делает её незаменимой для весны и осени. Комбинированный утеплитель обеспечивает тепло и комфорт в прохладную погоду. Модель оснащена капюшоном, воротником-стойкой и удобными карманами на молнии. Черная молния добавляет стильного контраста, а фирменная нашивка Carrera на левом рукаве подчеркивает уникальность дизайна. Классический крой позволяет носить куртку как в повседневной жизни, так и в более активной городской среде. Верхний слой из 100% нейлона, подкладка и утеплитель из 100% полиэстера гарантируют долговечность и легкость изделия.</t>
  </si>
  <si>
    <t>100% полиамид</t>
  </si>
  <si>
    <t>409-1412X-899</t>
  </si>
  <si>
    <t>413-1425A-676</t>
  </si>
  <si>
    <t>Длинная зимняя куртка-парка от Carrera Jeans — это идеальный выбор для холодного сезона. Эта мужская парка оснащена капюшоном и высоким воротником-стойкой для защиты от ветра и холода. Большие передние карманы на пуговицах обеспечивают удобное хранение необходимых вещей, а потайная молния с видимой застежкой на пуговицы добавляет стиля и функциональности. Внутренний карман предназначен для хранения личных предметов. Ветрозащитные манжеты помогут сохранить тепло. Эта парка не только практична, но и выглядит стильно, что делает её актуальной для осенне-зимнего сезона. Идеальный компаньон для зимних прогулок и активного образа жизни.</t>
  </si>
  <si>
    <t>100% Полиэстер</t>
  </si>
  <si>
    <t>213A-1230A-03K</t>
  </si>
  <si>
    <t>Рубашка</t>
  </si>
  <si>
    <t>Рубашки</t>
  </si>
  <si>
    <t>Мужская рубашка Carrera классического кроя с длинными рукавами - воплощение стиля и удобства. Эта модель оснащена воротником на пуговицах, который придает ей элегантный вид и позволяет сохранить форму даже после многочисленных стирок. Манжеты с двойными пуговицами обеспечивают надежную фиксацию и удобство в носке. Карман на груди украшен вышивкой логотипа Carrera, добавляя изюминку в дизайн рубашки. Центральная застежка на пуговицы делает ее лёгкой в надевании и снятии, а классический крой обеспечивает комфорт в течение всего дня. Идеальный выбор для создания стильного образа на каждый день.</t>
  </si>
  <si>
    <t>213A-1230A-B79</t>
  </si>
  <si>
    <t>213C-1240A-002</t>
  </si>
  <si>
    <t>Мужская рубашка с короткими рукавами и воротником на пуговицах. Данная модель отличается нагрудным карманом, украшенным тонкой вышивкой логотипа, которая добавляет изысканности и стиля. Центральная застежка на пуговицы обеспечивает удобство и практичность. Рубашка выполнена из однотонной хлопчатобумажной ткани с эффектом льна, что придает ей лёгкость и непринуждённый вид. Комфортная и универсальная, эта рубашка идеально подойдет для мужчин любого возраста, становясь отличным выбором для повседневного ношения или неформальных встреч.</t>
  </si>
  <si>
    <t>213C-1240A-669</t>
  </si>
  <si>
    <t>224S-1253X-K72</t>
  </si>
  <si>
    <t>Рубашка с длинными рукавами, выполненная из тонкой хлопковой жаккардовой ткани. Однотонная ткань и классический крой придают ей элегантный и универсальный вид. Итальянский воротник добавляет нотку утонченности. Логотип Carrera аккуратно вышит в тон слева на груди, подчеркивая внимание к деталям. Рубашка оснащена центральной застежкой на пуговицы и двойными пуговицами на манжетах для дополнительного комфорта и стильного завершения образа. Идеальный выбор для тех, кто ценит качество и классический стиль.</t>
  </si>
  <si>
    <t>63% хлопок, 37% полиэстер</t>
  </si>
  <si>
    <t>450-0970A-500</t>
  </si>
  <si>
    <t>Джинсовка</t>
  </si>
  <si>
    <t>Мужская джинсовая куртка Carrera Jeans Stretch Denim Trucker — это стильный и удобный элемент повседневного гардероба. Изготовлена из стрейчевого денима с использованием технологии Spintech, что обеспечивает отличную посадку и комфорт. Плотность материала составляет 12,5 унций, что делает куртку долговечной и устойчивой к износу. Модель оснащена центральной застежкой на металлические пуговицы и отложным воротником в классическом французском стиле. Нагрудные карманы с клапанами и прорезные боковые карманы добавляют функциональности. Брендинг Carrera на груди слева подчеркивает качество и стиль. Эта вневременная куртка идеально подходит для лета, весны и осени, создавая стильный образ.</t>
  </si>
  <si>
    <t>846B-0253A-687</t>
  </si>
  <si>
    <t>Свитер</t>
  </si>
  <si>
    <t>Мужской свитер Carrera Jeans — идеальный выбор для холодного времени года. Этот повседневный свитер с высоким горлом выполнен из мягкого и теплого хлопка, что обеспечивает комфорт и уют в осенние, зимние и весенние месяцы. Воротник-стойка защищает от холода, добавляя при этом шарма всему образу. Благодаря универсальному крою, свитер прекрасно сочетается с различными элементами гардероба и станет незаменимой вещью для любого мужчины. Легкость в уходе позволяет без усилий поддерживать свитер в отличном состоянии, что делает его практичным и удобным решением для ежедневной носки.</t>
  </si>
  <si>
    <t>100% Хлопок</t>
  </si>
  <si>
    <t>801M-0047A-35K</t>
  </si>
  <si>
    <t>Эта футболка, выполненная из мягкого хлопкового джерси, станет вашим незаменимым спутником в создании повседневного и комфортного образа. Модель прямого кроя с круглым вырезом и короткими рукавами обеспечивает свободу движений и удобство в ношении. Яркий принт на груди добавляет стильности и оригинальности, делая футболку выразительным акцентом в любом ансамбле. Этот универсальный элемент гардероба легко сочетается с джинсами, шортами или спортивной одеждой, создавая модные и непринужденные образы на каждый день.</t>
  </si>
  <si>
    <t>801P-0047A-002</t>
  </si>
  <si>
    <t>Эта футболка прямого кроя с круглым вырезом и короткими рукавами станет идеальным дополнением к вашему гардеробу. Изготовленная из легкого и удобного трикотажа из чистого хлопка, она обеспечивает превосходный комфорт и долговечность. Декорированная принтом логотипа Carrera спереди, эта модель представляет собой вневременную классику, которая легко сочетается с любой одеждой. Универсальный дизайн и высокое качество материала делают эту футболку отличным выбором для повседневного ношения. Носите ее с джинсами, шортами или даже под пиджак для создания стильного образа на любой случай.</t>
  </si>
  <si>
    <t>801U-0042A-687</t>
  </si>
  <si>
    <t>Футболка прямого кроя с круглым вырезом и короткими рукавами — это идеальное сочетание стиля и комфорта. Изготовленная из мягкого хлопкового джерси, она обеспечит вам комфорт в течение всего дня. Однотонная расцветка делает этот предмет гардероба универсальным, позволяя легко сочетать его с различными стилями. Вышитый логотип на груди слева, выполненный в тон основному цвету, добавляет изысканности и элегантности. Независимо от того, носите ли вы эту футболку с джинсами для повседневного образа или с брюками для более официального случая, она всегда будет выглядеть уместно и стильно.</t>
  </si>
  <si>
    <t>60% хлопок, 40% полиэстер</t>
  </si>
  <si>
    <t>801U-0042A-899</t>
  </si>
  <si>
    <t>819-0075A-461</t>
  </si>
  <si>
    <t>Поло</t>
  </si>
  <si>
    <t>Рубашка-поло стандартного кроя с короткими рукавами, выполненная из чистого хлопка пике для максимального комфорта и воздухопроницаемости. Модель с ребристым воротником и манжетами, украшенными полосками контрастного цвета, что придает яркости и стиля. Вышивка логотипа на груди с левой стороны добавляет рубашке фирменный акцент. Застежка на фирменные пуговицы Carrera завершает изысканный образ. Эта удобная и универсальная рубашка-поло станет незаменимым элементом гардероба для людей всех возрастов. Она идеально подходит для повседневного ношения и активного отдыха.</t>
  </si>
  <si>
    <t>819A-0075A-001</t>
  </si>
  <si>
    <t>Quiksilver</t>
  </si>
  <si>
    <t>SYCAMORE SNJT KRP0</t>
  </si>
  <si>
    <t>EQYTJ03457-KRP0</t>
  </si>
  <si>
    <t>Куртка сноубордическая</t>
  </si>
  <si>
    <t>Сноубординг</t>
  </si>
  <si>
    <t>Куртка Quiksilver SYCAMORE SNJT KRP0 — это высокоэффективная сноубордическая куртка для мужчин, которая предлагает превосходную защиту и комфорт благодаря передовым материалам и технологиям. Изготовлена из 100% переработанного полиэстера в рамках инициативы Made Better для минимизации экологического воздействия.
- Оснащена водостойкой и дышащей мембраной 20K DryFlight®, обеспечивающей надежную защиту в экстремальных погодных условиях.
- Утеплитель WarmFlight®  Eco из переработанных пластиковых бутылок эффективно удерживает тепло при минимальном объеме, сохраняя комфорт.
- Современный крой гарантирует стильную посадку и свободу движений, идеальную для активного досуга на склонах.
- Проклеенные критические швы и водоотталкивающая обработка без содержания фтора усиливают защиту от проникновения влаги.
- Несъемный капюшон совместим с шлемом, обеспечивая дополнительную безопасность и удобство.
- Множество карманов, включая кармашек для скипасса, медиакарман и внутренний карман из сетки, позволяют удобно хранить необходимые вещи.</t>
  </si>
  <si>
    <t>MISSION BLOCK GEL0</t>
  </si>
  <si>
    <t>EQYTJ03404-GEL0</t>
  </si>
  <si>
    <t>Куртка Quiksilver MISSION BLOCK GEL0 — это высокотехнологичная сноубордическая куртка для мужчин, которая сочетает в себе стиль, функциональность и заботу об экологии. Изготавливается на 100% из переработанного полиэстера, поддерживая инициативу Made Better, чтобы снизить экологический след.
- Водостойкая и дышащая мембрана DryFlight® гарантирует комфорт и защиту от влаги даже при интенсивных нагрузках на склонах.
- Утеплитель WarmFlight® Eco обеспечивает отличное удержание тепла при минимальном объеме, поддерживая оптимальную температуру тела.
- Все критические швы проклеены — дополнительная защита от попадания влаги в самые уязвимые места.
- Вентиляционные отверстия под мышками эффективно регулируют температуру, увеличивая комфорт во время активного катания.
- Многочисленные карманы позволяют безопасно хранить важные вещи и легко к ним получать доступ.
- Изготовлена только из переработанной синтетики, поддерживая экологически устойчивый способ производства, что важно для сохранения окружающей среды.</t>
  </si>
  <si>
    <t>NOMAD  JCKT GLW0</t>
  </si>
  <si>
    <t>EQYJK04092-GLW0</t>
  </si>
  <si>
    <t>Quiksilver NOMAD JCKT — это идеальная куртка для повседневных приключений в холодную погоду. Изготовленная из переработанного нейлона, она обеспечивает отличную защиту от дождя и ветра, помогая вам оставаться в комфорте в любых условиях. Стиль и экологичность в одном изделии.
- Технология 5K DryFlight® предлагает превосходную гидроизоляцию, поддерживая сухость и комфорт даже в самых влажных условиях.
- Рейтинг WarmFlight® гарантирует теплую изоляцию благодаря использованию 400 г полифилла, обеспечивающего надежную защиту от холода.
- Куртка изготовлена из 100% переработанного нейлона, что делает ее экологичным выбором. Используются переработанные полиэфирные волокна, текстильные отходы и пластиковые бутылки.
- Материал ripstop обеспечивает долгий срок службы и устойчивость к разрывам, оставаясь легким и удобным для повседневного использования.
- Обилие карманов на молнии, включая внутренний карман для документов, обеспечивает удобство хранения и легкий доступ к вещам.
- Регулируемые манжеты и эластичный шнурок в подоле позволяют подгонять куртку для дополнительного комфорта и защиты от ветра. Светоотражающие детали добавляют видимость в темное время суток.</t>
  </si>
  <si>
    <t>разноцветный</t>
  </si>
  <si>
    <t>MOLOKAI RECYCLE  SNDL XKBB</t>
  </si>
  <si>
    <t>AQYL101309-XKBB</t>
  </si>
  <si>
    <t>Сланцы</t>
  </si>
  <si>
    <t>Сандалии и шлепанцы</t>
  </si>
  <si>
    <t>Эластичный стреп из синтетической резины с перемычкой между пальцев — с надписью Quiksilver и классическим логотипом Mountain &amp; Wave
Рифленая стелька из переработанного полимера ЭВА
Подошва из пористой резины с рисунком протектора из логотипов под углом друг к другу</t>
  </si>
  <si>
    <t>резина</t>
  </si>
  <si>
    <t>7(40)</t>
  </si>
  <si>
    <t>8(41)</t>
  </si>
  <si>
    <t>MOLOKAI RECYCLED</t>
  </si>
  <si>
    <t>AQYL101309-SND</t>
  </si>
  <si>
    <t>MOLOKAI ART 25</t>
  </si>
  <si>
    <t>AQYL101430-BQV8</t>
  </si>
  <si>
    <t>Эластичный стреп из синтетической резины с перемычкой между пальцев и надписью Quiksilver
Рифленая стелька
Боковины подошвы в цветную полоску
Подошва из пористой резины с рисунком протектора из логотипов под углом друг к другу</t>
  </si>
  <si>
    <t>AQYL101430-THQ6</t>
  </si>
  <si>
    <t>MERCURY SLASH 20</t>
  </si>
  <si>
    <t>EQYBS04882-KVJ0</t>
  </si>
  <si>
    <t>Бордшорты из капсульной коллекции Mercury
Экологичный материал SurfSilk — прочный и износостойкий
Классические прямые штанины
Длина бокового шва — 50,8 см
Классический неэластичный пояс на утяжке
Ширинка на липучке Velcro
Боковые карманы-карго
Эластичная кулиска для ключей внутри кармана
Переработанные волокна пряжи в составе</t>
  </si>
  <si>
    <t>Roxy</t>
  </si>
  <si>
    <t>ROXY JETTY BLOCK JK BQY7</t>
  </si>
  <si>
    <t>ERJTJ03482-BQY7</t>
  </si>
  <si>
    <t>Сноубордическая куртка Roxy Jetty обеспечивает идеальный баланс между стилем и функциональностью. Созданная для женщин, эта куртка предлагает надежную защиту на склонах, благодаря инновационным материалам и продуманному дизайну, чтобы вы оставались сухими и теплыми в любых условиях.
- Водостойкая мембрана 10K ROXY DryFlight® защищает от влаги, обеспечивая комфорт и сухость в течение дня на склоне.
- Утеплитель ROXY WarmFlight® из 70% переработанных материалов гарантирует высокую теплоизоляцию без утяжеления, создавая оптимальный микроклимат.
- Проклеенные критические швы обеспечивают дополнительную защиту от проникновения воды, продлевая срок службы куртки.
- Регулируемый съемный капюшон и несъемная противоснежная юбка помогают сохранить тепло и не позволят снегу попасть внутрь.
- Функциональные карманы, включая медиакарман и кармашек для скипасса, обеспечивают надежное хранение аксессуаров.
- Система вентиляции под мышками и эластичные запястные гейтеры поддерживают комфортную температуру и свободу движений.</t>
  </si>
  <si>
    <t>SHELTER JK BQY0</t>
  </si>
  <si>
    <t>ERJTJ03488-BQY0</t>
  </si>
  <si>
    <t>Сноубордическая куртка Roxy SHELTER JK обеспечивает идеальную защиту и комфорт для женщин на склоне. Благодаря элегантному дизайну и передовым технологиям, она станет отличным выбором для активного отдыха на снегу, сохраняя тепло и сухость в любой погоде.
- Длинный приталенный крой подчеркивает женственность, обеспечивая при этом надежную защиту от холода и влаги.
- Мембрана 10K ROXY DryFlight® обеспечивает высокую водостойкость и воздухопроницаемость для стабильного комфорта в снежных условиях.
- Утеплитель ROXY WarmFlight® с 70% переработанных материалов гарантирует оптимальное тепло, не утяжеляя куртку.
- Проклеенные критические швы и водоотталкивающее покрытие защищают от проникновения влаги, поддерживая долгий срок службы изделия.
- Регулируемый капюшон и противоснежная юбка предотвращают попадание снега, улучшая защиту от экстремальных условий.
- Многофункциональные карманы, включая карман для скипасса и медиакарман, обеспечивают удобное хранение и доступ ко всем необходимым вещам на склоне.</t>
  </si>
  <si>
    <t>ROXY JETTY BLOCK JK KVJ4</t>
  </si>
  <si>
    <t>ERJTJ03482-KVJ4</t>
  </si>
  <si>
    <t>Куртка Roxy Jetty Block JK представляет собой отличное решение для активных женщин-сноубордисток. Эта надежная куртка предлагает сочетание модного дизайна и высокотехнологичных характеристик, поддерживая оптимальную защиту и комфорт на склонах.
- Мембрана 10K ROXY DryFlight® обеспечивает высокую степень водонепроницаемости и дышащие свойства, поддерживая внутренний комфорт в любых погодных условиях.
- Использование утеплителя ROXY WarmFlight® помогает удерживать тепло, при этом оставаясь легкой и комфортной для активных движений.
- Смесь переработанных и новых материалов сохраняет экологическую ответственность, предлагая устойчивый модный выбор.
- Съемный капюшон и противоснежная юбка гарантируют дополнительную защиту от холодного воздуха и снега.
- Наличие многочисленных карманов, включая специализированные для медиаприборов и маски, обеспечивает удобство и функциональность.
- Встроенная система вентиляции и гейтеры на запястьях поддерживают оптимальную терморегуляцию тела в движении.</t>
  </si>
  <si>
    <t>ABBIE JK KVJ0</t>
  </si>
  <si>
    <t>ERJJK03594-KVJ0</t>
  </si>
  <si>
    <t>Куртка Roxy ABBIE JK KVJ0 — это идеальное сочетание стиля, функциональности и устойчивого производства, специально созданное для женского гардероба. Изготовлена из 100% переработанного полиэстера с водостойкой мембраной ROXY DryFlight®.
- Мембрана 10K ROXY DryFlight® обеспечивает водонепроницаемость и воздухопроницаемость, защищая от неблагоприятных погодных условий.
- Подкладка из косметотекстиля HydroSmart пропитана органическим кремом, защищая кожу в холодную погоду.
- Утеплитель ROXY WarmFlight® из сертифицированного пуха и пера сохраняет тепло без лишнего объема.
- Стильный стандартный удлиненный крой и качественная фурнитура YKK® обеспечивают удобство и надежность.
- Несъемный капюшон и манжеты в рубчик улучшают защиту от холода и ветра.
- Практичные карманы на молнии обеспечивают удобное хранение необходимых вещей, сохраняя их в безопасности.</t>
  </si>
  <si>
    <t>TW ALWAYS CORE (MFA6)</t>
  </si>
  <si>
    <t>ERLBP03064-MFA6</t>
  </si>
  <si>
    <t>Рюкзак Roxy TW Always Core — это идеальный выбор для активных детей, который сочетает в себе стиль и функциональность. Изготовленный из 100% переработанного полиэстера, он поддерживает экологически ответственный подход к моде.
- Изготовлен из 100%-го переработанного полиэстера, этот рюкзак не только прочный, но и экологически безопасный, помогая снизить воздействие на окружающую среду.
- Просторное основное отделение на молнии обеспечивает легкий доступ и надежное хранение школьных принадлежностей или спортивной экипировки.
- Передний карман на молнии добавляет дополнительное место для мелочей, таких как канцелярские принадлежности или перекус, упрощая организацию.
- Регулируемые набивные лямки повышают комфорт при ношении, позволяя ребенку легко адаптировать рюкзак под свой рост.
- Размеры 30 x 24 x 10,5 см делают его компактным и практичным для повседневного использования, обеспечивая вместительность до 8 литров.
- Хлопковая нашивка ROXY добавляет стильный акцент и подчеркивает аутентичность рюкзака, делая его узнаваемым элементом бренда.</t>
  </si>
  <si>
    <t>VIVA IV</t>
  </si>
  <si>
    <t>ARJL100663-MVW</t>
  </si>
  <si>
    <t>Каучуковый верх с металлическим значком ROXY
Рифленая каучуковая стелька
Каучуковая подошва</t>
  </si>
  <si>
    <t>VIVA IV J SNDL MGD</t>
  </si>
  <si>
    <t>ARJL100663-MGD</t>
  </si>
  <si>
    <t>VIVA IV J SNDL MSL</t>
  </si>
  <si>
    <t>ARJL100663-MSL</t>
  </si>
  <si>
    <t>Женские сланцы. ХАРАКТЕРИСТИКИ: Каучуковый верх с металлическим значком ROXY. Рифленая каучуковая стелька. Каучуковая подошва.</t>
  </si>
  <si>
    <t>Лето</t>
  </si>
  <si>
    <t>VIVA TONE II J SNDL SIL</t>
  </si>
  <si>
    <t>ARJL100682-SIL</t>
  </si>
  <si>
    <t>Шлепанцы</t>
  </si>
  <si>
    <t>Женские сланцы. ХАРАКТЕРИСТИКИ: Верх из ТПУ с металлическим значком ROXY. Рифленая каучуковая стелька. Каучуковая подошва с классическим принтом ROXY. Коллекция обуви ROXY.</t>
  </si>
  <si>
    <t>VIVA JELLY J SNDL CPG</t>
  </si>
  <si>
    <t>ARJL100915-CPG</t>
  </si>
  <si>
    <t>Женские сандалии. ХАРАКТЕРИСТИКИ: Верх из ТПУ со значком с логотипом ROXY. Рифленая каучуковая стелька с принтом с логотипом ROXY. Каучуковая подошва с принтом ROXY.</t>
  </si>
  <si>
    <t>пластик</t>
  </si>
  <si>
    <t>VIVA GRADIENT J SNDL NO3</t>
  </si>
  <si>
    <t>ARJL100958-NO3</t>
  </si>
  <si>
    <t>Разноцветный Верх С Металлическим Значком С Логотипом Roxy
Рифленая Каучуковая Стелька
Каучуковая Подошва</t>
  </si>
  <si>
    <t>DC Shoes</t>
  </si>
  <si>
    <t>CRUISER JACKET XWWP</t>
  </si>
  <si>
    <t>ADJTJ03047-XWWP</t>
  </si>
  <si>
    <t>Куртка DC Shoes Cruiser Jacket  — идеальный выбор для женщин, ценящих надежность и стиль в сноубордической экипировке. Выполненная из 100% переработанного полиэстера, она обеспечивает комфорт на склонах без ущерба для экологии.
- Экологически чистый материал из 100% переработанного полиэстера гибко сочетается с инновационными технологиями, обеспечивая защиту от непогоды и одновременно сокращая вредное воздействие на окружающую среду.
- Отличная защита от влаги и ветра достигается благодаря высокотехнологичной мембране, которая удерживает тепло, обеспечивая комфорт и сухость зимой.
- Удобная посадка и эргономичный крой куртки гарантируют свободу движений, что является важным аспектом в любых экстремальных условиях.
- Легкий, но прочный материал куртки уменьшает её вес, обеспечивая комфортное использование в любых условиях.
- Множество карманов позволяют удобно размещать личные вещи и снаряжение, что делает куртку исключительно практичной в использовании.
- Стильный цвет в сочетании с современным дизайном подчеркивает индивидуальность и делает ваш образ запоминающимся на склонах.</t>
  </si>
  <si>
    <t>BASIS PRINT XWBG</t>
  </si>
  <si>
    <t>ADYTJ03081-XWBG</t>
  </si>
  <si>
    <t>Куртка DC Shoes Basis Print XWBG — это ваш надежный партнер для зимних приключений. Созданная из 100% переработанного полиэстера, эта сноубордическая куртка объединяет в себе технологичность и заботу об окружающей среде. Она идеально подходит для тех, кто ценит стиль, комфорт и функциональность на склоне.
- Эта модель обладает высокотехнологичными свойствами, обеспечивая отличную защиту от ветра и непогоды, что особенно важно для зимних видов спорта.
- Производство из переработанного полиэстера делает куртку экологически чистым выбором для современных потребителей, стремящихся помогать природе.
- Легкость и прочность материала обеспечивают свободу движений и долговечность, так что вы можете сосредоточиться на своем катании.
- Модный дизайн и отличное качество исполнения делают эту куртку не только функциональной, но и стильной — идеально сочетающейся с любым сноубордическим комплектом.
- Благодаря использованию современных материалов, куртка обеспечивает комфорт и тепло, защищая вас даже в самых сложных погодных условиях.
- Легкость ухода позволяет содержать вашу сноубордическую одежду в отличном состоянии, без особых усилий, так как она допускает машинную стирку.</t>
  </si>
  <si>
    <t>NO HITTER SHORT</t>
  </si>
  <si>
    <t>ADYWS03082-KVJ0</t>
  </si>
  <si>
    <t>Баскетбольные шорты
Сетка из полиэстера плотностью 245 г/кв. м
Классический крой
Пояс с отворотом на внутренней резинке
Накладной карман на правой штанине
Подкладка из трикотажа
Вышивка DC Old English у подола слева
Вышитый значок Hit And Run у подола справа
Круглые хлопковые утяжки с металлическими наконечниками с брендингом DCSHOECO с изнанки пояса
Стандартная фурнитура DC</t>
  </si>
  <si>
    <t>Head</t>
  </si>
  <si>
    <t>CLUB Pants JR</t>
  </si>
  <si>
    <t>816319-BK</t>
  </si>
  <si>
    <t>Детские клубные брюки идеальны для разогрева и разминки, а также для любых других случаев. Благодаря функциональному сочетанию материалов и эластичному поясу они очень удобны. Классический крой позволяет носить шорты или юбку под брюки. Застежка-молния на подоле позволяет надевать и снимать модель, не снимая обуви.</t>
  </si>
  <si>
    <t>128</t>
  </si>
  <si>
    <t>CLUB Pants Men</t>
  </si>
  <si>
    <t>811329-AN</t>
  </si>
  <si>
    <t>Клубные брюки идеальны для разогрева и разминки, а также для любых других случаев. Благодаря функциональному сочетанию материалов и эластичному поясу они очень удобны. Классический крой позволяет носить шорты или юбку под брюки. Застежка-молния на подоле позволяет надевать и снимать модель, не снимая обуви.</t>
  </si>
  <si>
    <t>TECH 3/4 Tights Women</t>
  </si>
  <si>
    <t>814325-BK</t>
  </si>
  <si>
    <t>Тайтсы</t>
  </si>
  <si>
    <t>Спортивные лосины HEAD Tech 3/4 созданы специально для динамичных тренировок на корте.
Облегающий крой и инновационный эластичный материал обеспечивают полную свободу движений и оптимальную поддержку мышц.
Длина 3/4 идеально подходит для активной игры, сохраняя ощущение свежести даже при интенсивных нагрузках.
Ключевые особенности:
Эластичный пояс – надежная фиксация без дискомфорта
Два сетчатых кармана для мячей (без молнии) – удобный доступ к аксессуарам
Логотип HEAD – стильный дизайн
Облегающий силуэт – поддерживающий эффект без ограничения движений
Длина 3/4 – комфорт даже в жаркую погоду
Состав:
84% переработанный полиэстер, 16% эластан – экологичный материал с высокой эластичностью
Преимущества:
Адаптивный материал – идеально повторяет контуры тела
Дышащая структура – эффективный влагообмен
Практичные карманы – всегда под рукой запасные мячи
Экологичный состав – забота о природе без ущерба качеству</t>
  </si>
  <si>
    <t>84% переработанный полиэстер, 16% эластан</t>
  </si>
  <si>
    <t>814325-NV</t>
  </si>
  <si>
    <t>Headband</t>
  </si>
  <si>
    <t>285080-AN</t>
  </si>
  <si>
    <t>Повязка на голову</t>
  </si>
  <si>
    <t>Эта повязка на голову не пропускает пот со лба, поэтому вы можете следить за важными вещами. Повязка сделана на 90% нейлона и 10% эластана для обеспечения необходимой эластичности.</t>
  </si>
  <si>
    <t>50% полиэстер, 50% полиуретан</t>
  </si>
  <si>
    <t>285080-BN</t>
  </si>
  <si>
    <t>90% нейлон;10% эластан</t>
  </si>
  <si>
    <t>285080-NV</t>
  </si>
  <si>
    <t>285080-RD</t>
  </si>
  <si>
    <t>90% нейлон, 10% эластан</t>
  </si>
  <si>
    <t>285080-WH</t>
  </si>
  <si>
    <t>Pro Player Bandana</t>
  </si>
  <si>
    <t>287099-BK</t>
  </si>
  <si>
    <t>Бандана</t>
  </si>
  <si>
    <t>PRO PLAYER BANDANA изготовлена из впитывающего сетчатого материала, чтобы вы всегда могли хорошо видеть мяч.</t>
  </si>
  <si>
    <t>287099-WH</t>
  </si>
  <si>
    <t>Kids Cap Monster</t>
  </si>
  <si>
    <t>287184-BLLI</t>
  </si>
  <si>
    <t>Когда ваш ребенок играет на теннисном корте или в детском саду, вы можете быть уверены, что кепка KIDS MONSTER защитит его от солнца. Эта очень удобная кепка изготовлена ​​из прочной ткани и оснащена регулируемым ремешком на липучке, который обеспечивает идеальную посадку. Она предлагается в новом цвете, который идеально сочетается с рюкзаком и ракеткой для самых маленьких.
детский размер
- прочная ткань
- дизайн вышивки спереди
- регулируемый ремешок на липучке</t>
  </si>
  <si>
    <t>65% полиэстер, 35% хлопок</t>
  </si>
  <si>
    <t>Kids Cap Owl</t>
  </si>
  <si>
    <t>287194-TQLB</t>
  </si>
  <si>
    <t>Детям понравится кепка KIDS OWL, которая защитит их от солнца, когда они будут на теннисном корте или на детской площадке. Кроме того, она чрезвычайно удобна благодаря новому материалу и регулируемому ремешку на липучке, который обеспечивает идеальную посадку.
детский размер
- прочная ткань
- дизайн вышивки спереди
- регулируемый ремешок на липучке</t>
  </si>
  <si>
    <t>Kids Light Function Cap</t>
  </si>
  <si>
    <t>287023-ANWH</t>
  </si>
  <si>
    <t>Уменьшенная версия высокоэффективной кепки HEAD LIGHT FUNCTION CAP предлагает те же первоклассные функции: сделанная из легкого полиэстера из микроволокна, кепка имеет дополнительную внутреннюю полосу для защиты от пота и ремешок на липучке для идеальной посадки.</t>
  </si>
  <si>
    <t>287033-TQOR</t>
  </si>
  <si>
    <t>Новая бейсболка KIDS CAP MONSTER гарантирует, что голова вашего ребенка будет защищена от солнца, независимо от того, играет ли он на корте или на улице. Кепка удобна благодаря прочному материалу и отлично сидит благодаря регулируемому ремешку на липучке, который обеспечивает идеальную посадку.</t>
  </si>
  <si>
    <t>287043-LMLB</t>
  </si>
  <si>
    <t>Новая бейсболка KIDS CAP OWL гарантирует, что голова вашего ребенка будет защищена от солнца, независимо от того, играет ли он на корте или на улице. Кепка удобна благодаря прочному материалу и отлично сидит благодаря регулируемому ремешку на липучке, который обеспечивает идеальную посадку.</t>
  </si>
  <si>
    <t>Performance Visor</t>
  </si>
  <si>
    <t>287114-BK</t>
  </si>
  <si>
    <t>Визор</t>
  </si>
  <si>
    <t>PERFORMANCE VISOR — новое дополнение к нашей линейке аксессуаров PERFORMANCE — защищает глаза от солнца, волос и пота, позволяя вам полностью сосредоточиться на игре.
Визор изготовлен из того же быстросохнущего материала с закрытой ячеистой структурой, что и футболка PERFORMANCE, обеспечивая превосходную влагоотводящую способность и комфорт на корте или тренировочной площадке.
Благодаря регулируемой застёжке на липучке идеальная посадка достигается быстро и легко.
Термосварное тонированное лого подчёркивает свежий, высококачественный и спортивный стиль визора.
Внутренний влагопоглощающий ободок
Регулируемая застёжка на липучке</t>
  </si>
  <si>
    <t>287114-NV</t>
  </si>
  <si>
    <t>Pro Player Visor</t>
  </si>
  <si>
    <t>287134-BK</t>
  </si>
  <si>
    <t>Высококачественный козырек PRO защитит лицо от волос, солнца и пота. Чрезвычайно легкий, обеспечивает защиту от ультрафиолета, имеет регулируемую застежку-липучку, которая обеспечивает идеальную посадку. Разработанный с учетом потребностей женщин, размеры логотипа соответствуют требованиям каждого турнира.
легкий полиэстер из микроволокна
- впитывающая планка внутри для отличного поглощения пота
- регулируемый ремешок на липучке для идеальной посадки
- силиконовый логотип ICON макс. разрешенный турнирный размер</t>
  </si>
  <si>
    <t>287134-NV</t>
  </si>
  <si>
    <t>287134-WH</t>
  </si>
  <si>
    <t>Kids Pro Player Cap</t>
  </si>
  <si>
    <t>287174-BK</t>
  </si>
  <si>
    <t>Кепка KIDS PRO PLAYER идеально подходит для юных игроков, серьезно относящихся к своему теннису. Она очень легкая, дышащая и легко регулируется. Эта небольшая версия кепки PRO PLAYER для взрослых, изготовленная из легкого полиэстера из микрофибры, теперь имеет перфорацию с обеих сторон, что повышает воздухопроницаемость и комфорт. Повязка внутри улучшает поглощение влаги, а ремешок на липучке позволяет детям быстро и легко регулировать размер для идеальной посадки, а защита от ультрафиолета помогает защитить их на солнце.
100% легкий полиэстер из микрофибры
- детский размер
- уменьшенная версия взрослой кепки PRO PLAYER
- впитывающая планка внутри для отличного поглощения пота
- легкая конструкция
- новая перфорация с обеих сторон
- защита от ультрафиолета
- регулируемый ремешок на липучке
- резиновым логотипом в тон</t>
  </si>
  <si>
    <t>287174-NV</t>
  </si>
  <si>
    <t>287174-VP</t>
  </si>
  <si>
    <t>3B HEAD Tour XT - 6 DZ</t>
  </si>
  <si>
    <t>570823</t>
  </si>
  <si>
    <t>Мячи</t>
  </si>
  <si>
    <t>Спорт. инвентарь</t>
  </si>
  <si>
    <t>полимерные материалы, синтетические материалы</t>
  </si>
  <si>
    <t>HEAD Reset</t>
  </si>
  <si>
    <t>575034</t>
  </si>
  <si>
    <t>3B HEAD Padel Pro+ - 6DZ</t>
  </si>
  <si>
    <t>540203</t>
  </si>
  <si>
    <t>Мячи для падел Head Padel Pro+ 3 мяча
Официальный мяч Федерации падела Испании с улучшенным контролем.
Возьмите игру под контроль с мячом HEAD PADEL PRO+ – официальным мячом Федерации падела Испании (FEP).
Благодаря новой сердцевине и эксклюзивному войлоку, он стал еще более долговечным, а уменьшенная толщина стенок обеспечивает превосходное управление.
Почему профессионалы выбирают HEAD PADEL PRO+?
-Идеальный контроль – оптимальный отскок и тонкие стенки для точных ударов.
-Официальный статус – утвержден Федерацией падела Испании (FEP).
-Улучшенная сердцевина – новая формула дольше сохраняет давление.
-Эксклюзивный войлок – разработан специально для падела, повышает износостойкость.
-Экологичная упаковка – банка и этикетка стали более экологичными.</t>
  </si>
  <si>
    <t>3B HEAD Padel Pro S+ - 6DZ</t>
  </si>
  <si>
    <t>540303</t>
  </si>
  <si>
    <t>4B HEAD Pro - 6 DZ</t>
  </si>
  <si>
    <t>571604</t>
  </si>
  <si>
    <t>3B Championship - 6 DZ</t>
  </si>
  <si>
    <t>575203</t>
  </si>
  <si>
    <t>черный/желтый</t>
  </si>
  <si>
    <t>3B HEAD PADEL ONE -S - 6DZ</t>
  </si>
  <si>
    <t>575383</t>
  </si>
  <si>
    <t>Премиальный мяч Head Padel One. Понравится игрокам, которые предпочитают комбинированный стиль игры. Умеренно быстрый, превосходно контролируемый и долговечный. В комплекте 3 мяча.</t>
  </si>
  <si>
    <t>HEAD Team 3B</t>
  </si>
  <si>
    <t>575703</t>
  </si>
  <si>
    <t>Новое поступление</t>
  </si>
  <si>
    <t>3B HEAD STAGE 3 - RED - 4 DZ</t>
  </si>
  <si>
    <t>578433</t>
  </si>
  <si>
    <t>композитный материал 100%</t>
  </si>
  <si>
    <t>3B HEAD Tour - 6 DZ</t>
  </si>
  <si>
    <t>570703</t>
  </si>
  <si>
    <t>4B HEAD Tour - 6 DZ</t>
  </si>
  <si>
    <t>570704</t>
  </si>
  <si>
    <t>4B HEAD Tour XT  - 6 DZ</t>
  </si>
  <si>
    <t>570824</t>
  </si>
  <si>
    <t>3B HEAD Pro - 6 DZ</t>
  </si>
  <si>
    <t>571603</t>
  </si>
  <si>
    <t>HEAD TIP ORANGE (пакет 72 мяча)</t>
  </si>
  <si>
    <t>578270</t>
  </si>
  <si>
    <t>Мяч 72 шт</t>
  </si>
  <si>
    <t>3B HEAD STAGE 1 - GREEN - 6 DZ</t>
  </si>
  <si>
    <t>578413</t>
  </si>
  <si>
    <t>72B HEAD STAGE 2- ORANGE</t>
  </si>
  <si>
    <t>578420</t>
  </si>
  <si>
    <t>Мяч Head Stage 2 Orange — идеальный выбор для юных новичков 8–9 лет, которые переходят на более крупные корты.
Благодаря более мягкой структуре и скорости, сниженной на 50 % по сравнению со стандартным теннисным мячом, он увеличивает время реакции и значительно упрощает выполнение ударов, обеспечивая весёлую и увлекательную игру для будущих чемпионов.
Характеристики:
• Идеально подходит для среднего оранжевого корта по стандарту ITF (18 м × 6,4–8,23 м)
• Упаковка содержит 72 безнапорных мяча</t>
  </si>
  <si>
    <t>3В HEAD STAGE 2 - ORANGE - 6 DZ</t>
  </si>
  <si>
    <t>578423</t>
  </si>
  <si>
    <t>SOCKS KIDS 3P ALL SPORTS Sneaker</t>
  </si>
  <si>
    <t>816955-WH</t>
  </si>
  <si>
    <t>Носки</t>
  </si>
  <si>
    <t>Носки и гетры</t>
  </si>
  <si>
    <t>Короткие носки индивидуального покроя, идеально сидящие на ноге. В упаковке 3 пары носков.</t>
  </si>
  <si>
    <t>69% Хлопок, 30% Полиамид, 1% Эластан</t>
  </si>
  <si>
    <t>23-26</t>
  </si>
  <si>
    <t>27-30</t>
  </si>
  <si>
    <t>31-34</t>
  </si>
  <si>
    <t>KIDS 2P TENNIS</t>
  </si>
  <si>
    <t>816131-WH</t>
  </si>
  <si>
    <t>Носки Head KIDS 2P TENNIS - это отличный выбор для маленького спортсмена. Этот набор из двух пар носков специально разработан для удобства и комфорта во время игры в теннис. Носки изготовлены из высококачественных материалов, которые гарантируют долгий срок службы. Мягкий и эластичный материал обеспечивает превосходную посадку, а также предотвращает возникновение натираний и мозолей. Благодаря уникальному дизайну и технологии впитывания влаги, ноги остаются сухими даже во время интенсивных тренировок. Эти носки надежно защитят ножки вашего ребенка во время спортивных занятий. 
Носки Head KIDS 2P TENNIS - идеальное сочетание функциональности и стиля для маленьких теннисистов.</t>
  </si>
  <si>
    <t>полиамид 19%, хлопок 80%, эластан 1%</t>
  </si>
  <si>
    <t>816955-BK</t>
  </si>
  <si>
    <t>SOCKS TENNIS 2P PERFORMANCE Quarter</t>
  </si>
  <si>
    <t>811555-BK</t>
  </si>
  <si>
    <t>Носки (2 пары)</t>
  </si>
  <si>
    <t>Унисекс-модель и современный кэжуал-дизайн делают эти носки идеальным выбором для любого стиля и повода.
Специальная сетчатая ткань обеспечивает оптимальную воздухопроницаемость для поддержания комфорта ваших ног.   
Эластичная поддержка в области свода стопы обеспечивает лучшую посадку по ноге, стабильность и уменьшает усталость.
Усиленная подушечка в области стопы поглощает ударные нагрузки при ходьбе, обеспечивая дополнительный комфорт и защиту.
Продаются упаковкой из 2 пар.</t>
  </si>
  <si>
    <t>63% полиэстер, 24% хлопок, 11% полиамид, 2% эластан (спандекс)</t>
  </si>
  <si>
    <t>35-38</t>
  </si>
  <si>
    <t>39-42</t>
  </si>
  <si>
    <t>811555-WH</t>
  </si>
  <si>
    <t>43-46</t>
  </si>
  <si>
    <t>SOCKS TENNIS 2P PERFORMANCE Short Crew</t>
  </si>
  <si>
    <t>811565-BK</t>
  </si>
  <si>
    <t>Head Performance Crew (2 пары) — это мягкие теннисные носки с усиленной амортизацией, которые гарантируют непревзойдённый комфорт и постоянную поддержку как во время тренировок, так и в самых напряжённых матчах.
Детали:
Эластичная резинка на манжете
Амортизирующая стелька для оптимального комфорта
Поддерживающая лента в области свода стопы для надёжной фиксации
Сетчатые вставки на подъёме стопы для постоянной вентиляции
Усиленные носок и пятка с плоскими швами
Унисекс
Упаковка: 2 пары
Длина: средняя (до середины икры)
Вышитый логотип Head</t>
  </si>
  <si>
    <t>60% полиэстер, 23% хлопок, 15% полиамид, 2% эластан</t>
  </si>
  <si>
    <t>811565-WH</t>
  </si>
  <si>
    <t>SOCKS TENNIS 3P CLUB Short Crew</t>
  </si>
  <si>
    <t>811575-BK</t>
  </si>
  <si>
    <t>Носки (3 пары)</t>
  </si>
  <si>
    <t>Носки Head Club созданы для незаметного комфорта благодаря своему облегающему крою и идеально сформированной пятке. Изготовленные из мягкого хлопка, они приятны на ощупь и обеспечивают отличную поддержку благодаря манжете с резинкой в рубчик 1x1. Плоские швы на мыске предотвращают раздражение и гарантируют длительный комфорт во время игры. Строгий дизайн подчеркнут логотипом HEAD и знаковой вилкообразной полосой, придающими этим носкам стильный и минималистичный вид.
Особенности носков Head Club:
Манжета с резинкой в рубчик 1x1
Хлопок для мягкости и комфорта
Идеально сформированная пятка
Плоский шов на мыске</t>
  </si>
  <si>
    <t>78% хлопок, 16% полиэстер, 4% полиамид, 2% эластан</t>
  </si>
  <si>
    <t>TENNIS 3P SNEAKER</t>
  </si>
  <si>
    <t>811934-BK</t>
  </si>
  <si>
    <t>Мягкие, удобные теннисные носки для комфортной игры ил активного отдыха. Эластичный верх не передавливает голень. Спесь хлопка и полиэстера для дополнительной мягкости и отличного выведени влаги. Перфорация для лучшей вентиляции. Поддержка голеностопа. Мягкая подошва для поглощения ударов и комфорта.</t>
  </si>
  <si>
    <t>73% полиэстер, 23% хлопок, 2% полиамид, 2% эластан</t>
  </si>
  <si>
    <t>TENNIS 1P CREW ATHLETES</t>
  </si>
  <si>
    <t>811954-BK</t>
  </si>
  <si>
    <t>43% полиэстер, 46% хлопок, 7% полиамид, 1% эластан</t>
  </si>
  <si>
    <t>Prime Tour 3 pcs Pack (Overgrip)</t>
  </si>
  <si>
    <t>285621-YW</t>
  </si>
  <si>
    <t>Овегрип</t>
  </si>
  <si>
    <t>Обмотки</t>
  </si>
  <si>
    <t>Абсолютно новая обмотка PRIME TOUR обеспечивает идеальное сочетание комфорта и липкости для идеального ощущения ракетки в руке. 3 Шт в упаковке</t>
  </si>
  <si>
    <t>YW</t>
  </si>
  <si>
    <t>Revolt Pro 4.5</t>
  </si>
  <si>
    <t>273225-NVLI</t>
  </si>
  <si>
    <t>Кроссовки для мужчин бренда Head серии Revolt Pro 4.5 в классической расцветке WHBK (белый/черный) разработаны для тенниса, они идеально подходят для спортсменов, которые ищут прочность, стабильность и комфорт. Модель сочетает передовые технологии и изысканный дизайн, превосходную производительность на корте. Логотип бренда на боковой части и пятке добавляет фирменный акцент.
Технологии
Верх выполнен из легких и прочных синтетических материалов с сетчатыми вставками для оптимальной вентиляции. PU-монолитной конструкции (микрофибра и полиуретан) защищает обувь от быстрого износа в зонах с повышенной нагрузкой. Съемная стелька с эргономичным дизайном адаптируется к форме стопы, улучшая удобство при длительной игре. Дополнительная мягкость благодаря язычку и воротнику вокруг щиколотки снижает давление и предотвращает натирание.
Дополнительное усиление Drift Defense расположено в носочной и боковых зонах для повышенной износостойкости.
Инновационная подошва TRI-NRG обеспечивает амортизацию, энергоотдачу и поддержку, улучшая ощущения при движении. Система Lateral Control для боковой поддержки предотвращает скручивание ступней при резких движениях.
Ремешки в средней части стопы LockDown Strap необходимы для надежной фиксации и дополнительной стабильности.
Высокопрочная резиновая подошва Hybrasion+™ обеспечивает долговечность и надежное сцепление с различными типами кортов. Рисунок протектора адаптирован для разных типов поверхностей. Дополнительно предусмотрена защита пятки от ударов при прыжках и приземлениях.
Кроссовки Head Revolt Pro 4.5 созданы для игроков, которые предпочитают агрессивный стиль игры с акцентом на маневренность и устойчивость. Подходят как для профессионалов, так и для любителей теннисного спорта.</t>
  </si>
  <si>
    <t>Sprint Team 4.0 W</t>
  </si>
  <si>
    <t>274425-CWLN</t>
  </si>
  <si>
    <t>Легкие, дышащие и обновленные кроссовки SPRINT TEAM 4.0 WOMEN с новым современным дизайном обеспечивают непревзойденный комфорт для игроков любого уровня.
Наслаждайтесь легким, дышащим комфортом и свежим стилем с SPRINT TEAM 4.0. WOMEN Изготовленные из современных, удобных и дышащих материалов, эти кроссовки были обновлены новым дизайном, который предлагает более бесшовный вид и включает брендинг HEAD с обеих сторон верха. Идеально подходящие для игроков всех уровней, кроссовки SPRINT TEAM 4.0 настолько легкие и удобные, что вы захотите носить их и за пределами корта.
Современные, удобные и дышащие материалы
Легкость и комфорт, которыми можно наслаждаться как на корте, так и за его пределами.
Обновленный дизайн с логотипом HEAD по обеим сторонам верхней части.</t>
  </si>
  <si>
    <t>Revolt Pro 4.0</t>
  </si>
  <si>
    <t>273263-LNWH</t>
  </si>
  <si>
    <t>Мужские теннисные кроссовки Head Revolt Pro 4.0 идеально подходят игрокам, которым нужна теннисная обувь для агрессивных движений с хорошей поддержкой, устойчивостью и амортизацией.
Инновация заключается в использовании новой технологии T-Kore 360 обеспечивающая идеальное сочетание вентиляции, стабильности и стойкости к истиранию. Вторая инновация - система динамического контроля температуры внутри обуви Cool System, которая поддерживает оптимальную воздухопроницаемость, поглощая и отдавая выделяемое тепло.
Верх обуви выполнен из дышащего сетчатого материала с накладками из формованного полиуретана, защищающими ноги на протяжении длительного времени, обеспечивая максимальную устойчивость на корте. Усиление передней и внутренней части кроссовок в области стопы придают больше прочности.
Интегрированная система шнуровки Lockdown Strap предотвращает скольжение стопы. Удобная межподошва из ЭВА обеспечивает достаточную амортизацию во время игры. Подошва из уникальной резины с протектором "елочка" подходит для грунтовых покрытий и обеспечивает отличное сцепление и долговечность, а боковые стабилизаторы помогают предотвращают скольжение.</t>
  </si>
  <si>
    <t>зеленый/белый</t>
  </si>
  <si>
    <t>Sprint Pro 4.0 Padel Men CGBB</t>
  </si>
  <si>
    <t>273656-CGBB</t>
  </si>
  <si>
    <t>Падел</t>
  </si>
  <si>
    <t>Мужские кроссовки SPRINT PRO 4.0 PADEL сочетают улучшенные игровые характеристики с инновационным лёгким и воздухопроницаемым комфортом — идеальный выбор для агрессивных турнирных падель-игроков, стремящихся к молниеносной мобильности на площадке.
Модель оснащена новой универсальной подошвой для игры как на харде, так и на песке, обеспечивающей уверенное сцепление на любых покрытиях. Обновлённая сетка из ТПУ стала прочнее и ещё более дышащей, позволяя совершать быстрые движения в сочетании с современным ощущением лёгкости и комфорта.
В этих кроссовках вы будете не только чувствовать себя, но и выглядеть стремительно благодаря новой EVA-промежуточной подошве с пеной повышенного энерговозврата и свежему, элегантному дизайну с логотипом HEAD, размещённым с обеих сторон верха. Усовершенствованная технология Delta Strap — теперь с фиксирующими лентами как с внешней, так и с внутренней стороны верха — надёжно удерживает стопу при резких перемещениях по площадке.
Для дополнительного комфорта предусмотрена интегрированная система охлаждения, повышающая воздухопроницаемость.
Ключевые особенности:
Новое, более прочное и воздухопроницаемое ТПУ-сетчатое верхнее покрытие
Новые универсальные протекторы подошвы для превосходного сцепления на всех типах покрытий
Новая EVA-промежуточная подошва с пеной для повышенного энерговозврата
Динамичный и элегантный внешний вид
Обновлённый логотип HEAD на обеих сторонах верха
Улучшенная технология Delta Strap для повышенной стабильности и точной посадки
Интегрированная система охлаждения для лучшей вентиляции
Внешний ТПУ-контрфорс в области пятки для поддержки и защиты
Конструкция типа «носок» (sock-like fit) для максимального комфорта и фиксации стопы</t>
  </si>
  <si>
    <t>60% текстиль, 40% искусственный материал</t>
  </si>
  <si>
    <t>Sprint Pro 4.0 Women LBDB</t>
  </si>
  <si>
    <t>274146-LBDB</t>
  </si>
  <si>
    <t>Женские кроссовки SPRINT PRO 4.0 сочетают улучшенные игровые характеристики с инновационным лёгким и воздухопроницаемым комфортом — идеальный выбор для агрессивных турнирных теннисисток, стремящихся к скорости и динамике на корте.
Модель оснащена новой универсальной подошвой для игры как на хардовых, так и на грунтовых покрытиях, обеспечивающей уверенное сцепление на любых поверхностях. Обновлённая сетка из ТПУ стала прочнее и ещё более дышащей, позволяя совершать быстрые перемещения без ущерба для современного ощущения лёгкости и комфорта.
В этих кроссовках вы будете не только чувствовать себя, но и выглядеть стремительно благодаря новой EVA-промежуточной подошве с пеной повышенного энерговозврата и свежему, элегантному дизайну с логотипом HEAD, размещённым с обеих сторон верха. Усовершенствованная технология Delta Strap — теперь с фиксирующими лентами как с внешней, так и с внутренней стороны верха — надёжно удерживает стопу при резких движениях по корту.
Для дополнительного комфорта предусмотрена интегрированная система охлаждения, повышающая воздухопроницаемость.
Ключевые особенности:
Новое, более прочное и воздухопроницаемое ТПУ-сетчатое верхнее покрытие
Новые универсальные протекторы подошвы для превосходного сцепления на всех типах покрытий
Новая EVA-промежуточная подошва с пеной для повышенного энерговозврата
Динамичный и элегантный внешний вид
Обновлённый логотип HEAD на обеих сторонах верха
Улучшенная технология Delta Strap для повышенной стабильности и точной посадки
Интегрированная система охлаждения для лучшей вентиляции
Внешний ТПУ-контрфорс в области пятки для поддержки и защиты
Конструкция типа «носок» (sock-like fit) для максимального комфорта и фиксации стопы</t>
  </si>
  <si>
    <t>Sprint Pro 3.5 Clay MEN DGBL</t>
  </si>
  <si>
    <t>273114-DGBL</t>
  </si>
  <si>
    <t>Когда вы быстро двигаетесь в SPRINT PRO 3.5, вы будете наслаждаться легким комфортом обуви с дышащей сеткой и новым материалом язычка, а также системой охлаждения, встроенной в нижнюю часть обуви. Обновление также включает в себя новую заднюю часть из ТПУ и обновленный дизайн.
• Дышащая сетка и новый материал язычка для легкости и комфорта.
• Система охлаждения улучшает воздухопроницаемость.
• Обновление дизайна придает обуви современный вид.</t>
  </si>
  <si>
    <t>темно-серый</t>
  </si>
  <si>
    <t>Sprint Pro 3.5 Women DBLB</t>
  </si>
  <si>
    <t>274104-DBLB</t>
  </si>
  <si>
    <t>Sprint Team 3.5 Men BBWH</t>
  </si>
  <si>
    <t>273404-BBWH</t>
  </si>
  <si>
    <t>SPRINT TEAM 3.5, обновленный новым верхом с более открытой сеткой, стал еще более воздухопроницаемым, чем раньше, а также предлагается в новом дизайне. Эта обувь идеально подходит для игроков всех уровней. Она настолько легкая и удобная, что вам захочется носить ее и за пределами площадки.
• Дышащий верх с более открытой сеткой
• Легкий комфорт, которым можно наслаждаться на площадке и за ее пределами
• Свежий дизайн</t>
  </si>
  <si>
    <t>273245-DBRD</t>
  </si>
  <si>
    <t>273265-WHBK</t>
  </si>
  <si>
    <t>10,5</t>
  </si>
  <si>
    <t>Revolt Pro 5.0 Men RDDR</t>
  </si>
  <si>
    <t>273226-RDDR</t>
  </si>
  <si>
    <t>Созданные на основе полностью новой конструкции и оснащённые передовыми технологиями и материалами, кроссовки REVOLT PRO 5.0 MEN сочетают в себе износостойкость, стабильность и непревзойдённый комфорт. Для мощных и агрессивных бейслайнеров эта динамичная и высокотехнологичная обувь станет надёжным инструментом для доминирования на корте — её обновлённая, более изогнутая форма обеспечивает ещё более эффективные движения по сравнению с предыдущим поколением.
Разработанные для исключительных результатов, эти кроссовки оснащены тремя объёмными элементами из ТПУ (термопластичного полиуретана), интегрированными в промежуточную подошву и верх обуви, включая технологию CORE CONTROL — ТПУ-рамку, обеспечивающую устойчивость от средней части стопы до наружной зоны передней части стопы. Система охлаждения на нижней ТПУ-вставке улучшает как стабильность, так и вентиляцию, а ТПУ-элемент в области пятки повышает устойчивость и защищает стопу при скольжениях.
Производительность гармонично сочетается с мгновенным комфортом благодаря тройной конструкции из EVA-пены в средней части подошвы: материал DynaFoam в пятке обеспечивает продвинутое поглощение ударных нагрузок, высокоэластичная EVA в области носка отвечает за отзывчивость, а более мягкие зоны в средней части стопы и области большого пальца повышают комфорт при длительной игре.
Бейслайнеры оценят верх из литого полиуретана (PU), который обеспечивает оптимальный баланс гибкости и прочности: в зонах интенсивного износа добавлен упрочняющий материал для защиты при скольжениях, тогда как в менее нагруженных зонах материал сведён к минимуму для снижения веса. Дополнительный литой элемент из PU защищает шнурки в области внутренних люверсов. Интегрированные в шнуровку фиксирующие ремни (lock-down straps) повышают стабильность посадки и позволяют точно регулировать комфорт и обхват стопы.
Подошва изготовлена из немаркой резиновой смеси Hybrasion+ от HEAD, обеспечивающей превосходное сцепление и долговечность на любых покрытиях.</t>
  </si>
  <si>
    <t>Sprint Pro 3.5 Clay Men FGLN</t>
  </si>
  <si>
    <t>273143-FGLN</t>
  </si>
  <si>
    <t>Легкость, воздухопроницаемость и комфорт сочетаются в мужских теннисных кроссовках Head Sprint Pro 3.5 Clay, разработанных для агрессивных турнирных игроков, которые быстро передвигаются по корту. Благодаря рисунку подошвы "Елочка" обувь идеально подходит для использования на грунтовых кортах.</t>
  </si>
  <si>
    <t>синий/зеленый</t>
  </si>
  <si>
    <t>Sprint Strap 4.0 Kids BBTE</t>
  </si>
  <si>
    <t>275506-BBTE</t>
  </si>
  <si>
    <t>С игривым дизайном и застёжкой-липучкой для быстрого и лёгкого надевания и снятия, SPRINT STRAP 4.0 Kids — идеальная обувь для детей от 4 до 10 лет, которые хотят получать удовольствие от игры на корте.
Благодаря кроссовкам SPRINT STRAP 4.0 Kids юные спортсмены мгновенно получают больше радости от тренировок и игр. Практичная застёжка-липучка обеспечивает не только удобство, но и возможность быстро подогнать обувь по объёму стопы для максимального комфорта.
Новый верх сочетает дышащую сетку (mesh) для отличной вентиляции и прочный полиуретан (PU) для повышенной износостойкости. Обновлённая универсальная подошва «All Court» обеспечивает надёжное сцепление на теннисных, падель- и пиклбол-кортах.
Лёгкость, комфорт и современные игровые характеристики гармонично сочетаются с ярким, весёлым и детским дизайном.
Ключевые особенности:
Застёжка-липучка для быстрого надевания/снятия и простой регулировки посадки и комфорта
Новое верхнее покрытие: дышащая сетка для вентиляции + прочный PU для долговечности
Новая универсальная подошва «All Court» — надёжное сцепление на теннисных, падель- и пиклбол-кортах
Игровой, весёлый внешний вид
Лёгкий, современный комфорт и производительность, специально разработанные для юных спортсменов</t>
  </si>
  <si>
    <t>1</t>
  </si>
  <si>
    <t>2</t>
  </si>
  <si>
    <t>9,5K</t>
  </si>
  <si>
    <t>10K</t>
  </si>
  <si>
    <t>10,5K</t>
  </si>
  <si>
    <t>1,5</t>
  </si>
  <si>
    <t>11K</t>
  </si>
  <si>
    <t>11,5K</t>
  </si>
  <si>
    <t>12K</t>
  </si>
  <si>
    <t>12,5K</t>
  </si>
  <si>
    <t>13K</t>
  </si>
  <si>
    <t>13,5K</t>
  </si>
  <si>
    <t>Sprint Strap 4.0 Kids RDDR</t>
  </si>
  <si>
    <t>275516-RDDR</t>
  </si>
  <si>
    <t>Sprint Pro 4.0 SF</t>
  </si>
  <si>
    <t>273105-BKWH</t>
  </si>
  <si>
    <t>Ускорьтесь в модели SPRINT PRO 4.0 SF MEN, созданной из материала SuperFabric®, который отличается сверхлёгкостью, высокой прочностью и обеспечивает ещё более стильный внешний вид. Обновлённая модель также оснащена новой, более прочной и дышащей тканой сеткой из ТПУ, а также обновлённым протектором подошвы для игры на всех типах кортов, включая глиняные покрытия, что придаст вам уверенности на любой поверхности. Вы будете выглядеть и чувствовать себя быстро благодаря новому пеноматериалу EVA в средней подошве, обеспечивающему дополнительный отклик энергии, а также обновлённому современному и элегантному дизайну, включая логотип HEAD с обеих сторон верха.
Обновлённая технология Delta Strap — теперь с креплениями как снаружи, так и внутри верха — фиксирует стопу на месте даже при самых резких движениях по корту. Для дополнительного комфорта предусмотрена встроенная система охлаждения, улучшающая воздухопроницаемость, а также амортизирующая стелька OrthoLite.
Материал SuperFabric® — прочный и невероятно лёгкий
Новая более прочная и дышащая тканая сетка из ТПУ
Обновлённый протектор подошвы для игры на всех типах кортов и глине обеспечивает надёжное сцепление на любой поверхности
Новый пеноматериал EVA в средней подошве для дополнительного возврата энергии
Более стремительный и элегантный внешний вид
Новый логотип HEAD на внутренней стороне (с обеих сторон) верха
Усовершенствованная технология Delta Strap для повышения устойчивости и точности посадки
Встроенная система охлаждения для лучшей вентиляции
Внешний задник из ТПУ для поддержки пятки
Бесшовная конструкция носка для комфорта и поддержки
Стелька OrthoLite обеспечивает амортизацию и комфорт для стопы</t>
  </si>
  <si>
    <t>Sprint Pro 4.0 SF Men BKTE</t>
  </si>
  <si>
    <t>273106-BKTE</t>
  </si>
  <si>
    <t>Двигайтесь быстро в кроссовках SPRINT PRO 4.0 SF MEN, выполненных из материала SuperFabric® — ультралёгкого, исключительно прочного и придающего обуви ещё более стильный и обтекаемый вид. Обновлённая модель также оснащена новой, более прочной и воздухопроницаемой плетёной сеткой из ТПУ, а также новым рисунком подошвы для универсальных покрытий и грунта, который обеспечит уверенное сцепление на любой поверхности. Вы будете выглядеть и чувствовать себя быстрее благодаря новой пене EVA в промежуточной подошве для повышенного энерговозврата, а также современному, предельно элегантному дизайну с логотипом HEAD, размещённым с обеих сторон верха. Усовершенствованная технология Delta Strap — теперь с фиксирующими лентами как с внутренней, так и с внешней стороны верха — надёжно удерживает стопу при быстрых перемещениях по корту. Для дополнительного комфорта предусмотрена интегрированная система охлаждения, улучшающая воздухопроницаемость, а также анатомическая стелька OrthoLite с амортизацией.
• Материал SuperFabric® — исключительная прочность и минимальный вес
• Новая прочная и более воздухопроницаемая плетёная сетка из ТПУ
• Новый рисунок подошвы для универсальных покрытий и грунта — надёжное сцепление на любых поверхностях
• Новая пена EVA в промежуточной подошве для повышенного энерговозврата
• Более динамичный и элегантный дизайн
• Логотип HEAD, размещённый с обеих сторон верха
• Усовершенствованная технология Delta Strap для повышенной стабильности и точной посадки
• Интегрированная система охлаждения для улучшенной вентиляции
• Внешний ТПУ-контрфорс в области пятки
• Конструкция типа «носок» для комфорта и поддержки
• Стелька OrthoLite для амортизации и комфорта стопы</t>
  </si>
  <si>
    <t>Head Revolt Pro 3.5</t>
  </si>
  <si>
    <t>273113-BKRD</t>
  </si>
  <si>
    <t>Мужские кроссовки HEAD Sprint Pro 3.5 Clay обеспечивают надежную фиксацию стопы, амортизацию, воздухопроницаемость и износоустойчивость, необходимую для профессиональной теннисной обуви. Подходят для игры на грунтовых кортах.</t>
  </si>
  <si>
    <t>Sprint Pro 4.0</t>
  </si>
  <si>
    <t>273145-LINV</t>
  </si>
  <si>
    <t>Мужские кроссовки Head Sprint Pro 4.0 разработаны для профессиональных теннисистов и любителей, которые ценят сочетание скорости, комфорта и стабильности на корте. Эта модель предлагает инновационный подход к дизайну и использованию современных технологий, что делает её идеальной для любых типов покрытий. Благодаря новой подошве с универсальным рисунком протектора подходят как для харда, так и для грунта. Обеспечивают уверенное сцепление и контроль на любой поверхности, что помогает сосредоточиться на исключительно на игре. Главной особенностью является использование более прочной и дышащей сетки TPU. Этот материал увеличивает долговечность кроссовок, сохраняя их лёгкость и необходимую вентиляцию даже во время самых интенсивных матчей. Для дополнительного комфорта интегрирована система охлаждения, которая гарантирует 360-градусную вентиляцию верха и подошвы. 
Межподошва из пены EVA повышает амортизацию. Это помогает снизить нагрузку на стопу при прыжках и быстрых манёврах, повышая эффективность игры. Для повышения устойчивости предусмотрены несколько ключевых элементов. Delta Strap включает треугольные ремешки, интегрированные в шнуровку, которые фиксируют ногу как с внутренней, так и с внешней стороны. Стабилизатор пятки из TPU надёжно фиксирует заднюю часть стопы, минимизируя риск травм. Подошва с технологией TRI-NRG гарантирует оптимальное распределение нагрузки, стабильность и долговечность, а резиновое покрытие HyBrasion+™ улучшает сцепление и сопротивляемость износу. Drift Defense защищает переднюю часть и медиальную сторону от истирания, что особенно важно для теннисистов, часто выполняющих резкие торможения и скользящие движения. Низкий перепад между пяткой и носком, а также улучшенная система поддержки Sock Construction создают естественное ощущение при каждом шаге.
Брендированный дизайн с логотипом Хэд на обеих сторонах верха добавляет стиля, а минималистичная форма подчеркивает легкость и аэродинамичность.
Sprint Pro 4.0 — разработаны для тех, кто стремится к максимальной производительности на корте, при этом не жертвуя комфортом. Надёжность, лёгкость и адаптивность этой модели позволяют спортсмену чувствовать уверенность в каждом шаге и сосредотачиваться исключительно на игре.</t>
  </si>
  <si>
    <t>зеленый/синий</t>
  </si>
  <si>
    <t>11</t>
  </si>
  <si>
    <t>12</t>
  </si>
  <si>
    <t>Revolt Pro 5.0 Men BBTE</t>
  </si>
  <si>
    <t>273206-BBTE</t>
  </si>
  <si>
    <t>Revolt Evo 2.0</t>
  </si>
  <si>
    <t>273325-NVLI</t>
  </si>
  <si>
    <t>Мужские теннисные кроссовки HEAD Revolt Evo 2.0 идеально подходят для продвинутых клубных игроков, которым нужна дышащая и устойчивая обувь с более широкой посадкой.</t>
  </si>
  <si>
    <t>Revolt Evo 5.0 Men BBTE</t>
  </si>
  <si>
    <t>273386-BBTE</t>
  </si>
  <si>
    <t>Благодаря обновлённой промежуточной и внешней подошве, а также более современному дизайну, кроссовки REVOLT EVO 5.0 MEN обеспечивают мягкость, изысканный комфорт и современные игровые характеристики. Это новое поколение идеально подходит для бейслайнеров, которые ищут обувь с максимальной амортизацией, мягкой язычковой зоной и широкой колодкой.
Мягкий сетчатый верх отличается исключительным комфортом, а вставки из прессованного ТПУ в зонах повышенного износа повышают долговечность модели. Конструкция Delta Strap обеспечивает повышенную устойчивость в средней части стопы. Дополнительный комфорт достигается за счёт полиуретановой (PU) стельки и мягкой, износостойкой EVA-пены в промежуточной подошве. Объёмный ТПУ-элемент (3D TPU shaft) в средней части стопы гарантирует оптимальную торсионную устойчивость.
Гибридная подошва изготовлена из немаркой резиновой смеси Hybrasion+ от HEAD, обеспечивающей превосходное сцепление и износостойкость на любых поверхностях: специальные усиленные зоны предназначены для игры на харде, а открытые участки протектора улучшают сцепление на грунтовых кортах.
Ключевые особенности:
Объёмный ТПУ-элемент в средней части стопы для оптимальной торсионной устойчивости
Мягкий и комфортный сетчатый верх с прессованными ТПУ-вставками для повышения прочности
Мягкая и долговечная EVA-промежуточная подошва
Гибридная подошва из немаркой резины Hybrasion+ от HEAD для отличного сцепления и износостойкости
Конструкция шнуровки Delta Strap для повышенной стабильности в области средней части стопы</t>
  </si>
  <si>
    <t>Revolt Evo 5.0 Men WHBK</t>
  </si>
  <si>
    <t>273396-WHBK</t>
  </si>
  <si>
    <t>Sprint Team 4.0</t>
  </si>
  <si>
    <t>273405-DBRD</t>
  </si>
  <si>
    <t>Кроссовки для мужчин Head Sprint Team 4.0 – это заявление о стремлении к совершенству. Разработанные для профессионалов и любителей, ценящих динамичную игру, они представляют собой идеальное сочетание скорости, комфорта и стабильности, выведенное на новый уровень. Технологии
Верх выполнен из прочного сетчатого TPU. Эта инновационная конструкция создает невероятную легкость, позволяя чувствовать себя максимально свободно, не сковывая движений. При этом, материал гарантирует необходимую поддержку и долговечность, эффективно отводя влагу и обеспечивая оптимальную вентиляцию даже во время самых интенсивных тренировок. 
Имеет промежуточную подошву из пеноматериала EVA с тремя различными плотностями. Многослойная структура превосходно амортизирует, смягчая ударные нагрузки при беге, прыжках и резких остановках. Разная плотность генерирует дополнительный толчок и возврат энергии, помогая быстрее восстанавливать позицию и увеличивать скорость реакции. Универсальный рисунок протектора подошвы создает надежное сцепление как на хардовых, так и на грунтовых кортах. Резиновое покрытие HyBrasion+ значительно увеличивает износостойкость и сцепление с поверхностью, позволяя выполнять резкие маневровые движения без риска потери баланса. Система Lateral Control, благодаря своей уникальной конструкции, обеспечивает дополнительную боковую стабильность, предотвращая нежелательные повороты стопы во время экстремальных скольжений.
Drift Defense защищает переднюю часть и медиальную сторону модели от истирания, что особенно важно при частых скользящих движениях, характерных для тенниса. Ремешки в средней части стопы, интегрированные в систему шнуровки, надежно фиксируют ногу, предотвращая дискомфорт и потерю контроля.
Минималистичный белый дизайн с черными акцентными вставками и брендированный логотип Хэд придают обуви стильный и современный вид. Они отлично смотрятся как на корте, так и в повседневной жизни, становясь универсальным дополнением к вашему гардеробу.</t>
  </si>
  <si>
    <t>273425-NVLI</t>
  </si>
  <si>
    <t>Sprint Team 4.0 Men NVCG</t>
  </si>
  <si>
    <t>273426-NVCG</t>
  </si>
  <si>
    <t>Лёгкий и воздухопроницаемый мужской кроссовок SPRINT TEAM 4.0 получил обновлённый современный дизайн и обеспечивает мгновенный комфорт для игроков любого уровня.
Цвета
Наслаждайтесь лёгкостью, воздухопроницаемостью и свежим стилем в кроссовках SPRINT TEAM 4.0 для мужчин. Эта модель создана из современных, комфортных и дышащих материалов и обновлена новым дизайном, который придаёт обуви более цельный, бесшовный вид и демонстрирует фирменный логотип HEAD с обеих сторон верха.
SPRINT TEAM 4.0 — идеальный выбор для теннисистов любого уровня игры. Он настолько лёгкий и удобный, что вы захотите носить его не только на корте, но и в повседневной жизни.
Ключевые особенности:
Современные, комфортные и воздухопроницаемые материалы
Лёгкий комфорт для использования как на корте, так и в повседневной жизни
Обновлённый дизайн с логотипом HEAD на обеих сторонах верха</t>
  </si>
  <si>
    <t>Sprint Team 4.0 Clay Men NVCG</t>
  </si>
  <si>
    <t>273436-NVCG</t>
  </si>
  <si>
    <t>Наслаждайтесь лёгким, воздухопроницаемым комфортом и свежим стилем в мужских кроссовках SPRINT TEAM 4.0 CLAY.
Эта модель изготовлена из современных, комфортных и дышащих материалов и получила обновлённый дизайн, придающий обуви более цельный, бесшовный вид. Фирменный логотип HEAD размещён с обеих сторон верха.
SPRINT TEAM 4.0 CLAY идеально подходит для игроков любого уровня. Кроссовки настолько лёгкие и удобные, что вы захотите носить их не только на корте, но и в повседневной жизни.
Ключевые особенности:
Современные, комфортные и воздухопроницаемые материалы
Лёгкий комфорт для игры на корте и повседневного использования
Обновлённый дизайн с логотипом HEAD на обеих сторонах верха</t>
  </si>
  <si>
    <t>273445-WHBK</t>
  </si>
  <si>
    <t>Sprint Pro 3.5 Women</t>
  </si>
  <si>
    <t>274164-CWPU</t>
  </si>
  <si>
    <t>Revolt Pro 4.5 W</t>
  </si>
  <si>
    <t>274205-BKPL</t>
  </si>
  <si>
    <t>Head Women's Revolt Pro 4.5 — идеальная обувь для агрессивных игроков. Новая конструкция верха обеспечивает повышенную стабильность и гибкость, а технологии производительности обеспечивают долговечность, прочность и превосходную амортизацию для комфорта. Благодаря улучшенной системе шнуровки и стабилизатору пятки HEAD вы будете надежно зафиксированы и устойчивы во время напряженных матчей. Кроме того, современный дизайн добавляет стильности.</t>
  </si>
  <si>
    <t>черный/фиолетовый</t>
  </si>
  <si>
    <t>Revolt Court 5.0 Women BKWH</t>
  </si>
  <si>
    <t>274526-BKWH</t>
  </si>
  <si>
    <t>Мягкость встречается с современным лайфстайл-стилем в женской модели REVOLT COURT 5.0 WOMEN — обуви, которую захочется носить как на корте, так и за его пределами. Идеальный выбор для любительниц тенниса и серьёзно настроенных новичков.
Лёгкие, мягкие и обновлённые свежим, современным дизайном, кроссовки REVOLT COURT 5.0 WOMEN дарят комфорт и стильный образ в любой ситуации — будь то тренировка или прогулка по городу. Игроки оценят восхитительно мягкое сетчатое верхнее покрытие, усиленное вставками из полиуретана (PU) в зонах повышенного износа для повышения долговечности.
Дополнительный комфорт обеспечивают амортизирующая, износостойкая EVA-промежуточная подошва и стелька из PU. Объёмный ТПУ-элемент (3D-TPU-Schaft) в средней части стопы гарантирует оптимальную торсионную устойчивость при движении.
Универсальный протектор подошвы «All Court», выполненный из немаркой резиновой смеси Hybrasion+ от HEAD, обеспечивает надёжное сцепление и высокую износостойкость на любых поверхностях, используемых в ракетных видах спорта.
Ключевые особенности:
Мягкое ощущение и современный лайфстайл-дизайн
Мягкий и комфортный сетчатый верх с PU-вставками в зонах износа для повышения прочности
Амортизирующая, долговечная EVA-промежуточная подошва для дополнительного комфорта
Объёмный ТПУ-элемент в средней части стопы (3D-TPU-Schaft) для оптимальной торсионной устойчивости
Универсальный протектор подошвы «All Court» для надёжного сцепления на любых покрытиях ракетных видов спорта
Подошва из немаркой резины Hybrasion+ от HEAD — превосходное сцепление и долговечность</t>
  </si>
  <si>
    <t>Revolt Pro 5.0 Junior RDDR</t>
  </si>
  <si>
    <t>275226-RDDR</t>
  </si>
  <si>
    <t>Кроссовки REVOLT PRO 5.0 JUNIOR, созданные на основе взрослой версии, гармонично сочетают в себе износостойкость, стабильность и высокий уровень комфорта. Эта премиальная модель разработана специально для амбициозных и соревнующихся юных теннисистов, которые играют агрессивно с задней линии.
Верх обуви выполнен из литого полиуретана (PU), что обеспечивает оптимальную гибкость и долговечность, а в зонах, подверженных наибольшему износу при скольжениях, предусмотрены дополнительные упрочняющие элементы.
Интегрированные в шнуровку фиксирующие ремни (Lock-Down-Riemen) повышают устойчивость и позволяют точно регулировать посадку по стопе. Промежуточная подошва из EVA отличается исключительной мягкостью и комфортом, а встроенный торсионный элемент в средней части стопы значительно усиливает поперечную стабильность во время динамичных движений.
Гибридная подошва изготовлена из немаркой резиновой смеси Hybrasion+ от HEAD, обеспечивающей превосходное сцепление и износостойкость на различных покрытиях, используемых в ракетных видах спорта.
Ключевые особенности:
Комфортная EVA-промежуточная подошва
Встроенный торсионный элемент для улучшенной поперечной (торсионной) устойчивости
Немаркая резиновая смесь Hybrasion+ от HEAD — превосходное сцепление и долговечность
Фиксирующие ремни, интегрированные в шнуровку, для повышенной стабильности и точной регулировки посадки
Износостойкая гибридная подошва, подходящая для различных типов покрытий ракетных видов спорта</t>
  </si>
  <si>
    <t>2,5</t>
  </si>
  <si>
    <t>3</t>
  </si>
  <si>
    <t>3,5</t>
  </si>
  <si>
    <t>Revolt Pro 5.0 Clay Junior RDDR</t>
  </si>
  <si>
    <t>275236-RDDR</t>
  </si>
  <si>
    <t>Откройте для себя производительность и комфорт кроссовок Head Revolt Pro 5.0 Clay Junior — прочной, стабильной обуви, идеально подходящей юным теннисистам для игры на грунтовых кортах.
Кроссовки Head Revolt Pro 5.0 Clay (красные, junior) разработаны специально для молодых игроков, стремящихся показать лучший результат на корте. Вдохновлённые взрослой моделью, они предлагают сбалансированное сочетание износостойкости, устойчивости и комфорта. Их конструкция ориентирована на агрессивных игроков, которым требуется надёжная обувь, способная откликаться на быстрые и требовательные движения, не жертвуя при этом комфортом на протяжении всего матча.
Премиум-дизайн, адаптированный под юных спортсменов
Литой верх из полиуретана (PU) обеспечивает естественную гибкость и высокую износостойкость. Дополнительные упрочнённые вставки в ключевых зонах защищают обувь во время скольжений. Система шнуровки с интегрированными регулируемыми ремнями улучшает посадку по стопе, обеспечивая постоянное ощущение уверенности и контроля. Всё это дополнено спортивной и современной эстетикой в ярком красном цвете.
Преимущества, которые действительно важны:
Литой PU-верх для повышенной прочности и гибкости
Дополнительные усиления в зонах интенсивного износа
Интегрированные регулируемые ремни для превосходной стабильности
Исключительно комфортная EVA-промежуточная подошва
Встроенная торсионная вставка для улучшения поперечной устойчивости
Специальная подошва с шипами («spike sole»), оптимизированная для игры на грунтовых кортах
Подготовьте будущих чемпионов с Pādel Nuestro! Не упустите возможность предложить юным спортсменам высокопроизводительную обувь. В Pādel Nuestro вы найдёте Head Revolt Pro 5.0 Clay Junior по лучшей цене и с гарантией качества.</t>
  </si>
  <si>
    <t>Revolt Pro 5.0 Junior WHNV</t>
  </si>
  <si>
    <t>275266-WHNV</t>
  </si>
  <si>
    <t>белый/синий</t>
  </si>
  <si>
    <t>Sprint 3.5 Junior</t>
  </si>
  <si>
    <t>275303-BBFC</t>
  </si>
  <si>
    <t>Юниорские кроссовки для тенниса Head Sprint 3.5 Junior – отличный вариант для серьезного юного игрока, стремящегося к агрессивным движениям на корте. Это упрощенная модель Sprint Team 3.5 для взрослых.
Верх кроссовок изготовлен из легкого и дышащего материала. Мягкая подкладка воротника и удобная промежуточная подошва из ЭВА дают достаточную амортизацию во время игры.
Изготовленная из немаркой резины прочная гибридная подошва отлично подходит для различных поверхностей. Встроенные гибкие канавки и боковые резиновые опоры служат для дополнительной устойчивости.
В этих высокоэффективных кроссовках юные теннисисты получат комфорт и поддержку в течение всей игры.</t>
  </si>
  <si>
    <t>поливинилхлорид, полиэстер</t>
  </si>
  <si>
    <t>Sprint Pro 4.0 Junior</t>
  </si>
  <si>
    <t>275325-WHBK</t>
  </si>
  <si>
    <t>Легкий, дышащий комфорт сочетается со свежим стилем в SPRINT PRO 4.0 JUNIOR, которые имеют новый верх из современных, высококачественных материалов. С новой подошвой для всех кортов, которая обеспечивает сцепление на теннисных, падель- и пиклбол-площадках, это очень универсальная обувь для амбициозных юниоров, а также для молодых игроков, которые просто хотят развлечься.
Защита носка и середины стопы из ТПУ
Новый дизайн верха для свежего, современного и первоклассного вида
Новая универсальная подошва для сцепления на кортах для тенниса, падель-тенниса и пиклбола
Легкие, современные, комфортные и эффективные для юниоров
Высокая воздухопроницаемость для дополнительного комфорта на корте.</t>
  </si>
  <si>
    <t>13,5К</t>
  </si>
  <si>
    <t>Sprint Pro 4.0 Junior BBTE</t>
  </si>
  <si>
    <t>275326-BBTE</t>
  </si>
  <si>
    <t>Sprint Court 4.0 Junior</t>
  </si>
  <si>
    <t>275405-DBRD</t>
  </si>
  <si>
    <t>HEAD Sprint Court 4.0 Junior сочетает игривый стиль и легкий, дышащий комфорт, что делает эту модель идеальным выбором для юных спортсменов. Верх из дышащей сетки с накладками из прочной синтетической кожи обеспечивает надежную посадку и долговечную поддержку, а мягкий воротник и подкладка добавляют комфорта на весь день. Легкая промежуточная подошва из ЭВА-материала обеспечивает упругую амортизацию для быстрых движений, а гибридная наружная подошва гарантирует надежное сцепление на различных покрытиях кортов. Дизайн с резиновой подошвой, не оставляющей следов, и дополнительными боковыми протекторами обеспечивает устойчивость и износостойкость для активных детей.</t>
  </si>
  <si>
    <t>275406-BBTE</t>
  </si>
  <si>
    <t>Sprint Court 4.0 Junior RDDR</t>
  </si>
  <si>
    <t>275416-RDDR</t>
  </si>
  <si>
    <t>Sprint Court 4.0 Junior LGPN</t>
  </si>
  <si>
    <t>275426-LGPN</t>
  </si>
  <si>
    <t>275435-WHBK</t>
  </si>
  <si>
    <t>Sprint Velcro 4.0 Kids</t>
  </si>
  <si>
    <t>275535-WHBK</t>
  </si>
  <si>
    <t>Дети быстро оценят больше удовольствия от игры в модели SPRINT VELCRO 4.0 KIDS , которая оснащена застёжкой на липучке для удобного надевания и снимания, а также быстрой регулировки посадки и комфорта. Новый верх выполнен из дышащей сетки и прочной полиуретановой ткани, а обновлённая подошва подходит для всех типов кортов, обеспечивая надёжное сцепление на теннисных, падельных и пиклбол площадках. Лёгкость, современный комфорт и спортивные характеристики дополнены ярким, игривым дизайном.
Застёжка на липучке для удобного надевания и точной регулировки посадки
Новый верх из дышащей сетки с прочным полиуретаном
Новая подошва для всех типов кортов — надёжное сцепление на теннисных, падельных и пиклбол площадках
Игровой, яркий дизайн
Лёгкость и современный комфорт для юных спортсменов</t>
  </si>
  <si>
    <t>SAVANNAH EXTREME CDX</t>
  </si>
  <si>
    <t>HDWCO7200-1070</t>
  </si>
  <si>
    <t>кроссовки</t>
  </si>
  <si>
    <t>Стильные женские кроссовки для бега, выполнены из прочных синтетических материалов. Яркий дизайн. Амортизирующая подошва и стелька.</t>
  </si>
  <si>
    <t>верх полиуретан 70%, полиэстер 30%, подкладка  текстиль, подошва резина, стелька текстиль</t>
  </si>
  <si>
    <t>36</t>
  </si>
  <si>
    <t>Head HURON HIGH</t>
  </si>
  <si>
    <t>HDW315020-4220</t>
  </si>
  <si>
    <t>Кроссовки Head HURON - это инновационная обувь, которая обеспечивает выдающиеся результаты в любом виде спорта. Их ультралегкий дизайн позволяет вам двигаться быстрее и легче, не загружая вас лишним весом.
Кроссовки HURON имеют уникальную подошву, которая обеспечивает максимальную амортизацию и улучшенное сцепление на любых поверхностях благодаря технологии TRINERGY. Она также повышает эффективность движений и помогает снижать усталость ног во время интенсивных тренировок.
Обувь Head HURON изготовлена из высококачественных материалов, которые обеспечивают долговечность и комфорт при ношении. Они имеют стильный и современный дизайн, который привлекает внимание окружающих.
С кроссовками HURON от Head вы достигнете максимума в своих любимых видах спорта. Выберите кроссовки Head HURON и наслаждайтесь максимальным комфортом при каждом движении!</t>
  </si>
  <si>
    <t>Верх: Замша 60%; Полиуретан 20%; Нейлон 20% Подкладка: Текстиль Подошва: ЭВА; Резина Стелька: Текстиль; ЭВА</t>
  </si>
  <si>
    <t>Head HURON MIX</t>
  </si>
  <si>
    <t>HDW315015-7120</t>
  </si>
  <si>
    <t>Head SMOK MIX</t>
  </si>
  <si>
    <t>HDW318405-2081</t>
  </si>
  <si>
    <t>Кроссовки от производителя профессионального спортивного снаряжения Head решают сразу несколько задач. Ты мгновенно оказываешься в центре всеобщего внимания благодаря броскому, даже дерзкому дизайну. Ты бросаешь себе вызов, потому что кроссовки, которые носили легендарные теннисисты, обязывают тебя соответствовать. Ты перестаешь ходить по земле и начинаешь летать над ней - благодаря особому материалу подошвы (ЭВА/резина). Вообще покупка этих кроссовок может повлечь за собой непредсказуемые последствия вроде регулярных занятий спортом. Тебе не захочется их снимать. Чувство тотального комфорта обволакивает ноги. Секрет отчасти в особом основном материале (текстиль), отчасти в дышащей подкладке (Текстиль) , но главное - в многолетних наработках спецов из Head, знающих всё о профессиональной спортивной обуви, реализованных в этой модели.</t>
  </si>
  <si>
    <t>Верх: Текстиль 80%; Полиуретан 20% Подкладка: Текстиль Подошва: ЭВА; Резина Стелька: Текстиль; ЭВА</t>
  </si>
  <si>
    <t>Sprint Pro 4.0 Men LGPN</t>
  </si>
  <si>
    <t>273166-LGPN</t>
  </si>
  <si>
    <t>Мужская обувь SPRINT PRO 4.0 оснащена новой подошвой для всех типов покрытий и грунтовых кортов, обеспечивающей уверенность на любых поверхностях, а также новой, более износостойкой и дышащей сеткой, которая позволяет совершать быстрые движения с максимальным лёгким комфортом. Вы будете выглядеть быстро и чувствовать себя быстро в обуви с новой промежуточной подошвой из EVA для дополнительной энергоотдачи и свежим, элегантным дизайном с брендингом HEAD с обеих сторон. Усовершенствованная технология Delta Strap с ремешками на внешней и внутренней стороне верха надёжно фиксирует стопу и обеспечивает быстрые перемещения на корте. Дополнительный комфорт обеспечивает интегрированная система охлаждения, улучшающая воздухопроницаемость.
Новая, более прочная и дышащая сетка из ТПУ
Новый универсальный рисунок подошвы для сцепления на всех покрытиях
Новая промежуточная подошва из EVA с пеноматериалом для дополнительной энергоотдачи
Быстрый, элегантный внешний вид
Новый брендинг HEAD с обеих сторон верха
Улучшенная технология Delta Strap для повышенной стабильности и посадки
Интегрированная система охлаждения улучшает воздухопроницаемость
Внешняя пятка из ТПУ
Конструкция типа «носок» для комфорта и фиксации</t>
  </si>
  <si>
    <t>Синтетика, резина</t>
  </si>
  <si>
    <t>Revolt Pro 5.0 Men LGPN</t>
  </si>
  <si>
    <t>273246-LGPN</t>
  </si>
  <si>
    <t>HDWCO7200-1080</t>
  </si>
  <si>
    <t>Revolt Court</t>
  </si>
  <si>
    <t>273505-BKGR</t>
  </si>
  <si>
    <t>Кроссовки Revolt Court Men - это надежные и удобные теннисные кроссовки, созданные для профессиональных и любительских игроков. Их высокотехнологичная конструкция обеспечивает отличную поддержку стопы и исключительную амортизацию, что позволяет снизить риск травм и повреждений во время игры. Особенности, такие как материал верха с дополнительными вентиляционными отверстиями, позволяют ногам дышать и оставаться сухими, даже во время самых интенсивных матчей.</t>
  </si>
  <si>
    <t>11,5</t>
  </si>
  <si>
    <t>273515-WHPG</t>
  </si>
  <si>
    <t>13</t>
  </si>
  <si>
    <t>Revolt Court W</t>
  </si>
  <si>
    <t>274505-BKPL</t>
  </si>
  <si>
    <t>REVOLT COURT, обновленный новым дизайном, сочетает в себе современную эстетику и легкий комфорт. Это идеальная обувь для обычных игроков выходного дня и серьезных новичков.
• Легкий и комфортный вес, который не подведет вас на корте.
• Обновленный дизайн придает современный вид.</t>
  </si>
  <si>
    <t>274515-WHGR</t>
  </si>
  <si>
    <t>Wristband 5"</t>
  </si>
  <si>
    <t>285070-NV</t>
  </si>
  <si>
    <t>Напульсники</t>
  </si>
  <si>
    <t>Напульсник Head 5" шириной 12,7 см. 100% обеспечивает максимальное впитывание влаги (пота) и абсолютный комфорт. 2 напульсника в одной упаковке.</t>
  </si>
  <si>
    <t>NV</t>
  </si>
  <si>
    <t>285070-RD</t>
  </si>
  <si>
    <t>Напульсник Head Wristband 5   для дополнительного комфорта и максимальной абсорбции пота.Длина 5"" (~12,7 см). 2 напульсника в одной упаковке.</t>
  </si>
  <si>
    <t>RD</t>
  </si>
  <si>
    <t>Basic Padel Full Size Coverbag</t>
  </si>
  <si>
    <t>285042</t>
  </si>
  <si>
    <t>Чехол для падел ракетки</t>
  </si>
  <si>
    <t>Современный дизайн: Чехол выполнен в современном стиле с элегантным сочетанием чёрного и белого цветов.
ВЫСОКОКАЧЕСТВЕННАЯ ЗАЩИТА: Изготовлен из высококачественных материалов для надёжной защиты вашей ракетки для падела.
НЕОБХОДИМЫЙ АКСЕССУАР: Идеально подходит для серьёзных игроков, которые хотят поддерживать свою ракетку в оптимальном состоянии.</t>
  </si>
  <si>
    <t>Wristband 2.5"</t>
  </si>
  <si>
    <t>285050-BL</t>
  </si>
  <si>
    <t>Напульсники Head 2,5", шириной 7 см. 100% обеспечивает максимальное впитывание влаги (пота) и абсолютный комфорт. 2 напульсника в одной упаковке.</t>
  </si>
  <si>
    <t>BL</t>
  </si>
  <si>
    <t>285050-NV</t>
  </si>
  <si>
    <t>Напульсник Head 2,5", шириной 7 см.
100% обеспечивает максимальное впитывание влаги (пота) и абсолютный комфорт.
2 напульсника в одной упаковке.</t>
  </si>
  <si>
    <t>285050-RD</t>
  </si>
  <si>
    <t>Напульсники Head 2,5", шириной 7 см. 100% обеспечивает максимальное впитывание влаги (пота) и абсолютный комфорт. 2 напульсника в одной упаковке. Упаковка - полиэтиленовый пакет с хедером.</t>
  </si>
  <si>
    <t>285070-AN</t>
  </si>
  <si>
    <t>AN</t>
  </si>
  <si>
    <t>285070-BK</t>
  </si>
  <si>
    <t>BK</t>
  </si>
  <si>
    <t>285070-BL</t>
  </si>
  <si>
    <t>285070-OR</t>
  </si>
  <si>
    <t>оранжевый</t>
  </si>
  <si>
    <t>OR</t>
  </si>
  <si>
    <t>Super Comp</t>
  </si>
  <si>
    <t>285088-WH</t>
  </si>
  <si>
    <t>Прочий инвентарь</t>
  </si>
  <si>
    <t>WH</t>
  </si>
  <si>
    <t>Xtra Damp</t>
  </si>
  <si>
    <t>285511-BK</t>
  </si>
  <si>
    <t>Виброгасители</t>
  </si>
  <si>
    <t>Резина 100%</t>
  </si>
  <si>
    <t>Leather Tour</t>
  </si>
  <si>
    <t>282010-BW</t>
  </si>
  <si>
    <t>Базовая намотка</t>
  </si>
  <si>
    <t>Эта новая намотка категории high-end изготовляется из кожи для чрезвычайно тонких игровых ощущений. Выбор номер один среди профессионалов.</t>
  </si>
  <si>
    <t>BW</t>
  </si>
  <si>
    <t>285088-BK</t>
  </si>
  <si>
    <t>Овергрип Head Super Comp - дополнительная универсальная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Тонкая намотка из специально разработанного материала приятна на ощупь и обеспечивает идеальное впитывание. Толщина 0.5 мм. В упаковке 3 шт.</t>
  </si>
  <si>
    <t>Smartsorb</t>
  </si>
  <si>
    <t>288011-SI</t>
  </si>
  <si>
    <t>Виброгаситель в виде полоски, зауженной на концах, обеспечивает максимальное поглощение вибраций.</t>
  </si>
  <si>
    <t>полиэстер 100%</t>
  </si>
  <si>
    <t>SI</t>
  </si>
  <si>
    <t>HydroSorb Pro</t>
  </si>
  <si>
    <t>285303-GZ</t>
  </si>
  <si>
    <t>Сочетание надежного хвата и комфорта обеспечивает лучшее ощущение ракетки. Толщина 1,75 мм.</t>
  </si>
  <si>
    <t>GZ</t>
  </si>
  <si>
    <t>285303-WH</t>
  </si>
  <si>
    <t>285303-YW</t>
  </si>
  <si>
    <t>HydroSorb Comfort</t>
  </si>
  <si>
    <t>285313-BK</t>
  </si>
  <si>
    <t>Двухканальная система обеспечивает комфорт и циркуляцию воздуха, в то время как эластомерный материал гарантирует надежную хватку. Без перфорации. Со слегка выраженными контурами. Увеличена амортизация и способность поглощать вибрацию, прекрасно защищает руку. Толщина 2,1 мм.</t>
  </si>
  <si>
    <t>285313-WH</t>
  </si>
  <si>
    <t>285088-BL</t>
  </si>
  <si>
    <t>Zverev Dampener</t>
  </si>
  <si>
    <t>285120-BLYW</t>
  </si>
  <si>
    <t>Виброгаситель Head Zverev Dampener из силикона и каучука крепится между 2 центральными продольными струнами.
Он уменьшает вибрации струны, делает удары более комфортными и защищает локтевой сустав игрока.</t>
  </si>
  <si>
    <t>синий/желтый</t>
  </si>
  <si>
    <t>BLYW</t>
  </si>
  <si>
    <t>285120-TEHL</t>
  </si>
  <si>
    <t>Поклонники Саши Зверева не захотят пропустить эти виброгасители, посвященные звезде тенниса и его новой ракетке Gravity! Они снижают вибрацию, обеспечивают повышенный комфорт и снижают риск теннисного локтя.</t>
  </si>
  <si>
    <t>зеленый/красный</t>
  </si>
  <si>
    <t>полиэстер</t>
  </si>
  <si>
    <t>TEHL</t>
  </si>
  <si>
    <t>285511-OR</t>
  </si>
  <si>
    <t>Pro Damp</t>
  </si>
  <si>
    <t>285515-PK</t>
  </si>
  <si>
    <t>100% Резина</t>
  </si>
  <si>
    <t>PK</t>
  </si>
  <si>
    <t>285515-YW</t>
  </si>
  <si>
    <t>Виброгаситель Head Pro Damp из мягкой силиконовой резины крепится на струны теннисных ракеток. Благодаря мягким материалам, снижает вибрацию, уменьшает колебания струны, обеспечивая увеличенный комфорт, и уменьшая риск теннисного локтя.</t>
  </si>
  <si>
    <t>Djokovic Dampener</t>
  </si>
  <si>
    <t>285704-WH</t>
  </si>
  <si>
    <t>Виброгаситель из уникальной резино-силиконовой смеси эффективно поглощает вибрацию струн, делая процесс игры гораздо комфортнее и защищая локтевой сустав от лишних нагрузок. Модель используется Новаком Джоковичем и декорирована его логотипом.</t>
  </si>
  <si>
    <t>285511-YW</t>
  </si>
  <si>
    <t>Dual Absorbing</t>
  </si>
  <si>
    <t>285034-BK</t>
  </si>
  <si>
    <t>HydroSorb</t>
  </si>
  <si>
    <t>285014-BKRD</t>
  </si>
  <si>
    <t>Двухканальная система для максимального комфорта и проникновения воздуха. Перфорированная поверхность оптимально впитывает пот и обеспечивает отличный захват. Толщина 1,8 мм.</t>
  </si>
  <si>
    <t>BKRD</t>
  </si>
  <si>
    <t>285303-BK</t>
  </si>
  <si>
    <t>Prime Tour 12 pcs Pack (Overgrip)</t>
  </si>
  <si>
    <t>285631-BK</t>
  </si>
  <si>
    <t>Намотка</t>
  </si>
  <si>
    <t>Абсолютно новая обмотка PRIME TOUR обеспечивает идеальное сочетание комфорта и липкости для идеального ощущения ракетки в руке. 12 штук в упаковке</t>
  </si>
  <si>
    <t>285631-PK</t>
  </si>
  <si>
    <t>Овергрипы</t>
  </si>
  <si>
    <t>Намотка Head Prime Tour 12P. Отличный выбор для игрока, которому требуется быстрое впитывание влаги. Идеальное сочетание липкой пленки и впитывающей способности, обеспечивающее исключительный комфорт пользователю.</t>
  </si>
  <si>
    <t>285631-WH</t>
  </si>
  <si>
    <t>XtremeSoft</t>
  </si>
  <si>
    <t>285104-BK</t>
  </si>
  <si>
    <t>Липкая на ощупь намотка с дополнительной перфорацией обеспечивает комфорт и максимальное впитывание. Толщина 0,5 мм.</t>
  </si>
  <si>
    <t>285104-BL</t>
  </si>
  <si>
    <t>285621-PK</t>
  </si>
  <si>
    <t>Prestige Pro Overwrap</t>
  </si>
  <si>
    <t>282009-BK</t>
  </si>
  <si>
    <t>Дополнительная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и обладает повышенным впитыванием влаги. Данный овергрип изготовлен из особо прочного полиуретанового эластомера без перфорации.
Толщина: 0,55 мм
Комплект из 3 намоток</t>
  </si>
  <si>
    <t>Полимерные материалы; синтетические материалы</t>
  </si>
  <si>
    <t>282009-WH</t>
  </si>
  <si>
    <t>HydroSorb Grip</t>
  </si>
  <si>
    <t>285014-GRBK</t>
  </si>
  <si>
    <t>Базовый грип</t>
  </si>
  <si>
    <t>GRBK</t>
  </si>
  <si>
    <t>285014-WHBK</t>
  </si>
  <si>
    <t>WHBK</t>
  </si>
  <si>
    <t>Защитная лента</t>
  </si>
  <si>
    <t>285018-BK</t>
  </si>
  <si>
    <t>Лента превосходно защищает обод ракетки от сколов и царапин. Позволяет надолго сохранить целостность ракетки. Длина 5 метров.</t>
  </si>
  <si>
    <t>285018-WH</t>
  </si>
  <si>
    <t>285104-PK</t>
  </si>
  <si>
    <t>285104-RD</t>
  </si>
  <si>
    <t>285104-WH</t>
  </si>
  <si>
    <t>XtremeTrack</t>
  </si>
  <si>
    <t>285124-BK</t>
  </si>
  <si>
    <t>Максимально комфортные ощущения, линии сцепления и липкая поверхность для крепкого захвата и контроля. Усиленная перфорация для лучшего впитывания. Толщина 0,6 мм.</t>
  </si>
  <si>
    <t>285124-WH</t>
  </si>
  <si>
    <t>285303-CS</t>
  </si>
  <si>
    <t>CS</t>
  </si>
  <si>
    <t>One Size</t>
  </si>
  <si>
    <t>285303-TE</t>
  </si>
  <si>
    <t>TE</t>
  </si>
  <si>
    <t>XtremeSoft 30 pcs Pack</t>
  </si>
  <si>
    <t>285415-BK</t>
  </si>
  <si>
    <t>Липкая на ощупь намотка с дополнительной перфорацией обеспечивает комфорт и максимальное впитывание. Толщина 0,5 мм. Бобина на 30 намоток.</t>
  </si>
  <si>
    <t>Xtreme Soft 60 pcs Box</t>
  </si>
  <si>
    <t>285425-WH</t>
  </si>
  <si>
    <t>Head Xtremesoft (60 шт.) - черный Мягкая, тонкая и липкая пленка из прочного эластомера. Благодаря большим отверстиям отлично впитывает пот. Повышает ощущение и комфорт игры и предотвращает неконтролируемое вращение ракетки. С его помощью можно увеличить толщину ручки без изменения ее формы.</t>
  </si>
  <si>
    <t>Полиэстер</t>
  </si>
  <si>
    <t>Prestige Pro 30 pcs Pack</t>
  </si>
  <si>
    <t>285445-BK</t>
  </si>
  <si>
    <t>Head Prestige Pro — это высокоэффективная обмотка. Она обеспечивает оптимальный контакт между рукой и ракеткой, обеспечивая надежное сцепление и превосходное ощущение сухости.</t>
  </si>
  <si>
    <t>285445-WH</t>
  </si>
  <si>
    <t>285511-WH</t>
  </si>
  <si>
    <t>Виброгаситель Head Xtra Damp в форме логотипа Head крепится на струны теннисных ракеток. Благодаря мягким материалам, снижает вибрацию, уменьшает колебания струны, обеспечивая увеличенный комфорт, и уменьшая риск теннисного локтя.​</t>
  </si>
  <si>
    <t>285515-BK</t>
  </si>
  <si>
    <t>285515-BL</t>
  </si>
  <si>
    <t>285621-CS</t>
  </si>
  <si>
    <t>285621-MI</t>
  </si>
  <si>
    <t>MI</t>
  </si>
  <si>
    <t>285621-OR</t>
  </si>
  <si>
    <t>285621-SN</t>
  </si>
  <si>
    <t>SN</t>
  </si>
  <si>
    <t>285631-BL</t>
  </si>
  <si>
    <t>Овергрип</t>
  </si>
  <si>
    <t>285631-OR</t>
  </si>
  <si>
    <t>285631-YW</t>
  </si>
  <si>
    <t>Prime Tour 30 pcs Pack (Overgrip)</t>
  </si>
  <si>
    <t>285641-BK</t>
  </si>
  <si>
    <t>Абсолютно новая обмотка PRIME TOUR обеспечивает идеальное сочетание комфорта и липкости для идеального ощущения ракетки в руке. 30 штук в упаковке</t>
  </si>
  <si>
    <t>285641-PK</t>
  </si>
  <si>
    <t>285641-WH</t>
  </si>
  <si>
    <t>Prime Tour 60 pcs Pack (Overgrip)</t>
  </si>
  <si>
    <t>285661-BK</t>
  </si>
  <si>
    <t>Абсолютно новая обмотка PRIME TOUR обеспечивает идеальное сочетание комфорта и липкости для идеального ощущения ракетки в руке. 60 штук в упаковке</t>
  </si>
  <si>
    <t>285661-WH</t>
  </si>
  <si>
    <t>IG Speed Jr. 21</t>
  </si>
  <si>
    <t>230034SC05</t>
  </si>
  <si>
    <t>Ракетка</t>
  </si>
  <si>
    <t>Ракетки</t>
  </si>
  <si>
    <t>Подойдет детям, которые тренируются по системе 10s мячами с красной точкой на маленьком корте или  мячами с оранжевой точкой на корте 3/4. Детская модель ракетки, разработанная специально для юных теннисистов.
Характеристики:
Площадь головы (см²): 590
Со струнами: Да
Вес (гр.): 200
Длина (дюйм): 21 (рост 115-125 см.)
Баланс (мм. от торца ручки): 250
Ширина обода (мм.): 21 / 21 / 21
Схема натяжки: 16 / 17
Состав: Композит
Чехол: Да
Тип: Детские
Размер ручки: 6</t>
  </si>
  <si>
    <t>SC05</t>
  </si>
  <si>
    <t>MX Attitude Comp (blue)</t>
  </si>
  <si>
    <t>234723SC30</t>
  </si>
  <si>
    <t>Теннисная ракетка Ручка 3</t>
  </si>
  <si>
    <t>Любительская ракетка для тенниса Head MX Attitude Comp предлагает максимальный контроль при достаточной мощности и хорошо подойдет соревнующимся игрокам-любителям с коротким и средним замахом.
Выполненная из графитового композита ракетка обеспечивает комфорт и удобство игры. Стандартный размер головы обеспечивает большую игровую зону, а струнная формула открытого типа 16x19 дает хорошее вращение. Благодаря небольшому весу ракетка обладает отличной маневренностью.
Купив ракетку Head MX Attitude Comp, вы получите оптимальное сочетание управляемости, контроля и мощности.
Технологии
Metallix™
В область вилки ракетки интегрирована комбинация графитовых волокон из двух специальных матриц, размер частиц которых в тысячу раз меньше, чем у типичного металла. Эти матрицы усиливают вилку ракетки, что существенно увеличивает ее мощность.
Комплектация
Ракетка поставляется с предварительно натянутыми струнами и комплектуется чехлом.</t>
  </si>
  <si>
    <t>композитный материал</t>
  </si>
  <si>
    <t>SC30</t>
  </si>
  <si>
    <t>Extreme Jr. 19</t>
  </si>
  <si>
    <t>235442SC05</t>
  </si>
  <si>
    <t>Детская теннисная ракетка</t>
  </si>
  <si>
    <t>Ракетка разработана для детей ростом 100-115 см, которые только начинают обучаться игре. Алюминиевый обод позволяет получить недорогую и легкую в производстве модель, которая подойдет начинающим игрокам.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t>
  </si>
  <si>
    <t>Композитный материал</t>
  </si>
  <si>
    <t>Extreme Jr. 23  ручка 06</t>
  </si>
  <si>
    <t>235422SC06</t>
  </si>
  <si>
    <t>Теннисная ракетка</t>
  </si>
  <si>
    <t>Детская теннисная ракетка Head Extreme Jr. 23 с ярким дизайном — отличный вариант для комфортного старта на корте. Модель выполнена из алюминия и оснащена вставкой Damp+, которая изолирует удар и уменьшает вибрацию. Подходит для детей в возрасте от 6 до 8 лет.
Комфорт
Увеличенная площадь струнной поверхности (630 см2) помогает юному спортсмену точнее попадать по мячу и делает удары более мощными.
Проверенное качество
Ракетка от ведущего производителя теннисного инвентаря идеально подходит для отработки навыков и способствует быстрому прогрессу вашего ребенка.</t>
  </si>
  <si>
    <t>SC06</t>
  </si>
  <si>
    <t>MX Spark ELITE (white) руч.1</t>
  </si>
  <si>
    <t>235344SC10</t>
  </si>
  <si>
    <t>HEAD MX Spark Elite – замечательно подходит для игроков отдающих предпочтение комфортной игре. Алюминиевый композит обеспечивает правильный баланс мощности и прочности. Ракетки поставляются в комплекте с чехлом и натянутой струной. 
Размер головы (кв.см.):
102
Вес без натяжки (гр.):
265
Длина:
685
Баланс (см. от торца ручки):
335.00
Струнная формула:
16*19</t>
  </si>
  <si>
    <t>100% Композитный материал</t>
  </si>
  <si>
    <t>SC10</t>
  </si>
  <si>
    <t>Extreme Jr. 2024</t>
  </si>
  <si>
    <t>231154SC00</t>
  </si>
  <si>
    <t>Игроки клубного уровня оценят размер головы MidPlus, который обеспечивает удобное игровое пятно. Обод ракетки имеет среднюю жесткость, что подойдет как для атакующей игры так и защитной. Подойдет детям, которые тренируются по системе 105 мячами с зеленой точкой или желтыми мячами. Ракетка имеет нейтральный баланс что делает ее универсально удобной дл игроков как атакующего стиля так и защитного.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Обод изготовлен из 100% высокомодульного графита, который обеспечит максимальное чувство мяча современной ракетки. Укороченная модель для того чтобы ребенок как можно быстрее научился играть на счет.
Подробную информацию о том, как выбрать теннисную ракетку Вы можете получить в нашем разделе "Как выбрать", ссылка на который находится в верхнем меню.</t>
  </si>
  <si>
    <t>SC00</t>
  </si>
  <si>
    <t>Boom Jr. 2024</t>
  </si>
  <si>
    <t>230164SC00</t>
  </si>
  <si>
    <t>Детская теннисная ракетка Head Boom JR 2024 Предложение для амбициозных юниоров, которым нужна ракетка, сочетающая взрывную мощь и очень хороший игровой комфорт. Модель Boom JR 2024, как и ее старшие аналоги, выполнена по технологии Auxetic 2.0. Это приводит к еще лучшему ощущению и контролю каждого удара. Инновационная форма головки обеспечивает большую зону наилучшего восприятия и в сочетании с утолщенным профилем рамы дополнительно поддерживает динамику. Классическое расположение струн 16/19 облегчает вращение мяча. Все это дополняется современным дизайном, который точно отражает внешний вид ракеток серии Boom для взрослых. Ракетка предназначена для юниоров от 10 до 12 лет ростом 141-155 см. Продается в комплекте с чехлом и установленным на заводе натяжителем.</t>
  </si>
  <si>
    <t>IG Gravity Jr. 21</t>
  </si>
  <si>
    <t>235033SC06</t>
  </si>
  <si>
    <t>Ракетка HEAD IG Gravity -  поможет детям начать увлекательное теннисное путешествие. Изготовленная из легкого графитового композита, ракетка Gravity Comp по весу и характеристикам идеально подходит для начинающих игроков, а также для тех у, кто уже выиграл не один матч, предназначена для самых юных спортсменов в возрасте от 4 до 6 лет, рост 100-113 см.
Ракетка поставляется в комплекте с чехлом на голову и натянутой струной.
Длина: 21 дюйм (53,8 см)
Вес без струн: 200 г
Схема натяжки (формула струн): 16 x 17
Площадь головы: 91 кв.дюймов/590 кв.см</t>
  </si>
  <si>
    <t>Radical Jr. 21</t>
  </si>
  <si>
    <t>234933SC05</t>
  </si>
  <si>
    <t>HEAD Radical 21 -  ракетка для детей от 4 до 6 лет, рост 101-113 см.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21 дюймов (53,5 см)
Вес без струн: 180 г 
Схема натяжки (формула струн): 16 x 17
Площадь головы: 81 кв.дюймов/520 кв.см
Профиль: 20 мм
Баланс: в голову
Жесткость: 45</t>
  </si>
  <si>
    <t>Extreme Jr. 21  ручка 06</t>
  </si>
  <si>
    <t>235432SC06</t>
  </si>
  <si>
    <t>HEAD Extreme Jr 21 - ракетка для детей от 4 до 6 лет, рост 101-113 см.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21 дюйм (53,5 см)
Вес без струн: 180 г
Схема натяжки (формула струн): 16 x 17
Площадь головы: 81 кв.дюймов/520 кв.см
Баланс 255мм (на 1/2 в ручку)
Ручка: 06</t>
  </si>
  <si>
    <t>Speed Jr. 2024</t>
  </si>
  <si>
    <t>236054SC10</t>
  </si>
  <si>
    <t>Стандартный для современной ракетки размер головы обеспечивает оптимальное сочетание мощности и контроля. Подойдет детям, которые тренируются по системе 10ѕ мячами с зеленой точкой или желтыми мячами. Смещенный в ручку баланс делает ракетку очень маневренной и легко разгоняемой что позволит получить преимущество в быстрых розыгрышах. Игроки современной манеры игры оценят высокое сцепление с мячом и хороший потенциал вращения, полученные благодаря струнной формуле 16х19. Полностью графитовый обод, что позволит получить отличное чувство мяча и мощность.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t>
  </si>
  <si>
    <t>Novak 21</t>
  </si>
  <si>
    <t>235024SC05</t>
  </si>
  <si>
    <t>Яркая ТЕННИСНАЯ РАКЕТКА NOVAK 21, названная в честь Новака Джоковича, идеально подходит для мальчиков в возрасте до 4 лет (до 100 см), которые только начинают играть в теннис. Эта ракетка оснащена вставкой Damp+, снижающей вибрацию. Вес без струн:215 гр., Формула струн 16х18, Размер головы 98 дюймов, Баланс 28 см, Длина 21 дюйм.</t>
  </si>
  <si>
    <t>Extreme Jr. 23</t>
  </si>
  <si>
    <t>231424SC06</t>
  </si>
  <si>
    <t>алюминий</t>
  </si>
  <si>
    <t>231235SC05</t>
  </si>
  <si>
    <t>MX Spark COMP (petrol)</t>
  </si>
  <si>
    <t>235334SC20</t>
  </si>
  <si>
    <t>HEAD MX Spark Comp  – замечательно подходит для игроков отдающих предпочтение комфортной игре. Графитовый композит обеспечивает правильный баланс мощности и прочности. 
Ракетки поставляются в комплекте с чехлом и натянутой струной.
Длина: 27 дюймов (68,5 см)
Площадь головы ракетки:: 100 кв. дюйма (645 кв.см)
Вес без струн: 270г 
Баланс: 330 мм
Жесткость: 45 
Схема натяжки (формула струн): 16x19</t>
  </si>
  <si>
    <t>SC20</t>
  </si>
  <si>
    <t>Graphene Touch Instinct XTR</t>
  </si>
  <si>
    <t>231224S20</t>
  </si>
  <si>
    <t>Теннисная ракетка руч.2</t>
  </si>
  <si>
    <t>Голова ракетки имеет увеличенную площадь, что добавит вращения и мощности ударам. Один из самых мягких ободов среди современных ракеток. Игроки, которым необходимо увеличить глубину ударов, оценят баланс ракетки смещенный в голову. Конструкция ракетки направлена на получение мощности и поэтому игроки защитного стиля оценят эту версию популярной модели. Формула из 16 продольных и 19 поперечных струн направлена на мощность и вращение, тем не менее струна будет изнашиваться быстрее. Обод изготовлен из 100% высокомодульного графита, который обеспечит максимальное чувство мяча современной ракетки. Чуть более легкая версия стандартной ракетки для большей маневренности и скорости.
Характеристики:
Площадь головы (см²): 660
Вес (гр.): 270
Длина (дюйм): 27 (68.5 см.)
Баланс (мм. от торца ручки): 340
Мощность: Средняя
Ширина обода (мм.): 23.5 / 26 / 21
Схема натяжки: 16 / 19
Состав: Графит</t>
  </si>
  <si>
    <t>S20</t>
  </si>
  <si>
    <t>Speed Jr. 25</t>
  </si>
  <si>
    <t>230344SC07</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</si>
  <si>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25. Голова 105". Струнная формула 16х19. Вес 240 грамм. Баланс 30,5 см. ручка 07. Со струнами. С чехлом.</t>
  </si>
  <si>
    <t>100% Алюминий</t>
  </si>
  <si>
    <t>SC07</t>
  </si>
  <si>
    <t>Speed Jr. 23</t>
  </si>
  <si>
    <t>230354SC06</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</si>
  <si>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23. Голова 98". Струнная формула 16х18. Вес 215 грамм. Баланс 28 см. ручка 06. Со струнами. С чехлом.</t>
  </si>
  <si>
    <t>Radical Jr. 19</t>
  </si>
  <si>
    <t>234943SC05</t>
  </si>
  <si>
    <t>Детская ракетка HEAD Radical 19 предназначена для самых юных теннисистов, помогает детям 2-4х лет начать свой теннисный путь максимально комфортно. 
Алюминиевая ракетка оснащена уникальной вставкой Damp+, которая изолирует удары и снижает вибрацию. 
Яркий дизайн ракетки и перевернутый логотип подчеркивают универсальность ракетки.
Ракетки поставляются в комплекте с чехлом и натянутой струной.
Площадь головы: 81 кв. дюймов (520 кв. см) 
Длина: 19 дюймов (48,5 см) 
Вес без струн: 175 г
Баланс: 230 мм (в голову)
Жесткость: 35
Схема натяжки (формула струн): 16 x 17</t>
  </si>
  <si>
    <t>230034SC06</t>
  </si>
  <si>
    <t>MX Attitude ELITE (pink)</t>
  </si>
  <si>
    <t>231355SC20</t>
  </si>
  <si>
    <t>За счет увеличенного размера головы игрок получит дополнительную мощность. Смещенный в голову баланс ракетки обеспечит дополнительную мощность и глубину. Игроки начального и среднего любительского уровня оценят высокую мощность данной модели, которая позволит уверенно играть на счет. Формула из 16 продольных и 19 поперечных струн направлена на мощность и вращение, тем не менее струна будет изнашиваться быстрее. Начинающие игроки и девушки оценят облегченный вес и маневренность.; Площадь головы (см²): 660; Со струнами: Да; Вес (гр.): 265; Длина (дюйм): 27 (68.5 см.); Баланс (мм. от торца ручки): 336; Мощность: Высокая; Ширина обода (мм.): 22; Схема натяжки: 16 / 19; Состав: Алюминий; Чехол: Да</t>
  </si>
  <si>
    <t>Extreme Jr. 21</t>
  </si>
  <si>
    <t>231434SC05</t>
  </si>
  <si>
    <t>Ракетка для большого тенниса HEAD Extreme Jr 21 - идеальный выбор для начинающих теннисистов в возрасте 5-8 лет. Изготовленная из высококачественного алюминия, легкая и прочная ракетка обеспечивает комфорт и контроль во время игры. Зеленый цвет и интересный дизайн обязательно привлекут внимание самых маленьких игроков. Благодаря технологии Damp+ снижаются вибрации, что способствует точности ударов по мячу. Ракетка сбалансирована на ручке, что облегчает управление ею для детей. Площадь головки 520 см² и расположение струн 16/17 позволяют юным теннисистам наслаждаться высокой мощностью ударов во время игры. Кроме того, в комплект входит чехол для безопасного хранения и транспортировки ракетки. Идеально подходящая для мальчиков и девочек, фирменная теннисная ракетка HEAD сделает обучение теннису не только эффективным, но и увлекательным.
Технические характеристики: 
Цвет: зеленый
Длина: 21"
Баланс: На ручке
Вес (г): 180
Профиль рамы: 20 [мм].
Баланс (мм): 255
Площадь головы: 520 см²
Расположение струн: 16/17
Технология: Damp+</t>
  </si>
  <si>
    <t>кевлавр; бор; дерево; алюминий; графит</t>
  </si>
  <si>
    <t>231435SC05</t>
  </si>
  <si>
    <t>231444SC05</t>
  </si>
  <si>
    <t>231445SC05</t>
  </si>
  <si>
    <t>IG Extreme XCEED</t>
  </si>
  <si>
    <t>232115S20</t>
  </si>
  <si>
    <t>Ракетка для тенниса IG Extreme Xceed идеально подходит для начинающих. Она сочетает в себе современный и впечатляющий дизайн с простотой в обращении, обеспечивая лёгкость и комфорт во время игры. Благодаря полностью графитовой конструкции ракетка гарантирует превосходную гибкость, стабильный контроль и приятное ощущение при каждом ударе.
Материал изготовления: полностью из графита
Дизайн: современный и впечатляющий
Удобство использования: лёгкая и комфортная
Ракетка для тенниса IG Extreme Xceed помогает новым игрокам совершенствовать свои навыки, получая удовольствие от спорта.</t>
  </si>
  <si>
    <t>Radical Team 2026</t>
  </si>
  <si>
    <t>222056</t>
  </si>
  <si>
    <t>Ракетка для Падела</t>
  </si>
  <si>
    <t>Игрокам среднего и продвинутого уровня с тактическим стилем игры ракетка RADICAL TEAM 2026 PADEL обеспечит полный контроль благодаря своей мягкой ударной поверхности из стекловолокна.
Возьмите игру под свой контроль с обновлённой ракеткой RADICAL TEAM 2026, обеспечивающей комфортное ощущение при ударе. Ударная поверхность из стекловолокна придаёт ракетке мягкую жёсткость и дополнительный комфорт, позволяя лучше чувствовать мяч и обеспечивая отличный отскок даже при спокойном темпе игры. Форма «слезинка» повышает универсальность ракетки, а низкий баланс улучшает комфорт и делает её легче в управлении. Эта ракетка идеально подходит для игроков среднего и продвинутого уровня с тактическим стилем, которые контролируют темп игры и ритм мяча. RADICAL TEAM 2026 проста в использовании при защите и позволяет уверенно выходить к сетке для завершения розыгрышей.
Новая схема сверления отверстий под струны улучшает контроль, а модернизированная пена Control Foam стала легче и обеспечивает более сухое и жёсткое ощущение при ударе. Обновлённый премиальный дизайн дополняется новой технологией Soft Cap +: мягкая нижняя часть ручки и система сменных шнурков позволяют персонализировать ракетку, выбирая другой цвет шнурка или легко снимая его для чистки.
Максимальный контроль для продвинутых игроков с тактическим стилем, управляющих темпом игры и ритмом мяча
Легче и маневреннее, чем RADICAL PRO 2026
Форма «слезинка» для повышенной универсальности
Низкий баланс улучшает комфорт и маневренность
Ударная поверхность из стекловолокна для мягкости и повышенного комфорта
Новая схема сверления отверстий — улучшенный контроль и увеличенная зона сладкого пятна
Усовершенствованная пена Control Foam — более сухое и жёсткое ощущение при ударе
Новая технология Soft Cap + со сменной системой шнурков
Технология Auxetic 2.0 — дополнительная мощность и потрясающее ощущение при ударе</t>
  </si>
  <si>
    <t>фибергласс</t>
  </si>
  <si>
    <t>ExtremeTeam</t>
  </si>
  <si>
    <t>223145</t>
  </si>
  <si>
    <t>углеродное волокно (карбон), стекловолокно, вспененный полимер</t>
  </si>
  <si>
    <t>IG Speed Jr. 26</t>
  </si>
  <si>
    <t>230004SC00</t>
  </si>
  <si>
    <t>Созданная из легкого графитового композита и имеющая длину 26 дюймов, теннисная ракетка Speed Jr. 26 идеально подходит для юных игроков в возрасте от 9 до 11 лет, которые любят играть быстро и с контролем. Благодаря своему легкому весу, отличной управляемости и современному дизайну, эта ракетка станет идеальным выбором для первых занятий, позволяя детям получать удовольствие от игры на корте. Технология Innegra обеспечивает поглощение ударов и повышает устойчивость ракетки, а технология Damp Plus снижает вибрации от удара, прежде чем они достигнут рукоятки, обеспечивая более точные тактильные ощущения.
Скорость и контроль для игроков в возрасте от 9 до 11 лет
Легкий графитовый композит
Отличная играбельность
Технология Innegra для поглощения ударов и повышения устойчивости
Технология Damp Plus для улучшения тактильных ощущений
Современный дизайн</t>
  </si>
  <si>
    <t>Композитные материалы</t>
  </si>
  <si>
    <t>IG Speed Jr. 25</t>
  </si>
  <si>
    <t>230014SC07</t>
  </si>
  <si>
    <t>Теннисная ракетка Head Speed Jr. длиной 25 дюймов, изготовленная из легкого графитового композита. Предназначена для юниоров от 8 до 10 лет, которые любят скоростную игру и хороший контроль. Благодаря своему весу и современному дизайну это идеальная первая ракетка, которая позволит детям весело провести время на корте. Технология Innegra обеспечивает амортизацию и повышает устойчивость. Технология Damp Plus поглощает вибрацию при ударе еще до того, как она достигнет рукоятки, что улучшает ощущения при игре.
КОНТРОЛЬ
Площадь струнной поверхности 100 кв. дюймов — это меньше, чем у большинства других ракеток длиной 25 дюймов, зато точно как у большинства взрослых спортивных моделей. В дальнейшем это поможет легко перейти на первую взрослую ракетку.
ГАШЕНИЕ ВИБРАЦИЙ
Если юный спортсмен проводит на корте несколько дней в неделю, ракетка из графитового композита — правильный выбор. Обод из такого материала значительно лучше гасит вредные вибрации, чем алюминиевый.</t>
  </si>
  <si>
    <t>алюминий 100%</t>
  </si>
  <si>
    <t>IG Speed Jr. 23</t>
  </si>
  <si>
    <t>230024SC06</t>
  </si>
  <si>
    <t>Ракетка Speed ​​Jr. 23 изготовленная из легкого графитового композита и имеющая длину 23 дюйм:
- для юниоров в возрасте от 6,5 до 8,5 лет (рост 122-135 см);
- которым нравится играть со скоростью и контролем;
- правильный вес, отличные игровые качества;
- технология Innegra обеспечивает поглощение ударов и улучшает стабильность;
- технология Damp Plus поглощает ударные вибрации до того, как они достигнут рукоятки, для лучшего ощущения;
- современный дизайн для идеальной первой ракетки, с которой дети будут весело проводить время на корте.
Вес(г): 215
Размер головы (кв.см.): 615
Баланс(мм): 275
Размер ручки ракетки:06
Размер ракетки: 23
Струнная формула: 16/18
Материал: Composite</t>
  </si>
  <si>
    <t>Boom PRO 2024</t>
  </si>
  <si>
    <t>230104U30</t>
  </si>
  <si>
    <t>Сочетая взрывную мощь с улучшенными, потрясающими ощущениями от новой технологии Auxetic 2.0, ракетка BOOM PRO 2024 позволяет вам показывать свою лучшую игру в теннис, наслаждаясь каждым моментом. Благодаря свежему, современному дизайну, BOOM PRO обеспечит продвинутым турнирным игрокам большую стабильность и увеличенный вес, которые они ищут, одновременно повышая их мощь и уверенность.
Взрывная мощь
Для продвинутых турнирных игроков
Улучшенные, потрясающие ощущения
Максимальная связь между игроком и ракеткой
Большая стабильность благодаря увеличенному весу
Свежий, современный дизайн</t>
  </si>
  <si>
    <t>зеленый/черный</t>
  </si>
  <si>
    <t>U30</t>
  </si>
  <si>
    <t>Boom MP 2024</t>
  </si>
  <si>
    <t>230114U30</t>
  </si>
  <si>
    <t>Взрывная мощь сочетается с возможностью играть изящные укороченные удары в ракетке BOOM MP 2024, которая была усовершенствована новейшими технологиями для ещё большей мощности, уверенности и удовольствия от игры. Являясь частью серии BOOM, предлагающей высочайший уровень производительности во вселенной теннисных ракеток HEAD, эта универсальная модель разработана для продвинутых игроков, опытных спортсменов и участников турниров, которые стремятся к лёгкой в использовании мощности и любят играть в атакующем стиле.
При поддержке Коко Гауфф и Лоренцо Музетти серия BOOM ориентирована на игроков, которые ценят удовольствие и социальную сторону тенниса, при этом ракетки оснащены новейшими технологиями для достижения высоких результатов. Hy-Bor — композитный материал, преимущественно используемый в высокотехнологичной аэрокосмической промышленности, — был добавлен в стержень ракетки для улучшения воспринимаемой стабильности и ощущения чёткого, уверенного контакта с мячом. Для оптимальной мощности и чувства мяча была разработана новая схема струн на основе искусственного интеллекта с учётом субъективных отзывов игроков. Обновление также включает новую технологию Auxetic 2.0, обеспечивающую лучшее ощущение мяча. Рамка и комплекты люверсов спроектированы для усиления мощности, а технология Directional Drilling обеспечивает дополнительный контроль мяча и комфорт.
Мощный контакт с мячом и прилив уверенности для продвинутых игроков, опытных спортсменов и участников турниров
Разработана для игроков, стремящихся к лёгкому доступу к мощности, и для атакующего стиля игры
Часть серии BOOM для игроков, ценящих удовольствие и социальную сторону тенниса
Hy-Bor улучшает воспринимаемую стабильность и ощущение чёткого контакта с мячом
Технология Auxetic 2.0 для лучшего чувства мяча
Новая схема струн на основе ИИ, разработанная с применением искусственного интеллекта и отзывов игроков, для оптимальной мощности и контакта с мячом
Рамка и комплекты люверсов спроектированы для усиления мощности
Directional Drilling для дополнительного контроля мяча и комфорта
Яркий синий дизайн, вдохновлённый культовой коллекцией горнолыжных гонок HEAD
При поддержке Коко Гауфф и Лоренцо Музетти</t>
  </si>
  <si>
    <t>230114U40</t>
  </si>
  <si>
    <t>U40</t>
  </si>
  <si>
    <t>Boom TEAM 2024</t>
  </si>
  <si>
    <t>230134U20</t>
  </si>
  <si>
    <t>Сосредоточься на том, чтобы получать больше удовольствия, с новой ракеткой BOOM TEAM 2024. Взрывная мощь сочетается с потрясающими ощущениями от улучшенной технологии Auxetic 2.0. Полностью погрузись в момент. С этой ракеткой игра в теннис настолько увлекательна, что тебе не захочется останавливаться. Благодаря удобной рамке, обеспечивающей улучшенную игровую производительность, BOOM TEAM 2024 повышает мощность и уверенность, а также впечатляет свежим, современным дизайном.
Взрывная мощь
Для продвинутых игроков
Улучшенные, потрясающие ощущения от игры
Максимальная связь между игроком и ракеткой
Прощающая ошибки рамка для дополнительной игровой производительности
Свежий, современный дизайн</t>
  </si>
  <si>
    <t>U20</t>
  </si>
  <si>
    <t>Boom TEAM L 2024</t>
  </si>
  <si>
    <t>230144U20</t>
  </si>
  <si>
    <t>С новой ракеткой BOOM TEAM L вам не нужно ни о чём думать — просто наслаждайтесь моментом и своим следующим ударом. Взрывная мощь сочетается с потрясающими ощущениями от новой конструкции Auxetic и обновлённой формой головы, создавая ракетку, которая дарит удовольствие от игры. Лёгкая и прощающая ошибки рамка делает эту ракетку идеальной как для игроков, которые только осваивают теннис, так и для продвинутых спортсменов. Выберите BOOM TEAM L, чтобы повысить свою производительность и уверенность. Веселье не заканчивается никогда.
Ракетка поставляется со струнами.
Взрывная мощь
Потрясающие ощущения
Лёгкая, прощающая ошибки рамка
Для начинающих и продвинутых игроков
Новая форма головы ракетки</t>
  </si>
  <si>
    <t>230164SC10</t>
  </si>
  <si>
    <t>Boom Jr.25 2024</t>
  </si>
  <si>
    <t>230174SC00</t>
  </si>
  <si>
    <t>Взрывная сила сочетается с улучшенным ощущением технологии Auxetic 2.0, которая создает наилучшую связь между игроком и ракеткой. С новой конструкцией, основанной на взрослых моделях Boom MP L и Boom MP, эта ракетка создана для молодых, подающих надежды юниоров в возрасте от 8 до 10 лет ростом 126 - 140 см.</t>
  </si>
  <si>
    <t>230174SC07</t>
  </si>
  <si>
    <t>Boom Jr. 2024 Alternate</t>
  </si>
  <si>
    <t>230184SC00</t>
  </si>
  <si>
    <t>Взрывная сила сочетается с улучшенным ощущением технологии Auxetic 2.0, которая создает наилучшую связь между игроком и ракеткой. С новой конструкцией, основанной на взрослых моделях Boom MP L и Boom MP, эта ракетка создана для молодых, подающих надежды юниоров в возрасте от 9 до 11 лет ростом 140 - 155 см.
Ракетка поставляется натянутой.</t>
  </si>
  <si>
    <t>Boom Jr.25 2024 Alternate</t>
  </si>
  <si>
    <t>230194SC00</t>
  </si>
  <si>
    <t>Speed Jr. 21</t>
  </si>
  <si>
    <t>230364SC05</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</si>
  <si>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21. Голова 81". Струнная формула 16х17. Вес 180 грамм. Баланс 25,5 см. ручка 05. Со струнами. С чехлом.</t>
  </si>
  <si>
    <t>Графитовый композит</t>
  </si>
  <si>
    <t>Boom MP 2024 Alternate</t>
  </si>
  <si>
    <t>230414U30</t>
  </si>
  <si>
    <t>Поднимите свою игру на новый уровень с новой ракеткой BOOM MP и получите массу взрывного удовольствия. Благодаря новой конструкции Auxetic эта ракетка сочетает в себе мощность с потрясающими ощущениями от игры. Ракетка выполнена в новой для HEAD форме головы и разработана для амбициозных игроков среднего и продвинутого уровня. С BOOM MP вам не нужно ни о чём думать, кроме как наслаждаться моментом и попадать по следующему мячу.
Взрывная мощь
Для амбициозных игроков среднего и продвинутого уровня
Потрясающие ощущения
Новая форма ракетки</t>
  </si>
  <si>
    <t>Radical Jr. 2025</t>
  </si>
  <si>
    <t>231045SC10</t>
  </si>
  <si>
    <t>Extreme MP 2024</t>
  </si>
  <si>
    <t>231114U30</t>
  </si>
  <si>
    <t>Абсолютная машина для генерации вращения, созданная для профессиональных игроков. Новое поколение ракетки EXTREME MP теперь оснащено технологией Auxetic 2.0, которая позволяет создавать ещё большее вращение и сеять хаос в рядах ваших соперников.
Создавайте экстремальное вращение и держите соперников в напряжении с новым поколением EXTREME MP. Эта ракетка, рекомендованная Маттео Берреттини, оснащена новейшей технологией Auxetic 2.0, обеспечивающей повышенную стабильность и улучшенную связь с мячом, что дарит чёткое, отзывчивое ощущение удара и максимальное вращение. EXTREME MP разработана для мощных игроков, предпочитающих агрессивную игру с активным использованием вращения. Конструкция стержня ракетки способствует созданию дополнительного вращения. Уникальные люверсы Spin-Grommets обеспечивают большую свободу движения струн и мощный эффект батута при контакте с мячом. Вдохновлённые последними тенденциями моды и дизайна кроссовок, люверсы Spin-Grommets выполнены в прозрачном стиле, придавая ракетке свежий и дерзкий внешний вид.
Инновационная технология Auxetic 2.0 для улучшенной стабильности и связи с мячом
Чёткое ощущение удара и максимальное вращение
Для профессиональных игроков, стремящихся к экстремальному вращению
Новые прозрачные люверсы Spin-Grommets, вдохновлённые модными тенденциями, создают дерзкий образ
Люверсы Spin-Grommets обеспечивают большую свободу движения струн и мощный эффект батута при контакте с мячом
Рекомендована Маттео Берреттини</t>
  </si>
  <si>
    <t>Gravity MP 2025</t>
  </si>
  <si>
    <t>231125U30</t>
  </si>
  <si>
    <t>Агрессивные игроки нового поколения могут доминировать на корте с улучшенной ракеткой GRAVITY MP, обладающей увеличенным сладким пятном, революционной рамкой и технологией Auxetic 2.0.
Почувствуйте мощь с GRAVITY MP, оснащённой передовой технологией Auxetic 2.0 для более мягкого ощущения от удара и повышенной стабильности. Благодаря своей характерной закруглённой форме головы и огромному сладкому пятну эта ракетка предоставляет агрессивным игрокам нового поколения контроль, гибкость и прощение ошибок, необходимые для доминирования над любым соперником. Сочетание технологии Auxetic 2.0 и массивного сладкого пятна обеспечивает лучшую связь с мячом и укрепляет уверенность. Серия ракеток рекомендована Александром Зверевым и Андреем Рублёвым. Обновление также включает новую технологию Half-Cap, которая улучшает характерный звук, ощущение от удара и долговечность. Дизайн Flip — с разным оформлением на каждой стороне и глянцевым покрытием — придаёт ракетке современную, выразительную эстетику, от которой невозможно отвести взгляд.
Инновационная технология Auxetic 2.0 для более мягкого ощущения от удара и повышенной стабильности
Огромное сладкое пятно для контроля, гибкости и прощения ошибок
Комбинация технологии Auxetic 2.0 и массивного сладкого пятна для лучшей связи с мячом
Разработана для агрессивных турнирных игроков нового поколения
Неповторимая закруглённая форма
Новая технология Half-Cap улучшает характерный звук, ощущение от удара и защиту
Рекомендована Александром Зверевым и Андреем Рублёвым
Современный дизайн Flip с глянцевым покрытием</t>
  </si>
  <si>
    <t>Extreme TEAM 2024 руч.2</t>
  </si>
  <si>
    <t>231134U20</t>
  </si>
  <si>
    <t>Теннисисты, которые часто попадают не центром, оценят увеличенное игровое пятно. Обод ракетки имеет
среднюю жесткость, что подойдет как для атакующей игры так и защитной. Смещенный в голову баланс ракетки
обеспечит дополнительную мощность и глубину. Очень мощная ракетка, поэтому потребуется достаточное умение
чтобы сохранить и точность ударов. Формула из 16 продольных и 19 поперечных струн направлена на мощность и
вращение, тем не менее струна будет изнашиваться быстрее. Полностью графитовый обод, что позволит получить
отличное чувство мяча и мощность. Начинающие игроки и девушки оценят облегченный вес и маневренность.
Площадь головы: 680
Вес: 265 гр
Длина: 27 гр
Баланс: 340 мм
Схема натяжки: 16х19</t>
  </si>
  <si>
    <t>Extreme ELITE 2024</t>
  </si>
  <si>
    <t>231144U10</t>
  </si>
  <si>
    <t>Теннисная ракетка руч.1</t>
  </si>
  <si>
    <t>Head Extreme Elite 2024 обеспечивает такой же вращающий момент и мощность, как и модель Extreme MP, но в более лёгкой и динамичной раме, что делает её идеальным выбором для агрессивных игроков, находящихся на стадии роста. Технология Auxetic 2 в зоне соединения рукояти и головы ракетки улучшает тактильные ощущения и отклик, а применение технологии Graphene Inside усиливает ключевые зоны для дополнительной мощности и устойчивости. Специальные прорези для шнуровки (Spin Grommets) увеличивают подвижность струн, обеспечивая более резкий отскок мяча, а Spin Shaft повышает крутильную устойчивость для улучшения техники исполнения верхнего вращения. Благодаря удобству в обращении, ракетка Extreme Elite станет отличным введением в серию Extreme, предлагая высокую мощность и закрутку.
Вес:260 гр.
Состав: Композитный материал
Длина: 27 дюймов
Баланс 34,5 см
Размер головы: 100 кв.Дюймов
Ручка: 2</t>
  </si>
  <si>
    <t>U10</t>
  </si>
  <si>
    <t>Extreme ELITE 2024 руч.2</t>
  </si>
  <si>
    <t>231144U20</t>
  </si>
  <si>
    <t>Head Extreme Elite 2024 обеспечивает такой же вращающий момент и мощность, как и модель Extreme MP, но в более лёгкой и динамичной раме, что делает её идеальным выбором для агрессивных игроков, находящихся на стадии роста. Технология Auxetic 2 в зоне соединения рукояти и головы ракетки улучшает тактильные ощущения и отклик, а применение технологии Graphene Inside усиливает ключевые зоны для дополнительной мощности и устойчивости. Специальные прорези для шнуровки (Spin Grommets) увеличивают подвижность струн, обеспечивая более резкий отскок мяча, а Spin Shaft повышает крутильную устойчивость для улучшения техники исполнения верхнего вращения. Благодаря удобству в обращении, ракетка Extreme Elite станет отличным введением в серию Extreme, предлагая высокую мощность и закрутку.</t>
  </si>
  <si>
    <t>231144U30</t>
  </si>
  <si>
    <t>Теннисная ракетка ручка 3</t>
  </si>
  <si>
    <t>Стандартный для современной ракетки размер головы обеспечивает оптимальное сочетание мощности и контроля. Обод ракетки имеет среднюю жесткость, что подойдет как для атакующей игры так и защитной. Смещенный в голову баланс ракетки обеспечит дополнительную мощность и глубину. Обеспечивает дополнительную мощность и поэтому подойдет для игроков клубного уровня, которые ищут стабильности в игре на задней линии. Формула из 16 продольных и 19 поперечных струн направлена на мощность и вращение, тем не менее струна будет изнашиваться быстрее. Полностью графитовый обод, что позволит получить отличное чувство мяча и мощность. Имеет легкий вес для того, чтобы начинающему игроку было проще делать замах, а также для того, чтобы снизить нагрузку на руку.
Характеристики:
Площадь головы (см²): 645
Со струнами: Нет
Вес (гр.): 260
Жесткость обода: 63
Длина (дюйм): 27 (68.5 см.)
Баланс (мм. от торца ручки): 345
Мощность: Средняя
Ширина обода (мм.): 23 / 26 / 21
Схема натяжки: 16 / 19
Рекомендуемая натяжка (кг.): 24 - 28
Состав: Графит
Чехол: Нет
Уровень подготовки: Любитель, Начинающий, Юниор
Размер ручки: 3</t>
  </si>
  <si>
    <t>Gravity TEAM 2025</t>
  </si>
  <si>
    <t>231145U20</t>
  </si>
  <si>
    <t>Агрессивные командные игроки нового поколения могут доминировать на корте с улучшенной ракеткой GRAVITY TEAM, обладающей увеличенным сладким пятном, более лёгкой рамкой и технологией Auxetic 2.0.
Почувствуйте мощь с GRAVITY TEAM, оснащённой передовой технологией Auxetic 2.0 для более мягкого ощущения от удара и повышенной стабильности. Эта ракетка разработана для агрессивных командных игроков нового поколения. Это самая лёгкая и мощная ракетка серии GRAVITY, известной своей характерной закруглённой формой головы и огромным сладким пятном. Благодаря новым характеристикам, улучшающим ощущение от игры, мощность и размер сладкого пятна, а также став ещё немного легче для лучшей манёвренности, эта ракетка обеспечивает контроль, гибкость и прощение ошибок, необходимые для доминирования над любым соперником. Сочетание технологии Auxetic 2.0 и массивного сладкого пятна создаёт лучшую связь с мячом и укрепляет уверенность. Серия ракеток рекомендована Александром Зверевым и Андреем Рублёвым. Обновление также включает новую технологию Half-Cap, которая улучшает характерный звук, ощущение от удара и долговечность. Дизайн Flip — с разным оформлением на каждой стороне и глянцевым покрытием — придаёт ракетке современную, выразительную эстетику, от которой невозможно отвести взгляд.
Инновационная технология Auxetic 2.0 для более мягкого ощущения от удара и повышенной стабильности
Огромное сладкое пятно для контроля, гибкости и прощения ошибок
Новые характеристики улучшают ощущение от игры, мощность и размер сладкого пятна
Комбинация технологии Auxetic 2.0 и массивного сладкого пятна для лучшей связи с мячом
Самая лёгкая и мощная ракетка серии GRAVITY — теперь ещё легче для улучшенной манёвренности
Разработана для агрессивных командных игроков нового поколения
Неповторимая закруглённая форма
Новая технология Half-Cap улучшает характерный звук, ощущение от удара и защиту
Рекомендована Александром Зверевым и Андреем Рублёвым
Современный дизайн Flip с глянцевым покрытием</t>
  </si>
  <si>
    <t>Gravity Jr. 2025</t>
  </si>
  <si>
    <t>231165SC00</t>
  </si>
  <si>
    <t>Стандартный для современной ракетки размер головы обеспечивает оптимальное сочетание мощности и контроля. Длина ракетки составляет 26 дюймов, что является последней ступенью перед переходом на взрослые ракетки.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250; Длина (дюйм): 26 (рост 145-155 см.); Баланс (мм. от торца ручки): 310; Ширина обода (мм.): 22; Схема натяжки: 16 / 19; Состав: Композит; Чехол: Да</t>
  </si>
  <si>
    <t>Gravity Jr. 25 2025</t>
  </si>
  <si>
    <t>231175SC07</t>
  </si>
  <si>
    <t>Игроки клубного уровня оценят размер головы MidPlus, который обеспечивает удобное игровое пятно. Наиболее популярная средняя жесткость обода обеспечивает оптимальные игровые характеристики для большинства любителей. Ракетка имеет нейтральный баланс, что позволит одинаково успешно играть по всему корту.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Полностью графитовый обод, что позволит получить отличное чувство мяча и мощность.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230; Жесткость обода: 66; Длина (дюйм): 25 (рост 135-145 см.); Баланс (мм. от торца ручки): 315; Мощность: Низкая; Ширина обода (мм.): 24; Схема натяжки: 16 / 19; Состав: Графит; Рекомендуемая натяжка (кг.): 22 - 26; Чехол: Да; Тип: Детские</t>
  </si>
  <si>
    <t>IG Gravity Jr. 26</t>
  </si>
  <si>
    <t>231205SC00</t>
  </si>
  <si>
    <t>IG Gravity Jr. 25</t>
  </si>
  <si>
    <t>231215SC07</t>
  </si>
  <si>
    <t>Игроки клубного уровня оценят размер головы MidPlus, который обеспечивает удобное игровое пятно. Подойдет детям, которые тренируются по системе 10s мячами с оранжевой или зеленой точкой.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240; Длина (дюйм): 25 (рост 135-145 см.); Баланс (мм. от торца ручки): 300; Ширина обода (мм.): 22; Схема натяжки: 16 / 19; Состав: Композит; Чехол: Да</t>
  </si>
  <si>
    <t>IG Gravity Jr. 23</t>
  </si>
  <si>
    <t>231225SC06</t>
  </si>
  <si>
    <t>Ракетка Head Gravity 23 из легкого графитового композита, которая поможет юным теннисистам добиться новых успехов на корте. Вес и характеристики модели идеально подойдут детям от 6 до 8 лет. Благодаря уменьшенной площади струнной поверхности (100 кв. дюймов) ребенку в будущем будет легче перейти на взрослую ракетку. Ракетка из графитового композита эффективно поглощает ударные нагрузки, справляясь со своей задачей гораздо лучше, чем модели с алюминиевым ободом. Damp+
Специальная вставка из виброгасящего материала в основании "ласточкиного хвоста" (элемент конструкции ракетки). Технология уменьшает вибрацию. При этом, воздействие вибрации на мышцы и суставы игрока минимально. Увеличивается точность удара. Innegra
Сплетенные с углеродными волокнами в ракетках создают легкую и плотную структуру. Торсионная стабильность ракетки улучшается, а вибрации при контакте с мячом сокращаются на 17%. Позволяет лучше контролировать удар и метко попадать в корт</t>
  </si>
  <si>
    <t>Graphene Touch Speed XTR</t>
  </si>
  <si>
    <t>231244S30</t>
  </si>
  <si>
    <t>Теннисная ракетка руч.3</t>
  </si>
  <si>
    <t>Самый популярный среди теннисистов размер головы позволяет получить баланс мощности и точности ударов. Смещенный в ручку баланс делает ракетку очень маневренной и легко разгоняемой что позволит получить преимущество в быстрых розыгрышах. В целом имеет невысокую мощность, что означает, что она подойдет игрокам среднего или продвинутого уровня. Формула из 16 продольных и 19 поперечных струн направлена на мощность и вращение, тем не менее струна будет изнашиваться быстрее. Обод изготовлен из 100% графита, который является более дорогим материалом, но при этом обладает самыми лучшими игровыми характеристиками. Модель подойдет девушкам продвинутого уровня или клубным соревнующимся игрокам.</t>
  </si>
  <si>
    <t>S30</t>
  </si>
  <si>
    <t>IG Boom XCEED</t>
  </si>
  <si>
    <t>231254S20</t>
  </si>
  <si>
    <t>Теннисная ракетка ручка 2</t>
  </si>
  <si>
    <t>Лёгкая и удобная в обращении ракетка IG BOOM XCEED выполнена из цельного графита, что обеспечивает начинающим игрокам универсальную игровую производительность и комфорт.
Осваивать теннис ещё увлекательнее с ракеткой IG BOOM XCEED. Идеальная для начинающих, эта ракетка отличается современным, выразительным дизайном, а также лёгким весом и простотой в обращении. Конструкция из цельного графита обеспечивает универсальную игровую производительность и комфорт.
Лёгкий вес и простота в обращении для начинающих игроков
Конструкция из цельного графита
Универсальная игровая производительность и комфорт
Выразительный дизайн</t>
  </si>
  <si>
    <t>черный/голубой</t>
  </si>
  <si>
    <t>IG Radical XCEED</t>
  </si>
  <si>
    <t>231264S20</t>
  </si>
  <si>
    <t>Ракетка Head Radical IG Xceed разработана для амбициозных игроков-любителей, которые ищут ракетку, сочетающую манёвренность с увеличенным сладким пятном, что позволяет играть с использованием вращения и мощности. Компания Head тщательно продумала технологии в своей линейке предварительно натянутых ракеток, повышая производительность за счёт агрессивных характеристик и преимуществ. Такой комплексный подход упрощает процесс выбора, гарантируя, что игроки смогут легко найти идеальную ракетку, соответствующую их стилю игры и предпочтениям.</t>
  </si>
  <si>
    <t>MX Attitude COMP (blue)</t>
  </si>
  <si>
    <t>231325SC20</t>
  </si>
  <si>
    <t>Эта ракетка поможет вам так полюбить теннис, что первые шаги на корте точно не станут последними. Модель MX ATTITUDE COMP поставляется уже заправленной струнами и обеспечивает лёгкость управления и отличную манёвренность.
Вес (без струн): 270 г / 9,5 унций
Струнная формула: 16/19
Размер головы: 645 см² / 100 дюймов²
Баланс: 330 мм / 0,5 дюйма HL (голова легче)
Длина: 685 мм / 27,0 дюймов
Толщина обода: 22 мм</t>
  </si>
  <si>
    <t>231325SC30</t>
  </si>
  <si>
    <t>MX Attitude ELITE (yellow)</t>
  </si>
  <si>
    <t>231345SC20</t>
  </si>
  <si>
    <t>231345SC30</t>
  </si>
  <si>
    <t>Extreme Jr. 26</t>
  </si>
  <si>
    <t>231404SC07</t>
  </si>
  <si>
    <t>Игроки клубного уровня оценят размер головы MidPlus, который обеспечивает удобное игровое пятно. Обод ракетки имеет среднюю жесткость, что подойдет как для атакующей игры так и защитной. Подойдет детям, которые тренируются по системе 105 мячами с зеленой точкой или желтыми мячами. Ракетка имеет нейтральный баланс что делает ее универсально удобной дл игроков как атакующего стиля так и защитного.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Обод изготовлен из 100% высокомодульного графита, который обеспечит максимальное чувство мяча современной ракетки. Укороченная модель для того чтобы ребенок как можно быстрее научился играть на счет.</t>
  </si>
  <si>
    <t>Radical Jr. 26</t>
  </si>
  <si>
    <t>231405SC00</t>
  </si>
  <si>
    <t>Серия Radical Jr. помогает детям начать свой путь в теннис максимально комфортно. Алюминиевая ракетка оснащена уникальной вставкой Damp+, которая изолирует удар и уменьшает вибрации. Radical Jr. 26 идеально подходит для детей от 9 до 11 лет, которые хотят освоить универсальную игру. Захватывающий новый дизайн ракетки и перевернутый логотип подчеркивают универсальность ракетки и позволяют вам покорять корты в любое время.</t>
  </si>
  <si>
    <t>Extreme Jr. 25</t>
  </si>
  <si>
    <t>231414SC07</t>
  </si>
  <si>
    <t>Детская теннисная ракетка Head Extreme Jr. 25 с ярким дизайном — отличный вариант для комфортного старта на корте. Модель выполнена из алюминия и оснащена вставкой Damp+, которая изолирует удар и уменьшает вибрацию. Подходит для детей в возрасте от 8 до 10 лет.
Комфорт
Увеличенная площадь струнной поверхности (680 см2) помогает юному спортсмену точнее попадать по мячу и делает удары более мощными.
Проверенное качество
Ракетка от ведущего производителя теннисного инвентаря идеально подходит для отработки навыков и способствует быстрому прогрессу вашего ребенка.</t>
  </si>
  <si>
    <t>Radical Jr. 25</t>
  </si>
  <si>
    <t>231415SC07</t>
  </si>
  <si>
    <t>Серия Radical Jr. помогает детям начать свой путь в теннис максимально комфортно. Алюминиевая ракетка оснащена уникальной вставкой Damp+, которая изолирует удар и уменьшает вибрации. Radical Jr. 25 идеально подходит для детей от 8 до 10 лет, которые хотят освоить универсальную игру. Захватывающий новый дизайн ракетки подчеркивают универсальность ракетки и позволяют вам покорять корты в любое время.</t>
  </si>
  <si>
    <t>Radical Jr. 23</t>
  </si>
  <si>
    <t>231425SC06</t>
  </si>
  <si>
    <t>Head Radical Jr. 23 (2023) легкая и более маневренная, чем ракетка стандартного размера для взрослых.
Сделанная из алюминия, она оснащена специальной технологией Damp +, которая включает в себя полимерную вставку в стержне над рукояткой для гашения вибраций и повышения стабильности и контроля, а также рисунок струны 16x18, который упрощает обучение топспину.
Radical Junior 23 подходит для детей в возрасте от 6 до 8 лет и ростом от 114 до 126 см.
Ракетка поставляется в комплекте с чехлом и уже натянута на заводе.</t>
  </si>
  <si>
    <t>Boom MP Neon 2025</t>
  </si>
  <si>
    <t>231625S30</t>
  </si>
  <si>
    <t>Энергия Нью-Йорка оживает в лимитированной серии ракеток HEAD BOOM MP NEON. Благодаря броскому неоновому дизайну, объединяющему такие элементы, как небоскрёбы, жёлтое такси, кусок пиццы и Статуя Свободы, эта ракетка сочетает свежий внешний вид с инновационными и более экологичными материалами. При поддержке Лоренцо Музетти эта модель является частью сотрудничества между HEAD и Toray, направленного на создание более устойчивого будущего в теннисе. Благодаря использованию биоциркулярных углеродных волокон Torayca, изготовленных из отходов пищевого масла и древесины, снижаются выбросы CO₂ и нагрузка на окружающую среду без ущерба для производительности.
Амбициозные игроки среднего и продвинутого уровня найдут в BOOM MP NEON ракетку, которая обеспечивает взрывную мощь, уверенность и удовольствие от игры на корте. Технология Auxetic 2.0 дарит улучшенные, потрясающие ощущения от контакта с мячом и максимальную связь с ракеткой. Graphene Inside укрепляет рамку и оптимизирует передачу энергии, а технология Uni Pattern обеспечивает стабильную траекторию полёта мяча. Сочетание морфированного профиля рамы Morph Beam для приятного ощущения и большего комфорта, технологии Directional Drilling для увеличения мощности и расширения сладкого пятна, а также люверсов Power Grommets для максимальной свободы движения струн — всё это делает BOOM MP NEON воплощением динамичного, зрелищного тенниса в дизайне, таком же живом, как город, который никогда не спит.</t>
  </si>
  <si>
    <t>Boom MP L Neon 2025</t>
  </si>
  <si>
    <t>231655S20</t>
  </si>
  <si>
    <t>HEAD Boom MPL — идеальная теннисная ракетка для амбициозных игроков-любителей и клубных спортсменов, которые ценят взрывную мощь, отличное чувство мяча и максимальное прощение ошибок.
Благодаря умеренному весу 270 г (без струн) ракетка легко маневрирует и особенно бережна к руке. В то же время новая конструкция Auxetic (на основе графена) обеспечивает исключительно комфортное ощущение от игры — даже при неидеально точных попаданиях по мячу.
Неоновое покрытие придаёт Boom MPL выразительный внешний вид — современный, свежий и динамичный.</t>
  </si>
  <si>
    <t>232115S10</t>
  </si>
  <si>
    <t>S10</t>
  </si>
  <si>
    <t>Paw 21 (blue)</t>
  </si>
  <si>
    <t>232205SC05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</si>
  <si>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21 идеально подходит для детей в возрасте от 4 до 6 лет, которые хотят освоить универсальную технику игры. Захватывающий новый дизайн ракетки и перевёрнутое лого подчёркивают её многофункциональность и позволяют в любой момент покорять корты.</t>
  </si>
  <si>
    <t>Paw 19 (blue)</t>
  </si>
  <si>
    <t>232215SC05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</si>
  <si>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19 идеально подходит для детей в возрасте от 2 до 4 лет, которые хотят освоить универсальную технику игры. Захватывающий новый дизайн ракетки и перевёрнутое исполнение логотипа подчёркивают её многофункциональность и позволяют в любой момент покорять корты.</t>
  </si>
  <si>
    <t>Paw 17 (blue)</t>
  </si>
  <si>
    <t>232225SC05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</si>
  <si>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17 идеально подходит для детей в возрасте от 2 до 4 лет, которые хотят освоить универсальную технику игры. Захватывающий новый дизайн ракетки и перевёрнутое лого подчёркивают её многофункциональность и позволяют в любой момент покорять корты.</t>
  </si>
  <si>
    <t>Paw 21 (white)</t>
  </si>
  <si>
    <t>232305SC05</t>
  </si>
  <si>
    <t>Paw 19 (white)</t>
  </si>
  <si>
    <t>232315SC05</t>
  </si>
  <si>
    <t>Paw 17 (white)</t>
  </si>
  <si>
    <t>232325SC05</t>
  </si>
  <si>
    <t>Ti.Radical Elite</t>
  </si>
  <si>
    <t>233402SC30</t>
  </si>
  <si>
    <t>Если вы ищете немного больше стабильности при ударах и больше контроля - попробуйте Ti.Radical Elite. Рукоятка Contour Cushion также обеспечивает игрокам дополнительный комфорт и контур руки, чтобы вы могли найти правильный захват. Графитовая композитная конструкция также дает игрокам больше вращения и контроля. Вес без струн 265 гр., формула струн 16х19, Размер головы 105, Баланс 33,5 см., длина ракетки 68,5 см. Размер ручки 1</t>
  </si>
  <si>
    <t>MX Attitude Comp (light red)</t>
  </si>
  <si>
    <t>234733SC30</t>
  </si>
  <si>
    <t>ОСНОВНАЯ ИНФОРМАЦИЯ HEAD MX Attitude Comp – замечательно подходит для игроков отдающих предпочтение комфортной игре. Графитовый композит обеспечивает правильный баланс мощности и прочности. Ракетки поставляются в комплекте с чехлом и натянутой струной. ДОПОЛНИТЕЛЬНЫЕ ХАРАКТЕРИСТИКИ Цвет основной: Ярко-розовый Цвет дополнительный: Черный Материал: Композит Уровень: Любительский Размер: Взрослый Материал обода: Композит Длина: 27 дюймов (68,5 см) Площадь головы ракетки:: 100 кв. дюйма (645кв.см) Ширина обода: 22 мм Баланс: 330 мм (баланс в голову) Схема натяжки (формула струн): 16x19</t>
  </si>
  <si>
    <t>Novak 25</t>
  </si>
  <si>
    <t>235004SC07</t>
  </si>
  <si>
    <t>HEAD Novak 25 - ракетка для мальчиков от 8 до 10 лет, рост 127-141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Яркий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25 дюймов (63,5 см)
Вес без струн: 240 г
Схема натяжки (формула струн): 16 x 18
Площадь головы: 105 кв.дюймов/680 кв.см
Баланс: в голову
Жесткость: 45
Ручка: 07 (9,8 см)
Уровень игрока: юниор, для детей 8-10 лет, рост 127-141см</t>
  </si>
  <si>
    <t>235013SC00</t>
  </si>
  <si>
    <t>Novak 23 руч. 5</t>
  </si>
  <si>
    <t>235014SC05</t>
  </si>
  <si>
    <t>Novak 23</t>
  </si>
  <si>
    <t>235014SC06</t>
  </si>
  <si>
    <t>HEAD Novak 23 - ракетка для мальчиков от 6 до 8 лет, рост 114-126 см.
HEAD Novak 23 - ракетка для мальчиков от 6 до 8 лет, рост 114-126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23 дюймов (58,5 см)
Вес без струн: 215 г
Схема натяжки (формула струн): 16 x 18
Площадь головы: 98 кв.дюймов/630 кв.см
Профиль: 20 мм
Баланс: в голову
Жесткость: 45
Ручка: 06 (9,5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23 дюймов (58,5 см)
Вес без струн: 215 г
Схема натяжки (формула струн): 16 x 18
Площадь головы: 98 кв.дюймов/630 кв.см
Профиль: 20 мм
Баланс: в голову
Жесткость: 45</t>
  </si>
  <si>
    <t>235023SC06</t>
  </si>
  <si>
    <t>235024SC06</t>
  </si>
  <si>
    <t>Novak 19</t>
  </si>
  <si>
    <t>235034SC05</t>
  </si>
  <si>
    <t>19-дюймовая ТЕННИСНАЯ РАКЕТКА NOVAK 19 с красочным и ярким дизайном идеально подходит для мальчиков в возрасте от 2 до 4 лет, которые только начинают заниматься теннисом. Эта ракетка, названная в честь представителя HEAD Новака Джоковича, оснащена вставкой Damp+, которая снижает вибрацию. Чтобы добавить веселья, красочная шапка ракетки имеет монстрообразный дизайн, и ее можно носить как маску, а ракетка также поставляется с наклейками.
• Назван в честь Новака Джоковича
• Яркий дизайн
• Вставка Damp+ снижает вибрацию
• Наклейки в комплекте Размер головы (кв.см.): 520
Вес без натяжки (гр.): 175
Длина: 485
Баланс (см. от торца ручки): 230.00
Струнная формула: 16*17
Материал: Алюминий</t>
  </si>
  <si>
    <t>Novak 17</t>
  </si>
  <si>
    <t>235044SC05</t>
  </si>
  <si>
    <t>Детская теннисная ракетка Head Novak 17 с ярким дизайном идеально подходит для детей в возрасте от 2 до 3 лет и ростом до 89 см, которые только начинают играть в теннис.
Эта ракетка, названная в честь представителя HEAD Новака Джоковича, оснащена вставкой Damp +, которая снижает вибрацию.
Чтобы добавить веселья, красочная карточка ракетки имеет дизайн монстра, и ее можно носить как маску, а ракетка также поставляется с наклейками.
• Названа в честь Новака Джоковича.
• Красочный дизайн.
• Демпфер + вставка снижает вибрацию.
• Красочную визитку можно носить как маску.
• Наклейки включены.
Вес: 160
Длина: 17
Натяжка: С натяжкой
Размер головы: 62
Струнная формула: 14x15
Баланс: 22</t>
  </si>
  <si>
    <t>MX Spark COMP (mint)</t>
  </si>
  <si>
    <t>235324SC20</t>
  </si>
  <si>
    <t>235324SC30</t>
  </si>
  <si>
    <t>235334SC30</t>
  </si>
  <si>
    <t>MX Spark ELITE (white)</t>
  </si>
  <si>
    <t>235344SC20</t>
  </si>
  <si>
    <t>235344SC30</t>
  </si>
  <si>
    <t>Даже если вы новичок в теннисе, с ракеткой MX Spark Elite вы сможете добиться больших успехов на корте. Эта ракетка с предварительно натянутой струной отличается энергичным дизайном и большим игровым пятном.
Большое игровое пятно увеличивает шансы на хороший удар, укрепляя уверенность новичка в своих силах.
Размер головы, см2:660
Струнная формула:16х19
Баланс, мм:335
Стиль игры:Универсальный</t>
  </si>
  <si>
    <t>Gravity Jr. 2023</t>
  </si>
  <si>
    <t>235363SC00</t>
  </si>
  <si>
    <t>Игроки клубного уровня оценят размер головы MidPlus, который обеспечивает удобное игровое пятно. Наиболее популярная средняя жесткость обода обеспечивает оптимальные игровые характеристики для большинства любителей. Ракетка имеет нейтральный баланс, что позволит одинаково успешно играть по всему корту.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Полностью графитовый обод, что позволит получить отличное чувство мяча и мощность.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255; Жесткость обода: 66; Длина (дюйм): 26 (рост 145-155 см.); Баланс (мм. от торца ручки): 320; Мощность: Низкая; Ширина обода (мм.): 24; Схема натяжки: 16 / 19; Состав: Графит; Рекомендуемая натяжка (кг.): 22 - 26; Чехол: Да</t>
  </si>
  <si>
    <t>235402SC00</t>
  </si>
  <si>
    <t>Серия Extreme Jr. помогает детям начать свое теннисное путешествие максимально комфортно. Алюминиевая ракетка оснащена уникальной вставкой Damp+, которая изолирует удар и уменьшает вибрации. Extreme Jr. 26 идеально подходит для детей от 9 до 11 лет.</t>
  </si>
  <si>
    <t>IG Challenge MP (blue)</t>
  </si>
  <si>
    <t>235404SC30</t>
  </si>
  <si>
    <t>235404SC40</t>
  </si>
  <si>
    <t>Из всех ракеток серии CHALLENGE IG CHALLENGE MP TENNIS RACQUET обеспечивает наибольший контроль, но при этом обеспечивает достаточную мощность для соревнующихся игроков-любителей. Эта ракетка с ярким дизайном имеет полностью графитовую конструкцию и обеспечивает всестороннее удобство игры и комфорт.
• Контроль и мощность для профессиональных игроков-любителей
• Полностью графитовая конструкция
• Всестороннее удобство игры и комфорт
• Яркий дизайн
Площадь головы: 645 см
Вес: 295 гр
Длина: 27 дюймов
Баланс: 320 мм
Схема натяжки: 16х19</t>
  </si>
  <si>
    <t>SC40</t>
  </si>
  <si>
    <t>Extreme Jr. 25  ручка 07</t>
  </si>
  <si>
    <t>235412SC07</t>
  </si>
  <si>
    <t>IG Challenge MP (red)</t>
  </si>
  <si>
    <t>235414SC30</t>
  </si>
  <si>
    <t>235414SC40</t>
  </si>
  <si>
    <t>IG Challenge TEAM (purple)</t>
  </si>
  <si>
    <t>235424SC30</t>
  </si>
  <si>
    <t>IG Challenge TEAM (mint)</t>
  </si>
  <si>
    <t>235434SC10</t>
  </si>
  <si>
    <t>Ракетка HEAD IG Challenge Team - популярная универсальная ракетка , изготовленная по технологии INNEGRA (использование легких волокон), которая интегрирована в ракетки для поглощения ударов и улучшенной стабильностью. В результате вибрации снижается до 17% при ударе мячом для уникальной системы контроля и точности.
Оптимальный контроль и управляемость. Для всех уровней любителей и юниоров, желающих из рядов зрителей перейти в ряды игроков.
Характеристики
Вес без струн: 270г
Профиль 23/26/23 мм
Площадь головы: 645 кв.см (100 кв.дюймов)
Баланс: 335 мм (в голову)
Длина: 27 дюймов (68,5см)
Схема натяжки (формула струн): 16x19</t>
  </si>
  <si>
    <t>235434SC30</t>
  </si>
  <si>
    <t>Coco 25</t>
  </si>
  <si>
    <t>235804SC07</t>
  </si>
  <si>
    <t>Детская ракетка из коллекции 2022 года HEAD Coco 25. Дизайн обода выполнен в ярких цветах, которые стали трендом новой коллекции. С ракеткой HEAD Сосо Ваш маленький чемпион сможет почувствовать себя на месте Коко Гауфф. Отличный выбор для детей 9-10 лет, которые только начинают играть в теннис. Алюминиевый корпус делает ракетку легкой и маневренной, обеспечивая мягкость ударов.
Подробную информацию о том, как выбрать теннисную ракетку Вы можете получить в нашем разделе "Как выбрать", ссылка на который находится в верхнем меню.</t>
  </si>
  <si>
    <t>Coco 21</t>
  </si>
  <si>
    <t>235824SC05</t>
  </si>
  <si>
    <t>21-дюймовая теннисная ракетка Coco 21 с красочным ярким дизайном идеально подходит для девочек в возрасте от 5 до 6 лет, которые только начинают играть в теннис. Эта модель названа в честь амбассадора Head — теннисистки Коко Гауфф. Красочная лицевая карточка ракетки украшена изображением животного — ее можно носить как маску. Также к ракетке прилагаются наклейки.
Гашение вибраций
Вставка Damp+ снижает вибрацию и бережет локоть юных спортсменов.
Проверенное качество
Многолетняя доводка серии Novak позволила создать ракетку с характеристиками, оптимальными для роста мастерства юных спортсменов.
Вес без струн:215 гр., Формула струн 16х18, Размер головы 98 дюймов, Баланс 28 см, Длина 21 дюйм.</t>
  </si>
  <si>
    <t>Coco 19</t>
  </si>
  <si>
    <t>235834SC05</t>
  </si>
  <si>
    <t>19-дюймовая теннисная ракетка Coco 19 с красочным ярким дизайном идеально подходит для девочек в возрасте от 3 до 4 лет, которые только начинают играть в теннис. Эта модель названа в честь амбассадора Head — теннисистки Коко Гауфф. Красочная лицевая карточка ракетки украшена изображением животного — ее можно носить как маску. Также к ракетке прилагаются наклейки.
Гашение вибраций
Вставка Damp+ снижает вибрацию и бережет локоть юных спортсменов.
Проверенное качество
Многолетняя доводка серии Novak позволила создать ракетку с характеристиками, оптимальными для роста мастерства юных спортсменов.
Размер головы (кв.см.): 520
Вес без натяжки (гр.): 170
Длина: 482
Баланс (см. от торца ручки): 230.00
Струнная формула: 16*17
Материал: Алюминий</t>
  </si>
  <si>
    <t>Coco 17</t>
  </si>
  <si>
    <t>235844SC05</t>
  </si>
  <si>
    <t>Ракетка Head Coco 17 - это идеальный выбор для молодых теннисистов, которые только начинают свой путь в этом захватывающем спорте. 
Ракетка Coco 17 имеет детский размер и вес, что делает ее легкой в управлении и позволяет маленьким игрокам легко манипулировать ракеткой во время игры. Благодаря этому, дети смогут развивать навыки и координацию движений, что является важным этапом в их спортивной карьере.
Главной особенностью ракетки Head Coco 17 является инновационная технология и дизайн, разработанные в сотрудничестве с теннисисткой Коуко Гофф - молодым талантом, который стал знаменит в теннисном мире своим юным возрастом и невероятным потенциалом.
Ракетка обладает прочным и износостойким покрытием, которое позволяет ракетке выдерживать интенсивную тренировку и игру на протяжении продолжительного времени. 
Head Coco 17 обеспечивает удобную эргономику и комфортную эксплуатацию благодаря своей легкости, позволяя игрокам сосредоточиться на своей технике и стратегии игры.
В целом, ракетка Head Coco 17 - это идеальный компаньон для детей, которые стремятся вырасти в лучших теннисистов и в то же время получать удовольствие от игры на корте.</t>
  </si>
  <si>
    <t>Speed TEAM 2024</t>
  </si>
  <si>
    <t>236034U30</t>
  </si>
  <si>
    <t>Играйте быстро, наслаждаясь более мягкими ощущениями, с обновленной ракеткой Speed Team 2024 от Head. Обод модели существенно отличается от предыдущего поколения: он длиннее, имеет аэродинамический 3D-дизайн для увеличения мощности и контроля, а новая технология Auxetic 2.0 улучшает ощущения при игре. Ракетка более легкая, чем ее старшие собратья из популярной серии Speed, она идеально подходит для игроков, которые снизили частоту тренировок, но ищут быструю ракетку с дополнительной маневренностью. Специальный лак, мягкий на ощупь, дополняет ощущение мягкости удара.
Скорость
Аэродинамический 3D-дизайн помогает быстрее проводить ракетку.
Контроль
Благодаря технологии Auxetic 2.0 модель гарантирует сенсационное чувство мяча.
Мощность
За счет длины 692 мм ракетка обеспечивает ударам дополнительную мощность.
Размер головы, см2:677
Струнная формула:16х19
Баланс, мм:325
Вес, г:270
Вес без струны, г:270
Длина, дюйм:27.2
Толщина обода, мм:24</t>
  </si>
  <si>
    <t>серый/черный</t>
  </si>
  <si>
    <t>236054SC00</t>
  </si>
  <si>
    <t>Speed Jr.25 2024</t>
  </si>
  <si>
    <t>236064SC07</t>
  </si>
  <si>
    <t>Prestige MP 2023</t>
  </si>
  <si>
    <t>236123U30</t>
  </si>
  <si>
    <t>С ракеткой PRESTIGE MP 2023, обладающей увеличенной головой и сладким пятном, вы можете играть в атакующий теннис, не жертвуя при этом точностью и контролем. Новая технология Auxetic 2.0 обеспечивает потрясающие ощущения от игры. Новые прозрачные карбоновые элементы на стержне и головке ракетки каждый раз уникальны, придавая вашей ракетке индивидуальность. Свежий, высококачественный и неповторимый дизайн также включает специальный красный лак Flip в центральном цветовом блоке.
Для атакующих игроков
Максимальная точность и контроль
Оптимизированные, потрясающие ощущения от игры
Максимальная связь между игроком и ракеткой
Новый неповторимый дизайн с прозрачными карбоновыми элементами
Специальный красный лак Flip</t>
  </si>
  <si>
    <t>Lynx Tour Set 16</t>
  </si>
  <si>
    <t>281790-16GR</t>
  </si>
  <si>
    <t>Струны</t>
  </si>
  <si>
    <t>Head представляет новую монофильную струну Lynx Tour, которая обеспечивает повышенный контроль и улучшенное вращение.
Благодаря шестигранной форме струна способствует лучшему зацепу мяча и точности траектории, особенно для игроков, предпочитающих широкие размашистые удары. Самое удивительное в этой струне — её способность передавать отличные игровые ощущения руке, что обычно сложно достичь для сополиэфирных материалов. Хотя она, вероятно, покажется слишком жёсткой и малоэластичной для тех, кто ещё не освоил технику тенниса, она полностью оправдает ожидания игроков с подготовленной рукой.
Наши эксперты, протестировавшие струну, отметили превосходное соотношение контроля, мощности и вращения, а также отличную способность долго сохранять натяжение.
В целом — превосходная струна, которую мы рекомендуем продвинутым игрокам, ищущим контроль и лёгкое достижение вращения.
· Диаметр: 1,30 мм
· Комплект: 12 м</t>
  </si>
  <si>
    <t>16GR</t>
  </si>
  <si>
    <t>Base Backpack 17L NV</t>
  </si>
  <si>
    <t>261335-NV</t>
  </si>
  <si>
    <t>Спортивный рюкзак "HEAD Djokovic Backpack" - идеальное решение для людей, занимающихся большим теннисом и любителей активного отдыха. Рюкзак имеет несколько отделений: - большое центральное отделение, - карман для 1-й теннисной ракетки, - карман на передней планке на молнии, - отделение для обуви с вентиляцией, - 2 боковых кармана на молнии. Мягкие эргономичные плечевые ремни удобно регулируются по длине. 100% полиэстер. Размеры (Д*В*Ш) 54x33x13см</t>
  </si>
  <si>
    <t>Pro X Backpack 25L</t>
  </si>
  <si>
    <t>260035-BK</t>
  </si>
  <si>
    <t>Современный городской стиль встречается с функциональностью в новом рюкзаке PRO X BACKPACK 25L с основным отделением, которое можно открывать двумя способами.
На корте или в городе вы по достоинству оцените свежий городской стиль и современную функциональность нового рюкзака PRO X BACKPACK 25L. Этот универсальный рюкзак — с обновлённой формой и конструкцией — оснащён основным отделением, которое можно открывать двумя способами: сверху и спереди. Мягкое отделение для ракеток вмещает до 3 штук, а также имеется эластичный боковой карман для бутылки и небольшой передний карман для аксессуаров, идеально подходящий для паспорта, кошелька и других необходимых вещей. В знак приверженности HEAD принципам устойчивого развития рюкзак комплектуется биркой из переработанной бумаги, закреплённой на пеньковой верёвке.
· Обновлённая форма и конструкция
· Основное отделение открывается двумя способами: сверху и спереди
· Мягкое отделение для ракеток вместимостью до 3 штук
· Эластичный боковой карман для бутылки
· Небольшой передний карман для аксессуаров: паспорта, кошелька и других необходимых вещей
· Бирка из переработанной бумаги, закреплённая на пеньковой верёвке</t>
  </si>
  <si>
    <t>PAW PATROL BACKPACK BL</t>
  </si>
  <si>
    <t>262605-BL</t>
  </si>
  <si>
    <t>Теннисный рюкзак Paw Patrol x HEAD идеально подходит для юных спортсменов, сочетая качество HEAD с игривым стилем Paw Patrol. Смелый тёмно-синий дизайн с светло-голубыми акцентами украшен любимыми персонажами Paw Patrol и включает отделение для теннисной ракетки на спинке, несколько карманов и регулируемые удобные лямки.
Теннисный рюкзак Paw Patrol x HEAD создан для детей, которые любят спорт и приключения. Этот рюкзак объёмом 15 л имеет специальное отделение для теннисной ракетки, что делает его идеальным выбором для юных игроков. Благодаря вместительному пространству для школьных принадлежностей, спортивного инвентаря и повседневных вещей он одновременно практичен и увлекателен. Тёмно-синий дизайн со светло-голубыми деталями изображает любимых персонажей Paw Patrol, добавляя ярких эмоций в каждый день. Лёгкий и удобный в переноске, рюкзак оснащён регулируемыми лямками для комфортной посадки, а также передним карманом на молнии для быстрого доступа к важным вещам.</t>
  </si>
  <si>
    <t>PAW PATROL BACKPACK PU</t>
  </si>
  <si>
    <t>262615-PU</t>
  </si>
  <si>
    <t>PRO X Backpack 28L</t>
  </si>
  <si>
    <t>260064-TYBK</t>
  </si>
  <si>
    <t>Теннисный рюкзак Head Pro X — правильный выбор для тех, кто хочет носить с собой на корте 1 ракетку
, обувь и сменную одежду. Подробности:
Большой мягкий карман на молнии сзади для хранения рамы без чехла
Центральное отделение на молнии для одежды
Нижний карман на молнии и вентиляционные отверстия для обуви
Два боковых кармана, один с застежкой-липучкой и один на молнии, для бутылки с водой или банки с мячами
Передний карман на молнии для ваших аксессуаров
Спинка со стратегической сетчатой ​​подкладкой
Мягкие и регулируемые плечевые ремни с сетчатой ​​подкладкой
Мягкая верхняя ручка для удобной переноски в руке
Логотип Печатной Головы
Объем: 28 л
Размеры (Д x В x Г): 34 x 50 x 24 см
Состав: 60% полиэстер, 40% полиуретан</t>
  </si>
  <si>
    <t>Tour Backpack 25L</t>
  </si>
  <si>
    <t>260845-NV</t>
  </si>
  <si>
    <t>Рюкзак Head Tour Padel Backpack входит в коллекцию сумок HEAD. Этот универсальный рюкзак идеален для игроков, которым нужна компактная сумка для всего необходимого снаряжения для падела. Благодаря двум регулируемым ремням вы можете легко и удобно носить ваше снаряжение. Два основных отделения подходят для хранения ракеток и одежды, среди прочего. В отдельном отделении для обуви вы можете хранить обувь отдельно от остального оборудования для падела. Это помогает дольше сохранять свежесть вашего снаряжения и поддерживает порядок в сумке.
Кроме того, в рюкзаке есть карманы для аксессуаров, где можно хранить мелкие и ценные вещи. Размеры этой сумки составляют 33.5 x 51 x 25 см. Сумка сделана из 75% полиэстера и 25% полиуретана.</t>
  </si>
  <si>
    <t>260945-SG</t>
  </si>
  <si>
    <t>Base Backpack 17L</t>
  </si>
  <si>
    <t>261433-BKNY</t>
  </si>
  <si>
    <t>261435-SG</t>
  </si>
  <si>
    <t>Tour Backpack 25L Neon 2025</t>
  </si>
  <si>
    <t>261965-BK</t>
  </si>
  <si>
    <t>Team Backpack 21L BKCC</t>
  </si>
  <si>
    <t>262244-BKCC</t>
  </si>
  <si>
    <t>Рюкзак Head Team Backpack 21L идеально подходит для расслабленной игры в выходные или долгой прогулки с друзьями. Внутри предусмотрено отделение с мягкой обивкой, вмещающее до 2 ракеток, а также основное отделение. Новый дизайн притягивает к себе внимание, а улучшенные лямки добавляют комфорта. Специальный отсек позволяет разместить обувь отдельно от остальных вещей, а передний карман на молнии и 2 боковых кармана обеспечивают быстрый доступ к важным мелочам.</t>
  </si>
  <si>
    <t>Team Backpack 21L BLBK</t>
  </si>
  <si>
    <t>262344-BLBK</t>
  </si>
  <si>
    <t>Head Primal</t>
  </si>
  <si>
    <t>281103-16GR</t>
  </si>
  <si>
    <t>Струны для ракетки</t>
  </si>
  <si>
    <t>Теннисная струна Head HAWK (12 м) - черная Теннисные, моноволоконные, сополиэфирные струны, многоэтапный процесс производства которых с применением химических добавок позволил получить отличные эффекты в виде очень хорошей прочности, динамики, контроля и вращения. Технология Head Crystal Core, используемая в ядре, сочетает в себе исключительную энергоэффективность, что означает «взрывную» энергию.</t>
  </si>
  <si>
    <t>Lynx (set)</t>
  </si>
  <si>
    <t>281784-17YW</t>
  </si>
  <si>
    <t>Струна из моноволокна изготовлена из новой смеси сополимеров, которая помогает обеспечить живое касание и контроль в вашей агрессивной игре. Созданная для турнирных и клубных игроков, LYNX чрезвычайно прочна и удобна в игре.</t>
  </si>
  <si>
    <t>17YW</t>
  </si>
  <si>
    <t>Synthetic Gut</t>
  </si>
  <si>
    <t>281111-17BK</t>
  </si>
  <si>
    <t>17BK</t>
  </si>
  <si>
    <t>Lynx 17</t>
  </si>
  <si>
    <t>281784-17GE</t>
  </si>
  <si>
    <t>17GE</t>
  </si>
  <si>
    <t>281111-16WH</t>
  </si>
  <si>
    <t>Надежное ядро ​​— это теперь все, что вам нужно для вашей базовой игры. Новый набор струн Head Synthetic Gut имеет твердый сердечник и мягкую внешнюю оплетку из нескольких нитей, а также покрытие с низким коэффициентом трения - идеальные предпосылки для мощности и контроля для универсального игрока, который готов поразить цель. корты лиги выходного дня.</t>
  </si>
  <si>
    <t>16WH</t>
  </si>
  <si>
    <t>HAWK 17</t>
  </si>
  <si>
    <t>281103-17WH</t>
  </si>
  <si>
    <t>Реализуйте для игры в теннис на высоком уровне, струна Head Hawk обеспечивает идеальное равновесие для силы и контроля.</t>
  </si>
  <si>
    <t>синтетика</t>
  </si>
  <si>
    <t>17WH</t>
  </si>
  <si>
    <t>Master</t>
  </si>
  <si>
    <t>281023-15LNT</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</si>
  <si>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t>
  </si>
  <si>
    <t>15LNT</t>
  </si>
  <si>
    <t>281103-17BK</t>
  </si>
  <si>
    <t>281111-16YW</t>
  </si>
  <si>
    <t>Качественная синтетическая струна с комбинированной структурой HEAD Synthetic Gut.  Цельная сердцевина из нейлона оплетена одним слоем внешнего  мультиволокна. Кроме того, снаружи имеется тонкий изолирующий слой,  отталкивающий влагу и улучшающий прочность. Толщина 1.3 мм, чуть  прочнее, и обеспечивает лучший контроль, но при этом чуть более жесткая,  чем струна с толщиной 1.25 мм. Synthetic Gut- это отличный выбор для  игроков, которым необходимы хорошие игровые характеристики по всему  корту за низкую цену. Также. довольно популярный вариант, это гибрид с  полиэстеровой продольной струной.
Характеристики:
Особенность: Мощность, Комфорт
Толщина: 130
Материал: Полиамид (нейлон)
Структура: Моноволокно в оплетке
Длина (м.): 12.2</t>
  </si>
  <si>
    <t>16YW</t>
  </si>
  <si>
    <t>281111-17WH</t>
  </si>
  <si>
    <t>BCL MLT (set)</t>
  </si>
  <si>
    <t>281404-16YW</t>
  </si>
  <si>
    <t>Эта мультиволоконная струна обеспечивает идеальное сочетание силы удара и ощущения мяча, а также отличный потенциал вращения благодаря специальному строению и инновационной технологии уменьшения трения, используемой в покрытии.</t>
  </si>
  <si>
    <t>281784-17BL</t>
  </si>
  <si>
    <t>17BL</t>
  </si>
  <si>
    <t>Hawk Power 16</t>
  </si>
  <si>
    <t>281022-16PT</t>
  </si>
  <si>
    <t>Моноволоконные корды Head Hawk Power разработаны для элитных игроков, стремящихся придать своим ударам ещё большую мощность. Они также идеально подходят для длительного сохранения натяжения и обеспечивают хорошую снисходительность даже при ударах не по центру.
Характеристики:
Калибр: 1,25 мм
Цвет: Питом (Petrol)
Комплект длиной 12 м</t>
  </si>
  <si>
    <t>16PT</t>
  </si>
  <si>
    <t>Hawk Power 17</t>
  </si>
  <si>
    <t>281022-17PT</t>
  </si>
  <si>
    <t>17PT</t>
  </si>
  <si>
    <t>281023-15LWH</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</si>
  <si>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
Особенность: Мощность, Контроль
Материал: Полиэстер (co-poly)
Структура: Моноволокно в оплетке
Тип: Сеты (одна натяжка)</t>
  </si>
  <si>
    <t>15LWH</t>
  </si>
  <si>
    <t>281023-16LNT</t>
  </si>
  <si>
    <t>нейтральный</t>
  </si>
  <si>
    <t>16LNT</t>
  </si>
  <si>
    <t>281023-16WH</t>
  </si>
  <si>
    <t>281023-16YW</t>
  </si>
  <si>
    <t>Sonic Pro 16</t>
  </si>
  <si>
    <t>281028-16BK</t>
  </si>
  <si>
    <t>16BK</t>
  </si>
  <si>
    <t>281028-16WH</t>
  </si>
  <si>
    <t>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высокого уровня.</t>
  </si>
  <si>
    <t>Lynx Touch (Smoky) (16 (1,30 мм))</t>
  </si>
  <si>
    <t>281042-16TB</t>
  </si>
  <si>
    <t>Струна теннисная</t>
  </si>
  <si>
    <t>Струны HEAD Lynx Touch созданы для самых требовательных игроков и обеспечивают идеальный баланс мощности, контроля и ощущений от удара.
Их мононитевая кополиэфирная структура гарантирует отличную игровую эффективность, динамически адаптируясь к стилю игры: при быстрых замахах повышают вращение и контроль, а при более медленных — усиливают чёткость ощущений и мощность удара. В идеале сочетаются с новой серией ракеток HEAD BOOM, обеспечивая высокую результативность при каждом ударе.</t>
  </si>
  <si>
    <t>16TB</t>
  </si>
  <si>
    <t>Lynx Touch (Smoky)</t>
  </si>
  <si>
    <t>281042-17TB</t>
  </si>
  <si>
    <t>17TB</t>
  </si>
  <si>
    <t>HAWK 16</t>
  </si>
  <si>
    <t>281103-16BK</t>
  </si>
  <si>
    <t>Head Hawk 1.30 Set 12</t>
  </si>
  <si>
    <t>281103-16WH</t>
  </si>
  <si>
    <t>281103-17GR</t>
  </si>
  <si>
    <t>17GR</t>
  </si>
  <si>
    <t>281111-16BK</t>
  </si>
  <si>
    <t>281111-16BL</t>
  </si>
  <si>
    <t>Надежное ядро ​​— это теперь все, что вам нужно для вашей базовой игры. Новый набор струн Head Synthetic Gut имеет твердый сердечник и мягкую внешнюю оплетку из нескольких нитей, а также покрытие с низким коэффициентом трения - идеальные предпосылки для мощности и контроля для универсального игрока, который готов поразить цель. корты лиги выходного дня.
Обновленная струна Head Synthetic Gut с прочным сердечником, мягкой многослойной оболочкой и покрытием с низким коэффициентом трения. Идеальное соотношение мощности и контроля для продвинутых теннисистов-любителей.
Толщина струны, мм: 1.30
Тип струны: Мультиволокно
Длина, см: 1200</t>
  </si>
  <si>
    <t>16BL</t>
  </si>
  <si>
    <t>281111-16GD</t>
  </si>
  <si>
    <t>золотой</t>
  </si>
  <si>
    <t>16GD</t>
  </si>
  <si>
    <t>Hawk Touch 16</t>
  </si>
  <si>
    <t>281204-16AN</t>
  </si>
  <si>
    <t>16AN</t>
  </si>
  <si>
    <t>Hawk Touch 17</t>
  </si>
  <si>
    <t>281204-17RD</t>
  </si>
  <si>
    <t>Лучшая полиэстеровая струна Head, задумана как конкурент Alu Power 
и RPM Blast, но с большим комфортом. Адресована в первую очередь 
игрокам, обладающим мощными ударами с задней линии. Хорошо бьет, 
обладает высокой прочностью. 
Высокая прочность, большая ударная сила,  комфорт и удержание натяжки.
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любого уровня.</t>
  </si>
  <si>
    <t>17RD</t>
  </si>
  <si>
    <t>281404-16BK</t>
  </si>
  <si>
    <t>281404-16NT</t>
  </si>
  <si>
    <t>16NT</t>
  </si>
  <si>
    <t>281404-17NT</t>
  </si>
  <si>
    <t>17NT</t>
  </si>
  <si>
    <t>281404-17YW</t>
  </si>
  <si>
    <t>Lynx 16</t>
  </si>
  <si>
    <t>281784-16AN</t>
  </si>
  <si>
    <t>Head Lynx 1.30 Set 12 m</t>
  </si>
  <si>
    <t>281784-16GE</t>
  </si>
  <si>
    <t>Если вы ищете превосходную долговечность, не отказываясь от ощущения, выберите новую монофильную леску Head Lynx!
Изготовлен из новой инновационной смеси сополимеров, которая повышает эластичность и ощущение, обеспечивая при этом прикосновение и идеальный контроль. Удар по мячу мягкий по сравнению с традиционными мононитями.</t>
  </si>
  <si>
    <t>салатовый</t>
  </si>
  <si>
    <t>16GE</t>
  </si>
  <si>
    <t>281784-16YW</t>
  </si>
  <si>
    <t>Если вы ищете превосходную долговечность, не отказываясь от ощущения, выберите новую монофильную леску Head Lynx!
Изготовлен из новой инновационной смеси сополимеров, которая повышает эластичность и ощущение, обеспечивая при этом прикосновение и идеальный контроль. Удар по мячу мягкий по сравнению с традиционными мононитями.</t>
  </si>
  <si>
    <t>281784-17RD</t>
  </si>
  <si>
    <t>Теннисная струна HEAD Lynx — это инновационная струна, которая содержит сополимерную смесь. Смесь позволяет струнам играть с более живым ощущением, давая вам именно то касание, которое вам нужно. Lynx обеспечивает непревзойденный контроль для тех игроков, которые любят играть агрессивно с задней линии, не жертвуя при этом прочностью. Lynx — более мягкая струна для сополиэфирной струны.</t>
  </si>
  <si>
    <t>Lynx 18</t>
  </si>
  <si>
    <t>281784-18AN</t>
  </si>
  <si>
    <t>18AN</t>
  </si>
  <si>
    <t>281784-18BL</t>
  </si>
  <si>
    <t>18BL</t>
  </si>
  <si>
    <t>Lynx Tour 16</t>
  </si>
  <si>
    <t>281790-16BK</t>
  </si>
  <si>
    <t>Особенность: Контроль, Вращениие, Долговечность; Толщина: 130; Материал: Полиэстер (co-poly); Цвет: Черный; Структура: Моноволокно, Шестигранная; Длина (м.): 12.2; Тип: Сеты (одна натяжка); Бренд: HEAD; Страна-производитель: Тайвань</t>
  </si>
  <si>
    <t>281790-16OR</t>
  </si>
  <si>
    <t>16OR</t>
  </si>
  <si>
    <t>Lynx Tour 17</t>
  </si>
  <si>
    <t>281790-17BK</t>
  </si>
  <si>
    <t>Kids Tour Backpack 14L BKWH</t>
  </si>
  <si>
    <t>260764-BKWH</t>
  </si>
  <si>
    <t>Теннисная сумка</t>
  </si>
  <si>
    <t>Сумки</t>
  </si>
  <si>
    <t>Веселый и функциональный, рюкзак KIDS TOUR BACKPACK 14L легкий и удобный, с новым цветовым оформлением и дизайном, вдохновлённым миром монстров, и он отлично сочетается с серией ракеток NOVAK Junior. Детям очень понравится этот рюкзак, который имеет заднее отделение для одной ракетки, основное отделение для одежды и обуви, а также передний карман на молнии для аксессуаров. Для оптимальной подгонки и комфорта плечевые ремни и нагрудная пряжка рюкзака идеально подходят для детей. Внутри рюкзака также есть бирка для имени.
Новый цвет и весёлый дизайн с монстрами
Основное отделение
Заднее отделение для одной ракетки
Передний карман на молнии для аксессуаров
Плечевые ремни рюкзака и нагрудная пряжка для детей
Бирка для имени внутри</t>
  </si>
  <si>
    <t>Team Racquet Bag S BLBK</t>
  </si>
  <si>
    <t>262334-BLBK</t>
  </si>
  <si>
    <t>Сумка</t>
  </si>
  <si>
    <t>Перевозите до 3 ракеток и все остальные необходимые вещи в стильной, практичной и прочной сумке TEAM RACQUET BAG S BKCC с современным дизайном. В основном отделении найдётся место для трёх ракеток, а в двух внешних карманах для аксессуаров вы легко разместите мелкие предметы — например, телефон, ключи и кошелёк. Регулируемый и съёмный наплечный ремень позволяет удобно носить сумку как на корте, так и в дороге. В качестве примера стремления HEAD сокращать использование пластика можно привести бирку из переработанной бумаги, перевязанную шпагатом из конопли, а также упаковку сумки в новый пакет из переработанного пластика.
Основное отделение с местом для 3 ракеток
Новый современный дизайн
Два внешних кармана для аксессуаров
Регулируемый и съёмный наплечный ремень
Бирка изготовлена из переработанной бумаги и конопляного шпагата
Упакована в новый пакет из переработанного пластика</t>
  </si>
  <si>
    <t>Tour Racquet Bag XL CHYU</t>
  </si>
  <si>
    <t>260803-CHYU</t>
  </si>
  <si>
    <t>Сумка Head Tour Racquet Bag XL с тремя большими отделениями, вмещающими до 12 ракеток, станет идеальной теннисной сумкой для тренировок.</t>
  </si>
  <si>
    <t>белый/розовый</t>
  </si>
  <si>
    <t>Kids Tour Backpack 14L Monster</t>
  </si>
  <si>
    <t>260774-Monster</t>
  </si>
  <si>
    <t>Team Racquet Bag M BKCC</t>
  </si>
  <si>
    <t>262224-BKCC</t>
  </si>
  <si>
    <t>Теннисная сумка от Team в новом дизайне — то что нужно для поездки на корт. В аксессуар помещается до 6 ракеток и все вещи, которые могут понадобиться на тренировке. Предусмотрено 2 основных отделения и 2 кармана для аксессуаров, куда можно положить телефон, ключи и банковские карты. За счет трансформируемой системы переноски вы можете надеть сумку на плечо или за спину. Head заботится о сохранности окружающей среды, поэтому бирка изготовлена из переработанной бумаги и закреплена пеньковым шнуром, а сама сумка упаковывается в пакет из переработанных материалов. Выбирая эту модель, вы вносите свой вклад в сокращение количества пластиковых отходов. Объем 41 л.</t>
  </si>
  <si>
    <t>Team Racquet Bag M BLBK</t>
  </si>
  <si>
    <t>262324-BLBK</t>
  </si>
  <si>
    <t>JR Tour Racquet Bag Monster</t>
  </si>
  <si>
    <t>260754-Monster</t>
  </si>
  <si>
    <t>Одно отделение для ракеток (до 26"), формы и обуви.
Внешний карман на молнии для аксессуаров.
Регулируемые ремни для переноски за спиной.
Ручки для вертикальной и горизонтальной переноски.
Материал: 100% Полиэстер</t>
  </si>
  <si>
    <t>черный/синий</t>
  </si>
  <si>
    <t>Pro Duffle Bag L LNLL</t>
  </si>
  <si>
    <t>260303-LNLL</t>
  </si>
  <si>
    <t>Сумка PRO DUFFLE BAG L, одобренная Маттео Берреттини и соответствующая серии ракеток HEAD EXTREME, станет стильным спутником в путешествии. Усовершенствованная форма этой сумки даст вам достаточно места в дороге. В двух просторных отделениях удобно разместиться до 9 ракеток. Дополнительный внутренний сетчатый карман и внешний карман обеспечивают дополнительное пространство для быстрого доступа, а двусторонняя система переноски позволяет выбирать, хотите ли вы перекинуть сумку через плечо или надеть на спину для дополнительной гибкости. Технология климат-контроля CCT+ в одном из основных отделений защищает ракетки от более высоких температур. • Новая форма с большим пространством • Место для 9 ракеток • Технология климат-контроля CCT+ защищает ракетки.</t>
  </si>
  <si>
    <t>Tour Racquet Bag XL</t>
  </si>
  <si>
    <t>260703-CB</t>
  </si>
  <si>
    <t>Сумка для ракеток</t>
  </si>
  <si>
    <t>Base Racquet Bag M NV</t>
  </si>
  <si>
    <t>261315-NV</t>
  </si>
  <si>
    <t>Теннисная сумка Head Base M легкая и удобная, идеально подходит для переноски до 6 ракеток и всего необходимого для матча.
Подробности:
Два отделения на молнии для хранения рамок без чехлов
Передний карман на молнии для аксессуаров
Ручки с застежкой-липучкой сверху
Боковая ручка
Мягкие и регулируемые плечевые лямки
Логотип с напечатанной головой
Размеры (Д х В х Г): 76 х 32 х 28 см
Ткань: 100% полиэстер</t>
  </si>
  <si>
    <t>Base Racquet Bag S NV</t>
  </si>
  <si>
    <t>261325-NV</t>
  </si>
  <si>
    <t>Функциональная сумка Head Base Racquet Bag S с 1 отделением и внешним карманом может вместить до 3 ракеток и все необходимые на корте принадлежности. Вы можете нести ее на одном плече или на спине, как рюкзак. Помимо остальных достоинств эта сумка легче других моделей аналогичного размера.</t>
  </si>
  <si>
    <t>Team Racquet Bag L BLBK</t>
  </si>
  <si>
    <t>262314-BLBK</t>
  </si>
  <si>
    <t>Обновленная модель с новыми современными цветовыми решениями, сумка TEAM RACQUET BAG L BKCC обеспечивает современный стиль и при этом большой объем — в ней найдется место для 9 ракеток. Помимо двух основных отделений, в сумке предусмотрено два внешних кармана для аксессуаров, куда удобно положить мелкие необходимые предметы, такие как телефон, ключи и кошелек. Для дополнительного удобства во время пути на корт или поездки на матч в выходные дни предусмотрена двухрежимная система переноски: можно носить сумку как через плечо, так и за спиной как рюкзак. Чтобы показать, как HEAD стремится сократить использование пластика, бирка изготовлена из переработанной бумаги и перевязана шпагатом из конопли, а сама сумка упакована в новый пакет из переработанного пластика.
Современная, стильная и вместительная
Свежий дизайн
Место для 9 ракеток
Два отделения
Внешние карманы для аксессуаров
Двухрежимная система переноски: как рюкзак и наплечная сумка
Бирка изготовлена из переработанной бумаги и конопляного шпагата
Упакована в новый пакет из переработанного пластика</t>
  </si>
  <si>
    <t>Pro X Racquet Bag L</t>
  </si>
  <si>
    <t>260015-BK</t>
  </si>
  <si>
    <t>Сумка теннисная</t>
  </si>
  <si>
    <t>Роскошная теннисная сумка PRO X RACQUET BAG L, поддерживаемая Новаком Джоковичем и обновлённая новым дизайном и функциями, вмещает до девяти ракеток.
Роскошная теннисная сумка PRO X RACQUET BAG L разработана с тщательным вниманием к деталям и украшена подписью и логотипом Новака Джоковича — теннисной иконы, известной своей непоколебимой приверженностью совершенству. Так же, как и Джокович, компания HEAD продолжает расширять границы инноваций, и эта сумка не является исключением: она получила обновлённый, утончённый дизайн и усиленную конструкцию для повышенной стабильности и защиты, а также увеличенные внешние карманы. Обновление также включает новый плечевой ремень, благодаря которому сумку стало ещё удобнее переносить между матчами и тренировками. Она вмещает до 9 ракеток, размещаемых в одном из основных отделений, оснащённых технологией Climate Control CCT+, которая защищает их от экстремальных температур.
Благодаря отдельному центральному отделению и вентилируемому пространству для хранения одежды или обуви, сумка PRO X RACQUET BAG L позволяет с лёгкостью организовать все необходимые принадлежности. Два внешних кармана для аксессуаров и две внутренние сетчатые карманы обеспечивают порядок для каждой вещи. В знак приверженности HEAD принципам устойчивого развития, сумка комплектуется биркой из переработанной бумаги, закреплённой на пеньковой верёвке, и поставляется в упаковке из переработанного пластика.
· Новый премиальный дизайн из высококачественных материалов
· Усиленная конструкция для повышенной стабильности и защиты
· Увеличенные внешние карманы
· Новая ручка для переноски
· Вместимость до 9 ракеток
· Технология климат-контроля CCT+ защищает ракетки от экстремальных температур
· Бирка из переработанной бумаги, закреплённая на пеньковой верёвке</t>
  </si>
  <si>
    <t>Pro X Duffle Bag L</t>
  </si>
  <si>
    <t>260113-BK</t>
  </si>
  <si>
    <t>Вместительная и практичная сумка из коллекции, рекомендованной Александром Зверевым, дизайн которой напоминает серию ракеток Gravity. Может вместить до шести ракеток. Имеет просторное основное отделение, разделенное на две части внутренними органайзерами, застегивающимися на липучки. Одно отделение предназначено для хранения ракеток. Второе разделено на два отделения, в том числе одно с карманом для аксессуаров на молнии. Отдельный отсек для мокрой одежды или обуви. Боковой карман для аксессуаров закрывается на молнию. Вертикальная ручка и два удобных регулируемых ремня позволяют носить сумку с комфортом.</t>
  </si>
  <si>
    <t>Head Bag</t>
  </si>
  <si>
    <t>260213-DYFO</t>
  </si>
  <si>
    <t>Теннисная сумка Head Pro Racquet Bag L – сумка на девять ракеток, дизайн которой относится к серии ракеток Head Radical 2023. Имеет два основных отделения. Один, используемый для хранения ракеток, оснащен теплоизоляционной защитой.</t>
  </si>
  <si>
    <t>Coco Tour Tote Bag 35L KG</t>
  </si>
  <si>
    <t>260514-KG</t>
  </si>
  <si>
    <t>Одно вместительное отделение для ракеток и одежды.
Внутри большой карман на молнии и мешок для обуви, а также карман для бутылочки.
Внешний карман на молнии.
Ручки для горизонтальной переноски.
Отстегивающийся регулируемый ремень для переноски на плече.
Плотный, немаркий материал.</t>
  </si>
  <si>
    <t>Coco Tour Backpack 30L KG</t>
  </si>
  <si>
    <t>260524-KG</t>
  </si>
  <si>
    <t>Рюкзак Head Tour Backpack - это теннисная сумка из коллекции Head. Эта универсальная теннисная сумка идеальна для игроков, которым нужен удобный рюкзак, вмещающий до 2 ракеток.
В сумке есть просторное основное отделение, в котором найдется место для ваших ракеток и/или теннисного снаряжения. Отделения для аксессуаров идеальны для хранения ваших ценных вещей.
Сумка также оснащена прочными плечевыми ремнями, благодаря которым вы сможете удобно носить ее везде.</t>
  </si>
  <si>
    <t>Tour Racquet Bag S BKWH</t>
  </si>
  <si>
    <t>260644-BKWH</t>
  </si>
  <si>
    <t>Теннисная сумка Head Tour Racquet Bag S - шампанское/белый вельвет Стильная сумка, вмещающая три ракетки. Имеет одно основное отделение с внутренним органайзером. Внешний боковой карман для аксессуаров закрывается на молнию. Один регулируемый удобный плечевой ремень и складная ручка позволяют носить сумку в руке. Емкость: 29л.</t>
  </si>
  <si>
    <t>Tour Court Bag 40L BKWH</t>
  </si>
  <si>
    <t>260694-BKWH</t>
  </si>
  <si>
    <t>Практичная и функциональная теннисная сумка Tour Court обновлена с элегантным дизайном и прочными материалами, идеально подходит для переноски ракеток и аксессуаров, необходимых для игр и тренировок.
Характеристики:
Большое центральное отделение с застежкой-молнией
Боковой карман для хранения обуви или других вещей отдельно
Дополнительный передний карман с застежкой-молнией и внутренним открытым карманом для мелких личных вещей, таких как клубные карты, кошелек или смартфон
Два регулируемых ручки и мягкая вставка на липучке для удобной переноски в руках
Более прочное дно с пластиковыми ножками для защиты от износа и царапин
Объем: 40 литров
Размеры (В х Ш х Г): 30 x 50 x 27.5 см</t>
  </si>
  <si>
    <t>JR Tour Backpack 20L BKWH</t>
  </si>
  <si>
    <t>260744-BKWH</t>
  </si>
  <si>
    <t>Новый рюкзак JR TOUR BACKPACK 20L предназначен для юниоров, которые выросли из детских рюкзаков, но слишком малы для наших взрослых рюкзаков. Для идеальной посадки и комфорта сумка оснащена рюкзачными лямками и нагрудной пряжкой, предназначенными для юниоров, а другие особенности включают в себя бирку с именем внутри и светоотражающие логотипы для видимости в темное время суток.</t>
  </si>
  <si>
    <t>Kids Tour Backpack 14L Owl</t>
  </si>
  <si>
    <t>260784-Owl</t>
  </si>
  <si>
    <t>260805-NV</t>
  </si>
  <si>
    <t>Сумка для ракеток Head Tour XL. В обновленной цветовой версии, посвященной серии ракеток Gravity 2025, сумка отличается новой формой и новым наполнителем для лучшей устойчивости. Может вмещать до пятнадцати ракеток. Имеет три основных отделения. Одно из них, предназначенное для ракеток, оснащено теплоизоляционной защитой благодаря использованию ТЕХНОЛОГИИ КЛИМАТ-КОНТРОЛЯ. Среднее и самое большое отделение оснащено внутренним органайзером на молнии. Сумка также имеет встроенное отделение для обуви или мокрой одежды. Дополнительный внешний карман для аксессуаров с застежкой-молнией и быстрым доступом. Два регулируемых и удобных ремня для ношения на спине. Складные ручки для переноски сумки в руке. Ручка для вертикального размещения сумки. 
В качестве иллюстрации того, как HEAD пытается сократить использование пластика, бирка сделана из переработанной бумаги и завязана пеньковой веревкой, а сама сумка поставляется ​​в новом переработанном пластиковом пакете.</t>
  </si>
  <si>
    <t>260814-FO</t>
  </si>
  <si>
    <t>Tour Racquet Bag L</t>
  </si>
  <si>
    <t>260815-NV</t>
  </si>
  <si>
    <t>Теннисная сумка Head Tour Racquet Bag L. В обновленной цветовой версии, посвященной серии ракет Gravity 2025, сумка имеет новый дизайн и новое наполнение, обеспечивающее лучшую стабильность. Рассчитана на 9 ракеток.
Одно из двух просторных основных отделений оснащено технологией климат-контроля CCT+, которая защищает ваши ракетки от экстремальных температур. Организация ваших вещей проста в сумке, которая также поставляется с интегрированным отделением для обуви, внутренним карманом на молнии и внешним карманом на молнии для быстрого доступа. Благодаря системе переноски рюкзака и новым верхним ручкам у вас есть возможность носить TOUR RACQUET BAG L на плече или спине или в руке.</t>
  </si>
  <si>
    <t>Tour Racquet Bag L FO</t>
  </si>
  <si>
    <t>260824-FO</t>
  </si>
  <si>
    <t>В теннисную сумку Head Tour Racquet Bag L поместится до 9 ракеток и все, что потребуется вам на корте. Сумка хорошо держит форму как при полной загрузке, так и будучи полупустой. Одно из 2 просторных основных отделений оснащено технологией климат-контроля CCT+, которая защищает ваши ракетки от перепадов температуры. В сумке также есть встроенное отделение для обуви, внутренний карман на молнии и внешний карман на молнии для быстрого доступа, что упрощает организацию вещей. Благодаря системе переноски и новым верхним ручкам у вас есть выбор: перекинуть сумку через плечо, нести ее в руке или на спине, как рюкзак.</t>
  </si>
  <si>
    <t>Tour Racquet Bag S</t>
  </si>
  <si>
    <t>260835-NV</t>
  </si>
  <si>
    <t>Теннисная сумка Head Tour Racquet Bag S. Функциональная сумка в обновленной цветовой версии, посвященная новой серии ракет Gravity 2025. Имеет одно основное отделение, способное вместить до трех ракеток. Один внешний боковой карман для аксессуаров, закрывающийся на молнию. Одна регулируемая и комфортная лямка для ношения на плече, а также отдельная ручка для переноски сумки в руке. 
В качестве примера стремления HEAD к сокращению использования пластика, подвесная бирка изготовлена из переработанной бумаги и перевязана пеньковым шнуром, а сама сумка поставляется в новом пакете из переработанного пластика.
Размер: 75 х 31 х 9.5 см
Емкость: 30 литров.</t>
  </si>
  <si>
    <t>Tour Backpack 25L FO</t>
  </si>
  <si>
    <t>260854-FO</t>
  </si>
  <si>
    <t>260905-SG</t>
  </si>
  <si>
    <t>Tour Racquet Bag XL CCTE</t>
  </si>
  <si>
    <t>260914-CCTE</t>
  </si>
  <si>
    <t>260915-SG</t>
  </si>
  <si>
    <t>Сумка для ракетки Head Tour L - шампанское/белый вельвет Он может вместить до девяти ракет. Имеет два основных отделения. Один, предназначенный для ракеток, имеет термоизоляционную защиту благодаря использованию ТЕХНОЛОГИИ КЛИМАТ-КОНТРОЛЯ. Второе, основное отделение оснащено внутренним сетчатым органайзером. Два регулируемых и удобных плечевых ремня. Складные ручки позволяют носить сумку в руке. Ручка для вертикального положения сумки. Емкость: 82л.</t>
  </si>
  <si>
    <t>Tour Racquet Bag L CCTE</t>
  </si>
  <si>
    <t>260924-CCTE</t>
  </si>
  <si>
    <t>260935-SG</t>
  </si>
  <si>
    <t>Tour Racquet Bag S CCTE</t>
  </si>
  <si>
    <t>260944-CCTE</t>
  </si>
  <si>
    <t>Tour Backpack 25L CCTE</t>
  </si>
  <si>
    <t>260954-CCTE</t>
  </si>
  <si>
    <t>Base Racquet Bag L BK</t>
  </si>
  <si>
    <t>261205-BK</t>
  </si>
  <si>
    <t>Обновлённая по дизайну и выполненная с усиленной конструкцией, сумка Head Base L позволяет взять с собой до 9 ракеток, сменную экипировку и все самые необходимые аксессуары для матчей и турниров.
Особенности:
Три вместительных отделения для хранения ракеток без чехлов, экипировки и обуви
Внешний карман на молнии для мелких аксессуаров
Двойная мягко амортизирующая ручка для удобной переноски в руке
Мягкие регулируемые наплечные лямки для комфортного ношения как рюкзак
Дополнительная ручка сбоку
Нанесённый логотип Head
Размеры (Ш × В × Г): 76 × 32 × 34 см
Объём: 60 л</t>
  </si>
  <si>
    <t>Base Racquet Bag M BK</t>
  </si>
  <si>
    <t>261215-BK</t>
  </si>
  <si>
    <t>Теннисная сумка Head Base Racquet Bag M вмещает до 6 ракеток, комплект спортивной формы и необходимые аксессуары. Благодаря новой конструкции сумка сохраняет форму как при полной загрузке, так и будучи полупустой. Предназначенная для игроков среднего уровня и новичков сумка имеет 2 основных отделения, а также внешний карман для мелочей. Новые ручки-ремни позволяют носить ее с комфортом, в том числе на спине, как рюкзак.</t>
  </si>
  <si>
    <t>Base Racquet Bag M</t>
  </si>
  <si>
    <t>261313-BKOR</t>
  </si>
  <si>
    <t>Вместительная теннисная сумка с двумя отделениями, в которые без труда помещается до 6 ракеток. Размер: 76 х 32 х 28 см.</t>
  </si>
  <si>
    <t>Base Racquet Bag S</t>
  </si>
  <si>
    <t>261425-SG</t>
  </si>
  <si>
    <t>Team Racquet Bag L BKCC</t>
  </si>
  <si>
    <t>262214-BKCC</t>
  </si>
  <si>
    <t>Tour Team 9R</t>
  </si>
  <si>
    <t>283432-BKMI</t>
  </si>
  <si>
    <t>TOUR TEAM EXTREME 9R COMBI с новой цветовой гаммой, соответствующей новой серии ракеток HEAD EXTREME, имеет два отделения, в которые помещаются шесть ракеток. В одном из них установлена ​​технология климат-контроля CCT +, защищающая от экстремальных температур. Регулируемый по диагонали плечевой ремень обеспечивает гибкость в дороге, а внутренний сетчатый карман и внешний карман обеспечивают быстрый доступ ко всему, что вам нужно. В дополнение к новой расцветке, TOUR TEAM EXTREME 9R COMBI имеет современную форму и дизайн, которые идеально сочетаются с ракетками серии EXTREME. Регулируемый плечевой ремень. 2 основных отделения для 9 ракеток, одно с CCT +. 1 внутренний сетчатый карман. 1 внешний карман.</t>
  </si>
  <si>
    <t>Tour Team 12R "TEAM HEAD"</t>
  </si>
  <si>
    <t>283802-BKOR</t>
  </si>
  <si>
    <t>75% полиэстер, 25% полиуретан</t>
  </si>
  <si>
    <t>Cover Tennis Black</t>
  </si>
  <si>
    <t>288050</t>
  </si>
  <si>
    <t>Чехол для ракетки</t>
  </si>
  <si>
    <t>Универсальный чехол, который подойдет для любой ракетки HEAD.; Размер: 1 ракетка; Изотермическое отделение: Нет; Отделение/мешок для обуви: Нет</t>
  </si>
  <si>
    <t>CLUB 25 Jacket Men</t>
  </si>
  <si>
    <t>811745-ROWH</t>
  </si>
  <si>
    <t>Ветровка</t>
  </si>
  <si>
    <t>Мужская куртка CLUB 25 JACKET со спортивной контрастной вставкой спереди предлагает первоклассный стиль для игры на корте и за его пределами. Эта куртка также сохранит ваше ощущение свежести благодаря высокоэффективной технологии Moisture Transfer Microfiber, которая обеспечивает охлаждающий эффект и помогает ткани быстро высыхать. Сетчатая подкладка внутри корпуса и рукавов добавляет вам комфорта, как и эластичная окантовка по нижнему краю, краям рукавов и воротнику. Улучшая спортивный вид, куртка имеет одностороннюю молнию SAB® с защитой подбородка по центру спереди и украшена культовым логотипом wilbone и брендингом HEAD.
Технологии:
- MXM (влагоотводящая микрофибра эффективно отводит лишнюю влагу от кожи)
Особенности: 
- односторонняя молния SAB® с защитой подбородка посередине спереди
- эластичная окантовка по низу, по краю рукавов и воротнику
- карманы для рук на молнии SAB®
- сетчатая подкладка внутри корпуса и рукавов
- контрастная вставка спереди</t>
  </si>
  <si>
    <t>CLUB 22 Tech T-Shirt W</t>
  </si>
  <si>
    <t>814431-MA</t>
  </si>
  <si>
    <t>Когда матч или тренировка начнет накаляться, вы оцените, как мужская футболка CLUB 22 Tech изготовлена с использованием технологии Moisture Transfer Microfiber, которая обеспечивает охлаждающий эффект и позволяет материалу быстро сохнуть.</t>
  </si>
  <si>
    <t>92% полиэстер, 8% эластан</t>
  </si>
  <si>
    <t>PERFORMANCE Polo Shirt Men</t>
  </si>
  <si>
    <t>811005-NV</t>
  </si>
  <si>
    <t>Поло Head Performance Navy
Это стильная и функциональная футболка-поло созданная для будущих побед на корте!
Ключевые особенности:
Высокотехнологичный материал – изготовлена из 100% полиэстера, обеспечивающего максимальную свободу движений и комфорт во время игры.
Технология Body-Mapping – особая конструкция с вентиляционными зонами для оптимального воздухообмена.
Moisture Transfer Microfiber – инновационная ткань отводит влагу, сохраняя сухость и прохладу даже при интенсивных нагрузках.
Элегантный дизайн – классический темно-синий цвет (navy) подчеркнет ваш стиль и дополнит образ на корте.
Идеальный выбор для тех, кто стремится к совершенству в теннисе!</t>
  </si>
  <si>
    <t>SPIRIT Tank Top Girls</t>
  </si>
  <si>
    <t>816225-NV</t>
  </si>
  <si>
    <t>Майка</t>
  </si>
  <si>
    <t>Современный и спортивный вид сочетается с повышенным комфортом в SPIRIT Tank Top для девочек, которая сшита из 100% полиэстера interlock. Чтобы девочки чувствовали себя свежими на корте, высокоэффективная технология Moisture Transfer Microfiber обеспечивает охлаждающий эффект и помогает ткани быстро высыхать. Контрастные сетчатые вставки по бокам улучшают воздухопроницаемость, а также помогают девочкам чувствовать себя комфортно в майке с двумя разрезами спереди и двойным слоем спереди на груди и сзади.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rонтрастные сетчатые вставки по бокам для улучшения воздухопроницаемости
- верхняя часть груди спереди и сзади с двойным слоем
- два разреза спереди
- технология переноса влаги с помощью микроволокна
- дополнена фирменной символикой HEAD и культовым логотипом willbone
- спортивная, премиальная эстетика</t>
  </si>
  <si>
    <t>140</t>
  </si>
  <si>
    <t>152</t>
  </si>
  <si>
    <t>164</t>
  </si>
  <si>
    <t>176</t>
  </si>
  <si>
    <t>816225-ZI</t>
  </si>
  <si>
    <t>SLICE T-Shirt Boys</t>
  </si>
  <si>
    <t>816215-NV</t>
  </si>
  <si>
    <t>Юниорская футболка Head Slice Orange
Яркий дизайн и передовые технологии в HEAD SLICE T-shirt созданы для юных чемпионов, которые ценят удобство и стиль на теннисном корте!
Основные особенности:
Спортивный дизайн – цветные блоки и фирменный логотип подчеркивают динамичный стиль
Дышащий материал – 100% полиэстер с технологией быстрого отведения влаги (Moisture Transfer Microfiber)
Улучшенная вентиляция – сетчатые вставки по бокам обеспечивают циркуляцию воздуха
Комфортная посадка – классический круглый вырез и мягкая ткань не ограничивают движения</t>
  </si>
  <si>
    <t>816215-TE</t>
  </si>
  <si>
    <t>SPIRIT II Tank Top Women</t>
  </si>
  <si>
    <t>814435-CE</t>
  </si>
  <si>
    <t>Основные характеристики:
• Посадка: облегающий крой;
• Материал: интерлок 100% полиэстер с отводящими влагу свойствами;
• Круглый вырез;
• Сублимационный принт на передней стороне.
Майка Head Spirit II Tank сочетает стильный внешний вид с обтекаемым, функциональным кроем. Эта майка из коллекции пэдела от Head создана для спортсменов, которые ценят облегающий силуэт и надёжную поддержку во время интенсивных нагрузок.
Женственный круглый вырез придаёт майке элегантный и спортивный вид. Сублимационный принт на передней стороне добавляет современный и динамичный акцент, а влагоотводящий материал обеспечивает сухость и комфорт даже в самых напряжённых матчах.</t>
  </si>
  <si>
    <t>814435-WH</t>
  </si>
  <si>
    <t>CLUB 25 TECH T-Shirt Women</t>
  </si>
  <si>
    <t>814725-NV</t>
  </si>
  <si>
    <t>Благодаря дышащей и быстро сохнущей ткани, женская теннисная футболка Head Club 25 Tech Logo позволяет играть без ограничений, обеспечивая прохладу на всех этапах матча.
Характеристики:
Круглый вырез с внутренней окантовкой
Сетчатые вставки в стратегически важных зонах
Удлинённая спинка для большей прикрываемости
Форма нижнего края по фигуре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</si>
  <si>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814725-NVWH</t>
  </si>
  <si>
    <t>814725-WH</t>
  </si>
  <si>
    <t>SLICE T-Shirt Men</t>
  </si>
  <si>
    <t>811215-CN</t>
  </si>
  <si>
    <t>SLICE T-Shirt Men сочетает в себе спортивный, динамичный стиль и современный спортивный комфорт. В то время как дизайн с цветными блоками придает этой футболке спортивный и современный вид, боковые сетчатые вставки улучшают воздухопроницаемость, поэтому вы всегда будете чувствовать себя свежими и комфортными во время жарких матчей. Бренд HEAD и легко узнаваемый логотип символизируют качество и подчеркивают спортивный премиальный вид.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сетчатые вставки по бокам для улучшения воздухопроницаемости
- дизайн цветных блоков
- передача влаги с помощью микроволоконной технологии</t>
  </si>
  <si>
    <t>SPIRIT Tank Top Women</t>
  </si>
  <si>
    <t>814225-CE</t>
  </si>
  <si>
    <t>Динамичный и спортивный образ сочетается с современным комфортом в женской майке SPIRIT, выполненной из 100 % полиэстерового интерлока. Благодаря высокопроизводительной технологии отвода влаги Microfibre Moisture Transfer вы будете ощущать прохладу на корте: ткань быстро отводит влагу и быстро сохнет. Контрастные вставки из сетчатого материала по бокам обеспечивают повышенную воздухопроницаемость и позволяют чувствовать себя комфортно. Майка имеет два разреза спереди, а также двойной слой ткани в верхней части груди, спереди и сзади. Майка SPIRIT украшена брендом HEAD и знаковым логотипом Wishbone, что подчёркивает её спортивный стиль.
Интерлок 100 % полиэстер с отводящей влагу отделкой
Контрастные сетчатые вставки по бокам для лучшей воздухопроницаемости
Двойной слой ткани в верхней части груди, спереди и сзади
Два разреза спереди
Технология отвода влаги Microfibre Moisture Transfer</t>
  </si>
  <si>
    <t>814225-ZI</t>
  </si>
  <si>
    <t>CLUB ORIGINAL T-Shirt Women</t>
  </si>
  <si>
    <t>814845-RO</t>
  </si>
  <si>
    <t>Женская футболка Head Club Original — идеальный выбор для того, чтобы с комфортом провести день в клубе. Благодаря исключительной мягкости, она обеспечивает длительный комфорт, а лёгкая и дышащая ткань сохраняет ощущение свежести и сухости.
Характеристики:
Футболочный вырез с внутренней окантовкой
Фигурный нижний край
Логотип Head с принтом
Классический крой
Материал: 57 % хлопок, 38 % полиэстер, 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</si>
  <si>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57% полиэстер, 38% хлопок, 5% эластан (спандекс)</t>
  </si>
  <si>
    <t>CLUB ORIGINAL T-Shirt Junior</t>
  </si>
  <si>
    <t>816785-BK</t>
  </si>
  <si>
    <t>Вашим юным чемпионам эта футболка Head Junior Club Original подойдёт не только для корта, но и для повседневной носки.
Мягкая, слегка тянущаяся ткань обеспечивает максимальный комфорт и свободу движений. Также используется технология MXM, которая эффективно отводит влагу во время физических нагрузок.
Что касается дизайна, однотонный цвет и логотип Head прекрасно дополнят их повседневный образ.</t>
  </si>
  <si>
    <t>110</t>
  </si>
  <si>
    <t>116</t>
  </si>
  <si>
    <t>122</t>
  </si>
  <si>
    <t>CLUB 25 TECH Tank Top Women</t>
  </si>
  <si>
    <t>814735-NV</t>
  </si>
  <si>
    <t>Женская теннисная майка Head Club 25 Tech создана для игроков, стремящихся к высокой производительности во время матчей. Изготовлена с использованием дышащей технологии, которая сохраняет кожу сухой и свежей, что идеально подходит для самых напряжённых моментов на корте.
Характеристики:
Круглый вырез с внутренней окантовкой
Спинка-бандо (рэйсербэк) для большей свободы движений
Удлинённая спинка для дополнительной прикрываемости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</si>
  <si>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814735-RDWH</t>
  </si>
  <si>
    <t>814735-ROWH</t>
  </si>
  <si>
    <t>CLUB 25 Tech T-Shirt Girls</t>
  </si>
  <si>
    <t>816725-NV</t>
  </si>
  <si>
    <t>CLUB 25 Tech T-Shirt для девочек с контрастными вставка спереди дополняют спортивный, премиальный стиль. Футболка из 100% полиэстера интерлок с круглым вырезом отличается эффективным отводом влаги благодаря технологии микрофибры, что обеспечивает охлаждающий эффект и быстрое высыхание. Сетка улучшает воздухопроницаемость, поэтому девочкам всегда будет комфортно.</t>
  </si>
  <si>
    <t>CLUB 25 Tank Top Girls</t>
  </si>
  <si>
    <t>816735-NVWH</t>
  </si>
  <si>
    <t>Майка для девочки Head Club — идеальный спутник для будущих чемпионов: эластичная и дышащая, она повторяет каждое движение на корте и станет прекрасным выбором для интенсивных тренировок.
Характеристики:
Круглый вырез с внутренней окантовкой
Спинка-бандо (рэйсербэк) для большей свободы движений
Сетчатые вставки в стратегически важных зонах
Логотип Head с принтом
Классический крой
Материал: 100 % полиэстер</t>
  </si>
  <si>
    <t>816735-WH</t>
  </si>
  <si>
    <t>CLUB 25 Tech T-Shirt Boys</t>
  </si>
  <si>
    <t>816765-NV</t>
  </si>
  <si>
    <t>Контрастная вставка спереди дополняет премиальный спортивный стиль CLUB 25 Tech T-Shirt  для мальчиков с круглым вырезом, фирменной символикой HEAD и культовым логотипом Wishbone. Чтобы мальчики всегда чувствовали себя свежими, футболка оснащена технологией эффективного отвода влаги с помощью микрофибры, которая оказывает охлаждающий эффект и позволяет ткани быстро высыхать. Закрытая сетка по бокам и на рукавах обеспечивает улучшенную воздухопроницаемость.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круглая горловина
- контрастная вставка спереди
- закрытая сетка по бокам и на рукавах для улучшения воздухопроницаемости
- передача влаги с помощью микроволоконной технологии
- премиальный спортивный стиль</t>
  </si>
  <si>
    <t>811215-NV</t>
  </si>
  <si>
    <t>814225-NV</t>
  </si>
  <si>
    <t>814845-WH</t>
  </si>
  <si>
    <t>SLICE II T-Shirt Men</t>
  </si>
  <si>
    <t>811265-TE</t>
  </si>
  <si>
    <t>Чтобы вы всегда чувствовали себя свежими, свободная SLICE II T-Shirt для мужчин отличается мощным отводом влаги благодаря технологии микрофибры, которая обеспечивает охлаждающий эффект и быстрое высыхание. Футболка с круглым вырезом, выполненная из 100% полиэстеровой ткани интерлок, украшена культовым логотипом HEAD Wishbone, дополняющим современный спортивный образ.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свободный крой
- передача влаги с помощью микроволоконной технологии</t>
  </si>
  <si>
    <t>PLAY Tech Polo Shirt Men</t>
  </si>
  <si>
    <t>811075-WG</t>
  </si>
  <si>
    <t>Мужская рубашка-поло PLAY TECH POLO SHIRT, выполненная из высококачественного одинарного трикотажа из 100% полиэстера со специальным меланжевым эффектом, имеет спортивный, современный и премиальный вид.
Технологии:
- MXM (влагоотводящая микрофибра эффективно отводит лишнюю влагу от кожи)
- технология Body-mapping для вентиляции зон тела
Особенности: 
- 100% полиэстер, меланжевый трикотаж с влагоотводом
- колледж-воротник в рубчик
- вставки из закрытой сетки на спине и рукавах
- короткая планка с пуговицами
- декоративный плоский шов спереди и сзади
- технология переноса влаги с помощью микроволокна</t>
  </si>
  <si>
    <t>основная ткань: 100% полиэстер, меланжевый одинарный джерси с впитыванием влаги¶- 2-я ткань: 90,5% полиэстер 9,5% эластан(спандекс) закрытая сетка с впитыванием влаги</t>
  </si>
  <si>
    <t>CLUB 25 TECH Polo Shirt Men</t>
  </si>
  <si>
    <t>811715-NV</t>
  </si>
  <si>
    <t>Спортивный, премиальный стиль сочетается с повышенным комфортом в мужской рубашке-поло CLUB 25 TECH, изготовленной с использованием высокоэффективной технологии охлаждения.
Технологии:
- MXM (влагоотводящая микрофибра эффективно отводит лишнюю влагу от кожи)
- технология Body-mapping для вентиляции зон тела
Особенности: 
- плоский вязаный воротник в рубчик
- планка на 3 пуговицах с фирменными пуговицами HEAD
- контрастная вставка спереди
- закрытая сетка сбоку и на рукавах для улучшенной воздухопроницаемости</t>
  </si>
  <si>
    <t>CLUB 25 TECH T-Shirt Men</t>
  </si>
  <si>
    <t>811725-NV</t>
  </si>
  <si>
    <t>Контрастная вставка спереди дополняет спортивный, премиальный стиль CLUB 25 TECH T-Shirt Men с круглым вырезом, отделкой HEAD и культовым логотипом Wishbone. Чтобы помочь вам оставаться свежими, высокоэффективная технология Moisture Transfer Microfiber беспечивает охлаждающий эффект и помогает ткани быстро высыхать, а закрытая сетка по бокам и на рукавах для улучшенной воздухопроницаемости.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круглый вырез горловины
- контрастная вставка спереди
- закрытая сетка по бокам и на рукавах для улучшения воздухопроницаемости
- технология переноса влаги с помощью микроволокна</t>
  </si>
  <si>
    <t>811725-ROWH</t>
  </si>
  <si>
    <t>811725-WH</t>
  </si>
  <si>
    <t>811215-TE</t>
  </si>
  <si>
    <t>CLUB ORIGINAL T-Shirt Men</t>
  </si>
  <si>
    <t>811855-NV</t>
  </si>
  <si>
    <t>Футболка от Head — оптимальное дополнение вашей экипировки для тренировок.
ОТВЕДЕНИЕ ВЛАГИ
Изготовлена из ткани с технологией MXM, которая эффективно отводит излишки влаги от тела и быстро высыхает. За счет этого создается охлаждающий эффект.
КОМФОРТНАЯ ПОСАДКА
Модель прямого кроя не сковывает движения. Чувствуйте себя естественно и свободно во время игры.
MXM
Влагоотводящий материал HEAD Sportswear MXM разработан для изготовления соревновательной экипировки и одежды, рассчитанной на интенсивные тренировки. Тонкие полиэфирные волокна эффективно отводят влагу на поверхность ткани, где она быстро испаряется.</t>
  </si>
  <si>
    <t>CARL T-Shirt Men</t>
  </si>
  <si>
    <t>811395-NV</t>
  </si>
  <si>
    <t>Сшитая из технической смеси полиэстера, хлопка и эластана, мужская футболка CARL T-SHIRT поможет вам оставаться свежими и свободно двигаться. Для дополнительного комфорта высокоэффективная технология Moisture Transfer Microfiber обеспечивает охлаждающий эффект и помогает ткани быстро высыхать. На площадке или за ее пределами вы будете выглядеть и чувствовать себя хорошо в футболке с ребристым круглым вырезом, на которой спереди расположен большой принт культового логотипа HEAD в виде дуги, а также брендинг HEAD спереди и сзади. Футболка CARL T-SHIRT дополнена лейблом в виде дугина левом рукаве.
Технологии:
- MXM (влагоотводящая микрофибра эффективно отводит лишнюю влагу от кожи)
- технология Body-mapping для вентиляции зон тела
Особенности: 
- воротник с круглым вырезом в рубчик
- техническая смесь полиэстера и хлопка для повышенной влажности
- поглощающие свойства
- печать на передней панели
- ярлык-флажок WISHBONE на левом рукаве.</t>
  </si>
  <si>
    <t>814431-WHNV</t>
  </si>
  <si>
    <t>MOVE Tank Top Women</t>
  </si>
  <si>
    <t>814256-LB</t>
  </si>
  <si>
    <t>Поворотная вставка на спинке придаёт женскому топу MOVE динамичный акцент. Изготовлен из суперэластичной ткани с дизайном спинки-борцовки для свободы движений и стиля.
Раскройте движение и стиль с женским топом MOVE. Это премиальное изделие из коллекции Vision впечатляет уникальной поворотной вставкой на спинке, которая добавляет женственную, динамичную нотку. Изготовленный из суперэластичной смеси полиэстера и эластана, он легко следует за вашими движениями. Дизайн со спинкой-борцовкой улучшает мобильность, а технология HEAD Moisture Transfer Microfiber (MXM) сохраняет вас прохладной и сухой. Завершают образ круглый вырез и культовое лого HEAD Wishbone.</t>
  </si>
  <si>
    <t>811116-WHPU</t>
  </si>
  <si>
    <t>Мужская теннисная футболка SLICE сочетает в себе стиль и уверенный внешний вид на корте, впечатляя выразительным колор-блокингом и свежим современным дизайном. Дышащие сетчатые вставки и технология охлаждения обеспечивают комфорт даже в самые напряжённые моменты матча.
С мужской теннисной футболкой SLICE из коллекции VISION вы заявляете о себе как на корте, так и за его пределами. Благодаря сочетанию современного спортивного кроя и динамичных вариантов колор-блокинга эта премиальная футболка идеально дополняет ваш личный стиль. Она изготовлена из 100% полиэстера интерлок, выдерживающего даже интенсивные игры, и оснащена сетчатыми вставками по бокам и на рукавах для важной вентиляции. За управление влагой отвечает передовая технология Moisture Transfer Microfiber (MXM) от HEAD, которая обеспечивает быстрое высыхание ткани и создаёт охлаждающий эффект. Завершают образ классический круглый вырез и удобная посадка для приятных ощущений во время носки.</t>
  </si>
  <si>
    <t>TOPSPIN T-Shirt Men</t>
  </si>
  <si>
    <t>811136-NVXV</t>
  </si>
  <si>
    <t>Мужская футболка TOPSPIN сочетает в себе яркий, смелый дизайн с современной производительностью.
Сетчатая спинка улучшает воздухопроницаемость, а технология Moisture Transfer Microfiber обеспечивает охлаждающий эффект и быстрое высыхание ткани.
Боковые разрезы позволяют свободно перемещаться по корту.
Стиль дополняют ребристый круглый вырез, брендовое шейное лого HEAD и логотип Wishbone.
Брендовое шейное лого HEAD
Рукава реглан
Сетчатая спинка для улучшенной воздухопроницаемости
Технология Moisture Transfer Microfiber</t>
  </si>
  <si>
    <t>811136-ROXV</t>
  </si>
  <si>
    <t>белый/розовый/синий</t>
  </si>
  <si>
    <t>BLUR T-Shirt Men</t>
  </si>
  <si>
    <t>811146-ROXU</t>
  </si>
  <si>
    <t>Яркие, размытые цвета придают мужской футболке BLUR её живой, современный стиль. Изготовленная с применением технологии MXM, она сохраняет вас свежими и сухими даже при интенсивных нагрузках.
Обновите свой образ на корте с мужской футболкой BLUR. Являясь частью выразительной коллекции Vision, эта футболка впечатляет уникальным сублимационным принтом с яркими, размытыми цветами, передающими энергию и динамику игры. Изготовленная из высококачественного полиэстера интерлок, она обеспечивает долговечность и комфорт. Технология HEAD Moisture Transfer Microfiber (MXM) способствует быстрому испарению влаги для охлаждающего эффекта. Завершают образ классический круглый вырез, втавные рукава и культовое лого HEAD Wishbone.</t>
  </si>
  <si>
    <t>белый/синий/красный</t>
  </si>
  <si>
    <t>811265-LL</t>
  </si>
  <si>
    <t>811395-TE</t>
  </si>
  <si>
    <t>811395-WH</t>
  </si>
  <si>
    <t>TIE-BREAK T-Shirt Women</t>
  </si>
  <si>
    <t>814206-APLB</t>
  </si>
  <si>
    <t>Женская теннисная футболка TIE-BREAK обновлена динамичным асимметричным колор-блокингом, имеет современный женственный силуэт и оснащена технологией охлаждения для интенсивных матчей.
Женская теннисная футболка TIE-BREAK сочетает в себе динамичный образ коллекции VISION с производительностью, всегда готовой к выходу на корт. Новый асимметричный дизайн колор-блокинга и контрастные канты на жаккардовой двойной трикотажной кокетке придают ей спортивный, современный вид. Футболка оснащена передовой технологией охлаждения от HEAD, которая отводит влагу и обеспечивает быстрое высыхание ткани, чтобы вы всегда оставались прохладными. Завершают образ женственный круглый вырез и культовое лого HEAD Wishbone — стильный выбор для любой теннисистки.</t>
  </si>
  <si>
    <t>814206-LBWH</t>
  </si>
  <si>
    <t>814226-APLB</t>
  </si>
  <si>
    <t>Женская майка HEAD Spirit предлагает динамичное сочетание стиля и функциональности для любой спортсменки. Являясь частью коллекции Vision от HEAD, эта майка излучает современный и спортивный образ. Круглый вырез обеспечивает классический вид и одновременно свободу движений во время интенсивных тренировок. Синий цвет придаёт свежий и энергичный вид, идеально подходящий для различных спортивных задач.
Эта майка разработана с вниманием к деталям и функциональности, что делает её отличным выбором для спортсменок, ценящих комфорт и стиль. Коллекция Vision от HEAD известна своими инновационными дизайнерскими решениями, обеспечивающими баланс между производительностью и эстетикой. В этой майке вы почувствуете себя готовой к любым спортивным вызовам, наслаждаясь максимальным комфортом и свободой движений.</t>
  </si>
  <si>
    <t>814226-LBWH</t>
  </si>
  <si>
    <t>814236-APXW</t>
  </si>
  <si>
    <t>814431-WH</t>
  </si>
  <si>
    <t>PRO Tank Top Women</t>
  </si>
  <si>
    <t>814516-AP</t>
  </si>
  <si>
    <t>Являясь частью коллекции Performance, которая сочетает инновации с функциональностью и стилем, новый женский топ PRO предлагает спортивный, женственный и выразительный образ. В этом премиальном топе выступают профессиональные спортсменки HEAD; он доступен в различных вариантах дизайна, включая модель с динамичными разноцветными полосами, а также более минималистичные варианты. Сшитый из дышащей жаккардовой ткани, этот топ оснащён технологией вентиляционных зон, обеспечивающих приятный охлаждающий эффект. Чтобы вы чувствовали себя свежо и показывали свою лучшую игру в теннис, технология Moisture Transfer Microfiber способствует быстрому высыханию ткани. Круглый вырез и брендовая шейная лента HEAD дополняют премиальный и спортивный вид топа.
Инженерный жаккард из 100% полиэстера с влагоотводящими свойствами
Круглый вырез
Брендовая шейная лента HEAD
Плечевой шов, смещённый вперёд
Принт Wishbone на передней панели
Сублимационный принт на передней панели
Технология Moisture Transfer Microfiber
Технология боди-маппинга для вентиляции зон тела</t>
  </si>
  <si>
    <t>814516-WH</t>
  </si>
  <si>
    <t>814735-WH</t>
  </si>
  <si>
    <t>814845-BK</t>
  </si>
  <si>
    <t>816036-ABWH</t>
  </si>
  <si>
    <t>Круглый вырез горловины
Фирменная лента HEAD на воротнике
Втачный рукав
Цветовые блоки
Сетчатая вставка на боковой панели и рукаве</t>
  </si>
  <si>
    <t>TOPSPIN T-Shirt Boys</t>
  </si>
  <si>
    <t>816046-NVXV</t>
  </si>
  <si>
    <t>Футболка  Head Junior Garçon Topsin  предназначена для вашего ребенка. Благодаря тому, что эта футболка сделана из полиэстера, она обеспечивает превосходную  свободу движения . Более того, эта ткань будет  оптимальным выбором  для того, чтобы сделать портьеру. Благодаря технологии Moisture Transfer Microfiber, она ускоряет процесс ухода за садом и требует долгих усилий.</t>
  </si>
  <si>
    <t>816046-ROXV</t>
  </si>
  <si>
    <t>синий/розовый/белый</t>
  </si>
  <si>
    <t>816046-TQXV</t>
  </si>
  <si>
    <t>816215-CN</t>
  </si>
  <si>
    <t>EASY COURT T-Shirt B</t>
  </si>
  <si>
    <t>816240-WH</t>
  </si>
  <si>
    <t>Футболка Club Tech с круглым вырезо. Сочетание функциональных материалов обеспечивает ощущение сухости кожи. Модель доступна в шести цветах и ​​идеально подходит для соревнований по выходным.</t>
  </si>
  <si>
    <t>816765-ROWH</t>
  </si>
  <si>
    <t>816765-WH</t>
  </si>
  <si>
    <t>CLUB ANN Shorts G</t>
  </si>
  <si>
    <t>816499-MA</t>
  </si>
  <si>
    <t>На поле, на пляже или в торговом центре - каковы бы ни были ваши планы, шорты Club Ann подойдут на все случаи жизни. Они имеют боковые карманы, эластичный пояс и шнурок для дополнительного комфорта.</t>
  </si>
  <si>
    <t>60% хлопок 40% полиэстер</t>
  </si>
  <si>
    <t>POWER Shorts Men</t>
  </si>
  <si>
    <t>811255-WH</t>
  </si>
  <si>
    <t>Современный, спортивный и премиальный стиль сочетается с передовым, суперэластичным комфортом в мужских шортах POWER SHORTS. Инновационная ткань с 4-сторонним растяжением позволяет вам свободно и легко двигаться по корту. Чтобы вы чувствовали себя свежими, шорты спроектированы с использованием высокоэффективной технологии Moisture Transfer Microfiber, которая обеспечивает охлаждающий эффект и помогает ткани быстро высыхать, в то время как закрытые сетчатые вставки по бокам обеспечивают улучшенную воздухопроницаемость.
Технологии:
- MXM (влагоотводящая микрофибра эффективно отводит лишнюю влагу от кожи)
Особенности: 
- 100% полиэстер, тянется в 4 направлениях, впитывает влагу
- эластичный пояс с регулировкой шнурком
- накладные карманы
- вставки из закрытой сетки по бокам для улучшения воздухопроницаемости
- технология переноса влаги с помощью микроволокна</t>
  </si>
  <si>
    <t>86% полиэстер, 14% эластан</t>
  </si>
  <si>
    <t>DYNAMIC Shorts Women</t>
  </si>
  <si>
    <t>814305-CE</t>
  </si>
  <si>
    <t>Спортивные и женственные шорты DYNAMIC SHORTS, изготовленные из современной ткани с 4-сторонним растяжением, предназначены для неограниченных движений на корте. Благодаря эластичному высокому поясу с регулировкой шнурком вы можете настроить посадку и комфорт. Чтобы вы чувствовали себя свежими, эти шорты оснащены высокоэффективной технологией Moisture Transfer Microfiber, которая обеспечивает охлаждающий эффект и помогает ткани быстро высыхать. Эти шорты с кроем и пошивом имеют небольшие разрезы и вставные карманы, а также украшены фирменной символикой HEAD и культовым логотипом Wishbone, которые дополняют спортивный образ.
Технологии:
- MXM (влагоотводящая микрофибра эффективно отводит лишнюю влагу от кожи)
Особенности: 
- высокий пояс
- эластичный пояс с регулировкой шнура
- карманы для рук
- маленькие разрезы
- дизайн cut &amp; sewn</t>
  </si>
  <si>
    <t>814305-NV</t>
  </si>
  <si>
    <t>814305-WH</t>
  </si>
  <si>
    <t>814305-ZI</t>
  </si>
  <si>
    <t>PLAY Shorts Men</t>
  </si>
  <si>
    <t>811125-WH</t>
  </si>
  <si>
    <t>Шорты Head Performance Play Navy
Покажите лучшую игру в HEAD Perf Play Athlete Shorts – идеальных шортах для комфорта и свободы движений на теннисном корте!
Ключевые преимущества:
Лёгкая дышащая ткань – обеспечивает максимальный комфорт и неограниченную свободу движений
Технология Moisture Transfer Microfiber – эффективное отведение влаги для ощущения сухости даже при интенсивных нагрузках
Удобная посадка – эластичный пояс со шнурком позволяет идеально подогнать по фигуре
Практичность – 2 боковых кармана для теннисных мячей
Универсальный дизайн – лаконичная однотонная модель, которая гармонично дополнит вашу теннисную экипировку
Почему это ваш идеальный выбор?
Оптимальная вентиляция и терморегуляция во время матча
Полная свобода движений для мощных ударов и резких рывков
Стильный минималистичный внешний вид для корта и повседневной носки
Дополните свой спортивный гардероб технологичными шортами, созданными для победных результатов!</t>
  </si>
  <si>
    <t>86% полиэстер, 14% эластан (спандекс)</t>
  </si>
  <si>
    <t>PLAY Shorts Women</t>
  </si>
  <si>
    <t>814874-NV</t>
  </si>
  <si>
    <t>Женские шорты PLAY, ключевой элемент коллекции Play для тенниса и падел, сочетают в себе спортивный, современный стиль с повышенным комфортом и производительностью. Эти шорты, изготовленные из современной смеси полиэстера и эластана, растягиваются в четырех направлениях и имеют боковые разрезы, позволят вам свободно и легко передвигаться по корту. Для индивидуального комфорта шорты имеют высокий эластичный пояс со шнурком, который позволяет быстро и легко вносить изменения в середине матча для идеальной посадки. Технология Moisture Transfer Microfiber поможет вам сохранить свежесть и комфорт на корте.
Технологии:
- MXM (влагоотводящая микрофибра эффективно отводит лишнюю влагу от кожи)
Особенности: 
- высокий эластичный пояс с регулировкой на шнурке
- карманы для рук
- боковые разрезы
- отвод влаги благодаря технологии микрофибры
- обеспечивающей охлаждающий и быстросохнущий эффект</t>
  </si>
  <si>
    <t>CLUB Bermudas M</t>
  </si>
  <si>
    <t>811389-RD</t>
  </si>
  <si>
    <t>Эти длинные шорты изготовлены из удобного и дышащего материала. Модель имеет карманы для рук и растягивающийся пояс, что гарантирует дополнительный комфорт. Club Bermudas доступны в семи цветах и ​​станут отличным дополнением к вашей экипировке на клубных соревнованиях.</t>
  </si>
  <si>
    <t>811389-WH</t>
  </si>
  <si>
    <t>CLUB Shorts Women</t>
  </si>
  <si>
    <t>814379-AN</t>
  </si>
  <si>
    <t>Эти шорты созданы для следующего турнира. Клубные шорты обеспечивают ожидаемый комфорт, а воздухопроницаемый материал позволяет чувствовать себя круто на корте. Шорты доступны в семи различных цветах, имеют карманы для рук и эластичный пояс, что гарантирует комфорт во время следующего турнира.</t>
  </si>
  <si>
    <t>CLUB Shorts W</t>
  </si>
  <si>
    <t>814379-RO</t>
  </si>
  <si>
    <t>816499-BK</t>
  </si>
  <si>
    <t>816499-DB</t>
  </si>
  <si>
    <t>CLUB Bermudas B</t>
  </si>
  <si>
    <t>816349-RD</t>
  </si>
  <si>
    <t>814379-BK</t>
  </si>
  <si>
    <t>CLUB ORIGINAL Bermudas Boys</t>
  </si>
  <si>
    <t>816795-BK</t>
  </si>
  <si>
    <t>Шорты для мальчика Head Club Original 7" — идеальный выбор для каждого юного игрока, ценящего комфорт и практичность. Изготовленные из мягкого хлопкового смесового материала, они обеспечивают приятное ощущение свежести на коже и отлично подходят для отдыха после самых напряжённых матчей.
Характеристики:
Резинка на талии с регулируемым внешним шнурком
Два боковых кармана без застёжки
Длина по внутреннему шву: 18 см
Логотип Head с принтом
Классический крой
Материал: 60 % хлопок, 40 % полиэстер</t>
  </si>
  <si>
    <t>CLUB Shorts M</t>
  </si>
  <si>
    <t>811379-RD</t>
  </si>
  <si>
    <t>EASY COURT Shorts M</t>
  </si>
  <si>
    <t>811480-WH</t>
  </si>
  <si>
    <t>Эти шорты созданы для следующего турнира. Клубные шорты обеспечивают ожидаемый комфорт, а воздухопроницаемый материал позволяет чувствовать себя круто на корте. Они имеют карманы для рук и эластичный пояс, что гарантирует комфорт во время следующего турнира.</t>
  </si>
  <si>
    <t>811379-RO</t>
  </si>
  <si>
    <t>811574-OA</t>
  </si>
  <si>
    <t>Мужские шорты Head Power Легкие и удобные шорты прямого, регулярного кроя. Гибкая прочная резинка на талии с внутренней кулиской обеспечивает очень хорошую посадку по фигуре, а боковые разрезы внизу штанин обеспечивают больший диапазон движений во время активности. Два открытых боковых кармана из сетки для лучшей вентиляции. Удлиненная задняя часть ног обеспечит дополнительную защиту. Шорты из дышащего материала по технологии MXM.</t>
  </si>
  <si>
    <t>86 % полиэстер, 14 % эластан</t>
  </si>
  <si>
    <t>PERFORMANCE Shorts Men</t>
  </si>
  <si>
    <t>811504-NV</t>
  </si>
  <si>
    <t>Мужские шорты PERFORMANCE, разработанные при участии профессиональных теннисистов, изготовлены из современной смеси полиэстера и эластана, растягивающихся в четырех направлениях. Сочетание этой ткани и специальной прорези спереди гарантирует, что вы сможете свободно двигаться при каждом ударе. Для индивидуального комфорта эластичный пояс оснащен кулиской, позволяющей отрегулировать оптимальную посадку, а контрастная полоска подчеркивает спортивный премиальный образ. 
Технологии:
- MXM (влагоотводящая микрофибра эффективно отводит лишнюю влагу от кожи)
Особенности: 
- разработанные при участии профессиональных теннисистов
- 86 % полиэстер, 14 % эластан, тянется в четырех направлениях
- эластичный пояс с контрастной полосой и регулируемым шнурком
- специальный дизайн разрезов спереди для идеальной свободы движений
- карманы со специальной прорезью для увеличения объема карманов
- отвод влаги благодаря технологии микрофибры
- обеспечивающей охлаждающий и быстросохнущий эффект
- внутренний шорты</t>
  </si>
  <si>
    <t>CLUB Shorts Men</t>
  </si>
  <si>
    <t>811379-BK</t>
  </si>
  <si>
    <t>816349-BK</t>
  </si>
  <si>
    <t>816349-RO</t>
  </si>
  <si>
    <t>811379-WH</t>
  </si>
  <si>
    <t>3XL</t>
  </si>
  <si>
    <t>814379-WH</t>
  </si>
  <si>
    <t>811389-BK</t>
  </si>
  <si>
    <t>814306-APLB</t>
  </si>
  <si>
    <t>Женские шорты DYNAMIC сочетают в себе женственный стиль и динамичную производительность. Изготовленные из ткани с растяжением в 4 направлениями с жаккардовыми вставками, они оснащены эластичным поясом и боковыми разрезами.
Наслаждайтесь свободой движений и свежим стилем с женскими шортами DYNAMIC. Являясь частью коллекции Vision, эти шорты изготовлены из современной тканой ткани с растяжением в 4 направлениях, что позволяет быстро реагировать на корте. Они оснащены уникальной передней вставкой из жаккардового двойного трикотажа для дополнительной фактуры и стиля. Высокий эластичный пояс со внутренним шнурком-утяжкой обеспечивает индивидуальную посадку, а боковые разрезы улучшают мобильность. Технология HEAD Moisture Transfer Microfiber (MXM) сохраняет вас прохладной и комфортной.</t>
  </si>
  <si>
    <t>814306-WH</t>
  </si>
  <si>
    <t>811125-NV</t>
  </si>
  <si>
    <t>811255-ABWH</t>
  </si>
  <si>
    <t>Мужские шорты POWER сочетают в себе современный, спортивный и высококачественный стиль с передовым, чрезвычайно эластичным комфортом. Инновационная ткань с растяжением в 4 направлениях обеспечивает полную свободу движений на корте. Чтобы вы всегда чувствовали себя свежими, шорты оснащены мощной системой отвода влаги на основе микроволоконной технологии, которая создаёт охлаждающий эффект и обеспечивает быстрое высыхание ткани. Закрытые сетчатые вставки по бокам улучшают воздухопроницаемость. Эластичный пояс со шнурком-утяжкой позволяет идеально подогнать изделие по фигуре, а прорезные карманы обеспечивают безопасное место для теннисных мячей. Шорты POWER украшены брендингом HEAD, подчёркивающим спортивный образ.
Ткань из 100% полиэстера с растяжением в 4 направлениях и влагоотводящими свойствами
Эластичный пояс со шнурком-утяжкой
Прорезные карманы
Закрытые сетчатые вставки по бокам для улучшенной воздухопроницаемости
Отвод влаги благодаря микроволоконной технологии</t>
  </si>
  <si>
    <t>811255-PUWH</t>
  </si>
  <si>
    <t>CLUB Bermudas Men</t>
  </si>
  <si>
    <t>811389-NV</t>
  </si>
  <si>
    <t>811389-RO</t>
  </si>
  <si>
    <t>CLUB ANN Shorts W</t>
  </si>
  <si>
    <t>814439-DB</t>
  </si>
  <si>
    <t>На поле, на пляже или в торговом центре - каковы бы ни были ваши планы, шорты Club Ann подойдут на все случаи жизни. Они имеют боковые карманы, эластичный регулируемый пояс и шнурок для дополнительного комфорта.</t>
  </si>
  <si>
    <t>VISION Shorts Junior</t>
  </si>
  <si>
    <t>816086-AB</t>
  </si>
  <si>
    <t>Шорты VISION сочетают в себе высококачественный материал с растяжением в 4 направлениями и передовую технологию охлаждения для неограниченной свободы движений и комфорта на корте.
Специально разработанные для амбициозных юниоров, шорты VISION дарят свободу преследовать каждый мяч. Изготовленные из высококачественного тканого полиэстера с растяжением в 4 направлениями, они идеально облегают тело во время спринтов и скольжений. Технология HEAD Moisture Transfer Microfiber (MXM) обеспечивает быстрое высыхание и помогает юным игрокам оставаться свежими. Эластичный пояс со шнурком-утяжкой обеспечивает надёжную индивидуальную посадку, а прорезные карманы предлагают практичные варианты для хранения мелочей.</t>
  </si>
  <si>
    <t>816349-WH</t>
  </si>
  <si>
    <t>DYNAMIC Skort Women</t>
  </si>
  <si>
    <t>814285-CE</t>
  </si>
  <si>
    <t>Юбка для тенниса Head Dynamic Pro идеально подходит для игроков, которые ищут оптимальный баланс между свободой движений и ощущением свежести. Лёгкая ткань юбки обеспечивает постоянную вентиляцию, а эластичность встроенных шорт позволяет легко совершать быстрые рывки.
Характеристики:
Резинка на талии с регулируемым внутренним шнурком
Разрезы спереди
Встроенные шорты
Длина внутреннего шва шорт: 12 см
Логотип Head с принтом
Классический крой
Материал: 100 % полиэстер
Технология MXM (Moisture Transfer Microfibre)
Технология отводит пот на поверхность ткани, где он быстро испаряется, обеспечивая мгновенный охлаждающий эффект и поддерживая сухость кожи даже в самых напряжённых матчах.</t>
  </si>
  <si>
    <t>основная ткань: 100% полиэстер, эластичный в четырех направлениях и впитывающий влагу¶- 2-я ткань: 85% полиэстер 15% эластан (спандекс)</t>
  </si>
  <si>
    <t>814285-WH</t>
  </si>
  <si>
    <t>PLAY Tech Dress Women</t>
  </si>
  <si>
    <t>814145-SW</t>
  </si>
  <si>
    <t>Платье Head Play Navy
Сочетание высоких технологий и элегантного дизайна в этом платье для тенниса обеспечит вам комфорт и стиль на корте.
Модель выполнена в современном темно-синем цвете, подчеркивающем женственность и спортивную динамику.
Ключевые особенности:
Дышащая ткань с технологией Moisture Transfer Microfiber – эффективно отводит влагу, сохраняя ощущение сухости
Сетчатые вставки на плечах и спине – улучшенная вентиляция в зонах повышенного потоотделения
Удобный крой с "пловцовской" спинкой – обеспечивает идеальную поддержку во время активной игры
Шортики в комплекте – для дополнительного комфорта и свободы движений
Современный темно-синий цвет – элегантное решение для теннисного образа
Идеальный выбор для требовательных теннисисток, ценящих сочетание передовых технологий и стильного дизайна.
Платье обеспечит комфорт на протяжении всей игры, позволяя полностью сосредоточиться на результате.</t>
  </si>
  <si>
    <t>CLUB 25 Dress Women</t>
  </si>
  <si>
    <t>814745-WH</t>
  </si>
  <si>
    <t>Теннисное платье Head Club 25 идеально подходит для игроков, которые ценят комфорт и свободу движений во время самых напряжённых матчей. Изготовленное из эластичной и дышащей технической ткани, оно эффективно отводит пот от кожи, обеспечивая ощущение свежести и сухости.
Характеристики:
Круглый вырез с внутренней окантовкой
Широкие проймы
Спинка-бандо (рэйсербэк) для большей свободы движений
Сетчатые вставки по бокам
Встроенные шорты
Длина внутреннего шва шорт: 12 см
Логотип Head с принтом
Классический крой
Материал: 85 % полиэстер, 15 %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</si>
  <si>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основная ткань: 85% полиэстер 15% эластан(спандекс) с впитыванием влаги¶- 2-я ткань: 100% полиэстер</t>
  </si>
  <si>
    <t>CLUB Basic Skort Women</t>
  </si>
  <si>
    <t>814399-NV</t>
  </si>
  <si>
    <t>Если вам нужен комфорт шорт и стиль юбки, это то, что вы искали: Club Basic Skort доступен в шести цветах и ​​имеет высокий пояс, который обеспечивает идеальное сочетание комфорта и стиля. Специальная смесь материалов обеспечивает ощущение сухости, боковые разрезы гарантируют свободу движений, а встроенные внутренние шорты делают модель удобной.</t>
  </si>
  <si>
    <t>CLUB Basic Skort W</t>
  </si>
  <si>
    <t>814399-WH</t>
  </si>
  <si>
    <t>EASY COURT Skort W</t>
  </si>
  <si>
    <t>814540-WH</t>
  </si>
  <si>
    <t>Если вам нужен комфорт шорт и стиль юбки, вы попали в нужное место: Easy Court доступен в шести цветах и ​​имеет высокий пояс, который предлагает идеальное сочетание комфорта и стиля. Специальная смесь материалов обеспечивает ощущение сухой кожи, боковые разрезы гарантируют свободу движений, а встроенные внутренние штаны делают модель удобной.</t>
  </si>
  <si>
    <t>CLUB Basic Skort Long W</t>
  </si>
  <si>
    <t>814539-WH</t>
  </si>
  <si>
    <t>Если вам нужна длина, то вам подойдет Club Basic Skort Long. Модель примерно на семь сантиметров длиннее, чем наша Club Basic Skort, и предлагает идеальное сочетание комфорта и стиля в трех разных цветах. Специальная смесь материалов обеспечивает ощущение сухости и комфорта. Боковые разрезы гарантируют свободу движений, высокий пояс и внутренние шорты обеспечивают дополнительный комфорт.</t>
  </si>
  <si>
    <t>MOVE Skort Women</t>
  </si>
  <si>
    <t>814295-WH</t>
  </si>
  <si>
    <t>Женская модель MOVE SKORT сочетает в себе спортивный, женственный и высококачественный стиль с чрезвычайной эластичностью, комфортом и передовой технологией охлаждения. Эта юбка-шорты изготовлена ​​из современной смеси полиэстера и эластана и тянется вместе с вашими движениями. Когда матч становится жарче, мощный отвод влаги, обеспечиваемый технологией микрофибры, обеспечивает охлаждающий эффект и позволяет ткани быстро высыхать, а высокий пояс с эластичной внутренней частью обеспечивает дополнительный комфорт.
Технологии:
- MXM (влагоотводящая микрофибра эффективно отводит лишнюю влагу от кожи)
Особенности: 
- 85% полиэстер 15% эластан одинарный трикотаж с влагоотводом
- высокий пояс с резинкой внутри
- передняя и задняя кокетка
- встроенные внутренние шорты
- передача влаги с помощью микроволоконной технологии</t>
  </si>
  <si>
    <t>85% полиэстер, 15% эластан (спандекс)</t>
  </si>
  <si>
    <t>SPIRIT Dress Women</t>
  </si>
  <si>
    <t>814276-LBWH</t>
  </si>
  <si>
    <t>Специальная смесь материалов обеспечивает ощущение сухой кожи, боковые разрезы гарантируют свободу движений, а встроенные внутренние штаны делают модель удобной.</t>
  </si>
  <si>
    <t>814286-APLB</t>
  </si>
  <si>
    <t>Свежая интерпретация с асимметричным дизайном колор-блок предлагает женский скорт DYNAMIC ткань с растяжением в 4 направлениях. Высокая посадка и интегрированные шорты для комфорта.
Добавьте яркие акценты в свою игру с женским скортом DYNAMIC. Свежий дизайн с асимметричным колор-блоком делает этот скорт жемчужиной коллекции Vision. Он изготовлен из высококачественной тканой ткани с растяжением в 4 направлениях, которая обеспечивает свободу движений при выпадах и поворотах. Высокий эластичный пояс обеспечивает надёжную и удобную посадку, а интегрированные внутренние шорты гарантируют необходимую защиту. Технология HEAD Moisture Transfer Microfiber (MXM) помогает ткани быстро высыхать и сохраняет вас прохладной.</t>
  </si>
  <si>
    <t>желтый/голубой</t>
  </si>
  <si>
    <t>основная ткань: 100% полиэстер, эластичный в четырех направлениях и впитывающий влагу - 2-я ткань: 85% полиэстер 15% эластан (спандекс)</t>
  </si>
  <si>
    <t>814286-LBWH</t>
  </si>
  <si>
    <t>голубой/белый</t>
  </si>
  <si>
    <t>814295-AP</t>
  </si>
  <si>
    <t>Спортивный, женственный и премиальный стиль сочетается с суперэластичным комфортом и технологией охлаждения в женском скорте MOVE. Сшитый из современной смеси полиэстера и эластана, этот скорт тянется вместе с вами во время движений. Когда матч накаляется, высокоэффективная технология Moisture Transfer Microfiber обеспечивает охлаждающий эффект и помогает ткани быстро высыхать, а высокая посадка с эластичной вставкой внутри дарит дополнительный комфорт. С кокеткой спереди и сзади, а также с интегрированными внутренними шортами, этот скорт дополнен брендингом HEAD и культовым логотипом Wishbone, которые подчёркивают его спортивный премиальный вид.
Однослойный джерси из 85% полиэстера и 15% эластана с влагоотводящими свойствами
Высокая посадка с эластичной вставкой внутри
Кокетка спереди и сзади
Интегрированные внутренние шорты
Технология Moisture Transfer Microfiber</t>
  </si>
  <si>
    <t>814295-LB</t>
  </si>
  <si>
    <t>PRO Skort Women</t>
  </si>
  <si>
    <t>814526-AP</t>
  </si>
  <si>
    <t>Женский скорт PRO обеспечивает элитную мобильность благодаря ткани с растяжением в 4 направлениями и боковым разрезам. Востребован профессиональными спортсменками HEAD, оснащён интегрированными внутренними шортами и удобной высокой посадкой.
Двигайтесь свободно по корту в женском скорте PRO. Разработанный для игры на высочайшем уровне и используемый топовыми спортсменками HEAD, этот скорт изготовлен из высокопроизводительной смеси полиэстера и эластана с растяжением в 4 направлениями и боковым разрезом на передней панели, который расширяет диапазон ваших движений. Высокий эластичный пояс обеспечивает поддерживающую, комфортную посадку, а интегрированные внутренние шорты гарантируют защиту и уверенность. Благодаря технологии HEAD Moisture Transfer Microfiber (MXM) ткань сохраняет вас прохладной и сухой.</t>
  </si>
  <si>
    <t>XXS</t>
  </si>
  <si>
    <t>40-42</t>
  </si>
  <si>
    <t>PERFORMANCE Skort Women</t>
  </si>
  <si>
    <t>814035-NV</t>
  </si>
  <si>
    <t>Женская модель PERFORMANCE SKORT сочетает в себе спортивный женственный стиль с чрезвычайной эластичностью, комфортом и передовой технологией охлаждения. Эта юбка-шорты, входящая в коллекцию одежды для спортсменов команды HEAD, изготовлена ​​из современной, чрезвычайно эластичной смеси полиэстера и эластана, обеспечивающей полную свободу движений. Юбка-шорты с высоким эластичным поясом обеспечивает комфорт за счет эффективного отвода влаги благодаря технологии микрофибры.
Технологии:
- MXM (влагоотводящая микрофибра эффективно отводит лишнюю влагу от кожи)
Особенности: 
- 75% полиэстер 25% эластан интерлок с влагоотводом
- высокий пояс с резинкой внутри
- складки спереди и сзади
- встроенные внутренние шорты
- передача влаги с помощью микроволоконной технологии
- обеспечивающей охлаждающий и быстросохнущий эффект</t>
  </si>
  <si>
    <t>814526-WH</t>
  </si>
  <si>
    <t>814540-MA</t>
  </si>
  <si>
    <t>814745-NV</t>
  </si>
  <si>
    <t>основная ткань: 85% полиэстер, 15% эластан(спандекс) с впитыванием влаги¶- 2-я ткань: 100% полиэстер</t>
  </si>
  <si>
    <t>814745-RDWH</t>
  </si>
  <si>
    <t>красный/белый</t>
  </si>
  <si>
    <t>Anta</t>
  </si>
  <si>
    <t>Boot</t>
  </si>
  <si>
    <t>S2538801-1</t>
  </si>
  <si>
    <t>Ботинки Anta из искуственной кожи и прочного непромокаемого текстиля, подкладка из искусственного меха, байковая стелька. Промежуточная подошва из ЭВА амортизирует ударную нагрузку. Анатомическое строение колодки обеспечивает комфорт во время ходьбы. Резиновая подошва предотвращает скольжение во время гололеда.</t>
  </si>
  <si>
    <t>Иск.кожа, текстиль; иск.мех; ЭВА</t>
  </si>
  <si>
    <t>S2538801-3</t>
  </si>
  <si>
    <t>Обувь повседневная</t>
  </si>
  <si>
    <t>82528825-7</t>
  </si>
  <si>
    <t>Кроссовки Anta  из искусственной кожи и текстиля. Внутренняя отделка из сетчатого текстиля. Шнуровка на подъеме, "дышащий" язычок, гибкая подошва из EVA с желобками.</t>
  </si>
  <si>
    <t>Текстиль, резина</t>
  </si>
  <si>
    <t>Джемпер трикотажный Серый</t>
  </si>
  <si>
    <t>W35819709-1</t>
  </si>
  <si>
    <t>Джемпер трикотажный</t>
  </si>
  <si>
    <t>хлопок (100%)</t>
  </si>
  <si>
    <t>120</t>
  </si>
  <si>
    <t>101</t>
  </si>
  <si>
    <t>Craft</t>
  </si>
  <si>
    <t>ADV ACTIVE INTENSITY PANTS M</t>
  </si>
  <si>
    <t>1907936-999995</t>
  </si>
  <si>
    <t>Термоштаны для интенсивных тренировок в холодных и умеренно холодных условиях. Модель справляется с температурой в пределах 10...- 5 градусов.
Нижняя часть удлиненная, штаны не выскальзывают из носков. Плоские швы не натирают кожу. Специальная пропитка ткани исключает появление неприятного запаха.</t>
  </si>
  <si>
    <t>55% полиэстер; 45% полиамид</t>
  </si>
  <si>
    <t>PRO NORDIC RACE JACKET 2 M</t>
  </si>
  <si>
    <t>1915158-396345</t>
  </si>
  <si>
    <t>PRO Nordic Race Jacket 2 — профессиональная лыжная куртка, созданная для максимальной отдачи на высшем уровне спортивных достижений в классе беговых лыж.
Эта инновационная куртка для беговых лыж изготовлена из эластичной и высокофункциональной трёхслойной ткани Ventair®, обеспечивающей превосходную защиту от непогоды и эффективный контроль температуры тела. Кроме того, куртка оснащена флисовой подкладкой на спине для улучшенного отвода влаги, а также проклеенными швами спереди и по низу рукавов. Специальная застёжка спереди позволяет расстегнуть молнию для дополнительной вентиляции.
Трёхслойная эластичная ветро- и водонепроницаемая ткань Ventair® (водонепроницаемость 15 000 / паропроницаемость 10 000)
Флисовая ткань на спине для эффективного отвода влаги
Мягкая рибстоп-ткань на воротнике для дополнительного комфорта
Лазерные обработанные и проклеенные швы спереди
Проклеенные низ и окончания рукавов для плотной посадки
Кнопка для вентиляции спереди
Обратная молния спереди
Два передних кармана на молнии для безопасного хранения мелких предметов
Облегающий аэродинамический крой</t>
  </si>
  <si>
    <t>ADV SUBZ JACKET 3 M</t>
  </si>
  <si>
    <t>1913615-629000</t>
  </si>
  <si>
    <t>Технологичная куртка с легкой подкладкой для бега и тренировок на свежем воздухе при температуре от 0 до –10°С. Модель сочетает в себе теплоизоляцию, защиту от ветра и оптимальную воздухопроницаемость, обеспечивая комфорт при интенсивных нагрузках.
Передняя панель выполнена из ветрозащитной и водоотталкивающей ткани Ventair® для надежной защиты от холода и ветра. Рукава и спина сшиты из мягкого эластичного материала, обеспечивающего свободу движений и эффективный отвод влаги. В боковых карманах с потайной молнией можно разместить необходимые на пробежке мелочи. Светоотражающие элементы повышают видимость в условиях слабого освещения.</t>
  </si>
  <si>
    <t>бирюзовый</t>
  </si>
  <si>
    <t>1913615-999000</t>
  </si>
  <si>
    <t>ADV SUBZ JACKET 3 W</t>
  </si>
  <si>
    <t>1913621-726000</t>
  </si>
  <si>
    <t>CRAFT Warm</t>
  </si>
  <si>
    <t>1905544-999900</t>
  </si>
  <si>
    <t>Комплект носков средней высоты</t>
  </si>
  <si>
    <t>Материал с влаговыводящими свойствами
Эргономичное строение
Эластичная защита для своды стопы
В данной модели используется шерстяная нить. Благоприятный температурный диапазон от -2 до -25ºС.​</t>
  </si>
  <si>
    <t>40% полиамид; 29% шерсть; 29% полиэстер; 2% эластан</t>
  </si>
  <si>
    <t>34/36</t>
  </si>
  <si>
    <t>34-36</t>
  </si>
  <si>
    <t>CORE ENDURE SOCK</t>
  </si>
  <si>
    <t>1910693-999900</t>
  </si>
  <si>
    <t>**Core Endurance Bike Sock** — функциональный велосипедный носок, изготовленный из переработанного полиамида, с вставками из сетчатой ткани для эффективного охлаждения и контроля температуры во время тренировок в теплую погоду. Носок имеет предварительно сформованные ребра арки стопы, широкие упругие манжеты и усиленные мысок и пятка.
- Переработанный полиамид для снижения воздействия на окружающую среду  
- Вентиляционные сетчатые вставки  
- Усиленные мысок и пятка  
- Эргономичный крой</t>
  </si>
  <si>
    <t>63% полиамид 35% полиамид-Recycled 2% эластан</t>
  </si>
  <si>
    <t>CORE ESSENCE NECK TUBE</t>
  </si>
  <si>
    <t>1904092-444000</t>
  </si>
  <si>
    <t>Снуд</t>
  </si>
  <si>
    <t>Универсальный головной убор, который можно использовать в виде шарфа либо шапки. Незаменимый аксессуар в гардеробе, если вы бегаете в холодное время года.</t>
  </si>
  <si>
    <t>ONESIZE</t>
  </si>
  <si>
    <t>CORE DRY BASELAYER SET W</t>
  </si>
  <si>
    <t>1909706-999000</t>
  </si>
  <si>
    <t>Термобелье комплект</t>
  </si>
  <si>
    <t>Термобелье</t>
  </si>
  <si>
    <t>Комплект термобелья Core Dry включает в себя функциональную кофту с длинными рукавами и кальсоны, которые отлично подходят для занятий зимними видами спорта при температуре -5 ºC до +5 ºC.
Одежда выполнена из мягкой трикотажной ткани с особым плетением в виде вертикальных каналов, которая быстро отводит влагу и поддерживает оптимальную терморегуляцию во время интенсивных нагрузок.
Эргономичный крой повторяет контуры тела и не сковывает движений. Плоские швы предотвращают возможность натирания.</t>
  </si>
  <si>
    <t>ADV WARM INTENSITY LS W</t>
  </si>
  <si>
    <t>1912644-444905</t>
  </si>
  <si>
    <t>Лонгслив</t>
  </si>
  <si>
    <t>ADV Warm Intensity LS — это мягкая и функциональная базовая футболка, разработанная для интенсивных тренировок в холодных условиях.
Эта базовая футболка с длинными рукавами изготовлена из легкой переработанной ткани, которая в сочетании с зональной конструкцией обеспечивает превосходную терморегуляцию. Кроме того, изделие выполнено с минимальным количеством швов для создания гладкого, не натирающего и крайне комфортного ощущения. Отличный выбор для занятий альпийскими лыжами и подобными видами активности.
• Легкая, эластичная термопряжа из переработанного полиэстера
• Дополнительная изоляция в местах, где требуется больше тепла
• Минимальное количество швов для оптимального комфорта
• Высокая степень растяжимости для свободы движений
• 3D-вязаная эргономичная форма
• Плотная посадка
• Температурный режим: от -15 ºC до -5 ºC</t>
  </si>
  <si>
    <t>65% полиэстер; 30% полиамид; 5% эластан</t>
  </si>
  <si>
    <t>ADV SUBZ LS 2 W</t>
  </si>
  <si>
    <t>1913625-726000</t>
  </si>
  <si>
    <t>Кофта Craft ADV SubZ LS 2 - функциональная базовая модель для пробежек, прогулок и других активностей в холодное время года. В зависимости от погоды её можно носить без верхнего слоя, надевать под куртку или жилетку. Инновационные материалы и продуманный дизайн обеспечивают комфорт и тепло при температурах до –15°С.
Кофта изготовлена из переработанного полиэстера, утепленного флисовым слоем с внутренней стороны. Сетчатые вставки подмышками и в области шеи способствуют отводу излишней влаги и улучшенной вентиляции. Молния до середины груди с внутренней планкой защищает шею от натирания, а высокий воротник сохраняет дополнительное тепло. Манжеты с отверстиями для большого пальца защищают кисти от холода. На левом рукаве размещен карман для хранения ключей или карточек.</t>
  </si>
  <si>
    <t>88% полиэстер12% эластан</t>
  </si>
  <si>
    <t>ADV SUBZ LS 2 M</t>
  </si>
  <si>
    <t>1913616-999000</t>
  </si>
  <si>
    <t>ADV SUBZ SHORTS 3 M</t>
  </si>
  <si>
    <t>1913723-999000</t>
  </si>
  <si>
    <t>Идеальный элемент одежды для дополнительного утепления, который рекомендуется надевать поверх тренировочных тайтс в холодную погоду. Шорты сочетают технологичные материалы и функциональный дизайн, поэтому обеспечивают максимальный комфорт и защиту от холода на беговых и лыжных тренировках.
Передняя панель шорт выполнена из плотной непродуваемой ткани Ventair Wind, которая обеспечивает комфорт даже при сильном ветре. Задняя часть из эластичной ткани с утеплителем с внутренней стороны эффективно удерживает тепло и не стесняет движений. Пояс с регулирующим шнурком позволяет настроить посадку под индивидуальные предпочтения. Справа размещен небольшой карман на молнии для хранения ключей или других мелочей. Светоотражающие элементы повышают видимость и безопасность в условиях низкой освещенности.</t>
  </si>
  <si>
    <t>CEP</t>
  </si>
  <si>
    <t>CEP Tights 3/4</t>
  </si>
  <si>
    <t>C61STM-G</t>
  </si>
  <si>
    <t>Базовые тайтсы 3/4 CEP для катания на лыжах</t>
  </si>
  <si>
    <t>Зимние виды спорта</t>
  </si>
  <si>
    <t>`-Легкий вес, анатомическая посадка с плотным прилеганием к телу, бесшовный дизайн, использование премиальных высококачественных материалов, таких как шерсть мерино и кашемир.                                 -Идеальный водо и воздухо обмен, обеспечивающий ощущение сухости и комфорта                      -Высокая посадка в области талии создает стабильную посадку при активных движениях, не сползают</t>
  </si>
  <si>
    <t>44% полиэстер, 29% лиоцел, 8% полиамид, 8% шерсть мериноса, 6% эластан, 5% кашемир</t>
  </si>
  <si>
    <t>C61STW-DO</t>
  </si>
  <si>
    <t>PRO RECOVERY COMPRESSION TIGHTS, 4.0, OPEN TOE - MEN</t>
  </si>
  <si>
    <t>CR606M-5</t>
  </si>
  <si>
    <t>Восстановление</t>
  </si>
  <si>
    <t>Компрессионные тайтсы Pro Recovery Compression Tights 4.0 от CEP — это незаменимый выбор для амбициозных бегунов и любителей фитнеса. Эти тайтсы без носка специально разработаны для мужчин и предлагают впечатляющее сочетание технологий и комфорта для максимального восстановления после интенсивных тренировок. Благодаря инновационной технологии 3D Compression, разработанной в Германии, они обеспечивают компрессию на 360° с точно дозированными зонами поддержки и активации. Эта технология улучшает кровообращение, снижает вибрацию мышц и ускоряет восстановление, чтобы вы могли быстрее вернуться к новым спортивным достижениям.
Влагоотводящий материал обеспечивает быстрое отведение пота от тела, что способствует быстрому испарению влаги и поддерживает комфортную посадку. Эластичный пояс и эргономичный крой гарантируют надёжную фиксацию и высокий уровень комфорта, а специальная вязаная конструкция в области подколенной ямки обеспечивает оптимальную свободу движений. Эти тайтсы не только функциональны, но и стильны, а их дизайн учитывает анатомию тела, что делает их идеальным дополнением к любому гардеробу для бега и тренировок.
Независимо от того, бегаете вы или тренируетесь в зале, компрессионные тайтсы Pro Recovery Compression Tights поддерживают вашу продуктивность и помогают достигать спортивных целей. Это идеальный выбор для тех, кто ценит качество, функциональность и комфорт и стремится сократить время восстановления.</t>
  </si>
  <si>
    <t>81% полиамид, 19% эластан</t>
  </si>
  <si>
    <t>II</t>
  </si>
  <si>
    <t>III</t>
  </si>
  <si>
    <t>IV</t>
  </si>
  <si>
    <t>PRO RECOVERY COMPRESSION TIGHTS, 4.0, OPEN TOE - WOMEN</t>
  </si>
  <si>
    <t>CR606W-5</t>
  </si>
  <si>
    <t>I</t>
  </si>
  <si>
    <t>CEP Compression Tights</t>
  </si>
  <si>
    <t>CR60W-5</t>
  </si>
  <si>
    <t>Компрессионные тайтсы</t>
  </si>
  <si>
    <t>Специальный спортивный градиент давления в тайтсах CEP, созданный для восстановления, улучшает циркуляцию крови, тонус мышц, уменьшает болевой синдром и снимает отеки. Это позволяет снизить риск травм и повреждений, ускоряет восстановление и регенерацию тканей. Легкая и прочная ткань идеально прилегает к телу, стабилизируя нижнюю часть туловища и улучшая координацию.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Использование обеспечивает:Быструю регенерацию мышечных тканей;Восстановление сил после нагрузок;Эффективный вывод токсинов и лактата;Уменьшение отёков и болей в ногах.</t>
  </si>
  <si>
    <t>75% полиамид, 25% эластан</t>
  </si>
  <si>
    <t>Повязка на голову флисовая</t>
  </si>
  <si>
    <t>CB948U-5</t>
  </si>
  <si>
    <t>Когда вы тренируетесь на открытом воздухе при низких температурах особенно важно, чтобы голова и уши были в тепле. Флисовая повязка на голову для холодной погоды от CEP - отличная альтернатива кепке и шапке, в ней можно бегать, не беспокоясь о морозе и ветре.
Повязка также отлично подойдет для прогулок по городу, активных видов спорта на свежем воздухе. Она прекрасно защитит ваши уши и лоб от холодного ветра, позволяя вам наслаждаться каждым моментом на улице, не испортив прическу.
Модель универсальна, подойдет как мужчинам, так и женщинам.
Состав материала: 100% полиэстер
Свойства и преимущества:
мягкая, эластичная повязка не давит на голову;
не скользит и отлично фиксируется на голове;
современный материал сохраняет тепло и эффективно отводит влагу;
изделие хорошо растягивается в двух направлениях, при растяжении моментально восстанавливает прежнюю форму;
материал не дает усадку, не выгорает на солнце и надолго сохраняет внешний вид;
на поверхности изделия не образуются катышки.</t>
  </si>
  <si>
    <t>U</t>
  </si>
  <si>
    <t>PRO RUN ULTRALIGHT CAP</t>
  </si>
  <si>
    <t>CB9UPU-2</t>
  </si>
  <si>
    <t>Самая легкая и ультратонкая кепка в линейке CEP. Этот головной убор отличают утонченный дизайн и минималистичность. Технологичные материалы и перфорация позволят вам забыть про дискомфорт даже на интенсивных тренировках в жаркую и солнечную погоду.</t>
  </si>
  <si>
    <t>37-43</t>
  </si>
  <si>
    <t>CB9UPU-G</t>
  </si>
  <si>
    <t>CEP Cap</t>
  </si>
  <si>
    <t>CB913U-0</t>
  </si>
  <si>
    <t>Кепка CEP для занятий спортом, универсальная</t>
  </si>
  <si>
    <t>Кепка CEP - прекрасное решение для активного отдыха или тренировок на открытом воздухе. Она не только защищает от ультрафиолетовых лучей, но и удобно складывается, занимая мало места в сумке. Технологичный воздухопроницаемый материал кепки создает оптимальную терморегуляцию - в ней не будет жарко в любую погоду даже при самой интенсивной нагрузке. Для обеспечения безопасности в темное время суток на кепке присутствуют светоотражающие элементы. Разнообразие расцветок - приятное дополнение к другим преимуществам.</t>
  </si>
  <si>
    <t>CEP Visor</t>
  </si>
  <si>
    <t>CB923U-0</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</si>
  <si>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бегового визора впитывает влагу на поверхность, где она испаряется. Это обеспечивает удобную посадку даже в жаркие дни. А благодаря дизайну, специально разработанному для занятий спортом, козырек остается на своем месте и не соскальзывает даже во время интенсивных тренировок.
Легкий и практичный — козырек для вашего спорта. 
Визор для бега складывается для удобства хранения . Он помещается даже в небольшие карманы благодаря своей легкой конструкции и небольшому размеру , так что вы можете брать беговой козырек с собой, куда бы вы ни отправились, и быть готовым к неожиданному вспышке солнца.</t>
  </si>
  <si>
    <t>CB923U-5</t>
  </si>
  <si>
    <t>Визор CEP для занятий спортом, универсальный</t>
  </si>
  <si>
    <t>CB913U-5</t>
  </si>
  <si>
    <t>CORE RUN FOLDABLE CAP - UNISEX</t>
  </si>
  <si>
    <t>CB913U-2</t>
  </si>
  <si>
    <t>КЕПКИ ДЛЯ БЕГА С ЗАЩИТОЙ ОТ УЛЬТРАФИОЛЕТА — ИДЕАЛЬНО ДЛЯ ЛЕТА. 
Кепки для бега дополняют ваш спортивный костюм в качестве головного убора с интеллектуальными функциями. Они предназначены для складывания для удобства хранения. Вам понравятся их тепло- и влагорегулирующие свойства, а также защита от ультрафиолета, удобная посадка и продуманные детали. Светоотражающая надпись добавляет стиль и повышает видимость для безопасности.
Эта бейсболка для бега и спорта на выносливость идеально подходят как для тренировок, так и для соревнований благодаря своей динамичной посадке и исключительному комфорту . Брендинг завершает их повседневный образ и отражает свет для большей безопасности в темноте.
Встроенная защита от ультрафиолета. 
Кепка для бега защищает ваше лицо от чрезмерного воздействия УФ-лучей благодаря закругленным краям и высококачественной ткани с коэффициентом защиты от УФ-излучения 50+ .
Функциональный текстиль, регулирующий тепло и влагу.
Вы выкладываетесь на полную во время тренировки — дышащая спорт</t>
  </si>
  <si>
    <t>CB913U-NC</t>
  </si>
  <si>
    <t>CORE RUN FOLDABLE VISOR - UNISEX</t>
  </si>
  <si>
    <t>CB923U-2</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</si>
  <si>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t>
  </si>
  <si>
    <t>CB923U-NC</t>
  </si>
  <si>
    <t>CEP TOURING</t>
  </si>
  <si>
    <t>C225M-20</t>
  </si>
  <si>
    <t>Компрессионные гольфы CEP для катания на лыжах</t>
  </si>
  <si>
    <t>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 
Особенности:
Материал с добавлением шерсти мериноса обладает оптимальными теплоизоляционными свойствами, не впитывает запахи, эффективно отводит влагу.
Носки удобно прилегают к ноге, не мнутся в лыжном ботинке и тем самым предотвращают образование пузырей.
Сочетание подавляющей запах шерсти мериноса и синтетических функциональных волокон препятствует возникновению неприятного запаха.
Благодаря оптимально расположенным зонам набивки модель обеспечивает дополнительный комфорт в длительных поездках.
OEKO-TEX Standard 100 - это система сертификации текстильных изделий, которая гарантирует, что продукция безвредна для здоровья и не превышает предельных значений для вредных веществ.</t>
  </si>
  <si>
    <t>76% полиамид, 13% шерсть, 11% эластан</t>
  </si>
  <si>
    <t>39-41</t>
  </si>
  <si>
    <t>V</t>
  </si>
  <si>
    <t>45-48</t>
  </si>
  <si>
    <t>CEP Knee Socks</t>
  </si>
  <si>
    <t>C2UUW-5</t>
  </si>
  <si>
    <t>Функциональные ультратонкие укороченные гольфы CEP, женские</t>
  </si>
  <si>
    <t>Женские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
Использование обеспечивает:
Поддержку вен и мышц в тонусе;
Низкий риск спазмов и повреждений;
Улучшение координации движений;
Комфортный бег.</t>
  </si>
  <si>
    <t>85% полиамид, 15% эластан</t>
  </si>
  <si>
    <t>35-37</t>
  </si>
  <si>
    <t>41-43</t>
  </si>
  <si>
    <t>C0UUW-S3</t>
  </si>
  <si>
    <t>Компрессионные носки</t>
  </si>
  <si>
    <t>СВЕРХЛЕГКИЕ КОМПРЕССИОННЫЕ НОСКИ NO SHOW ДЛЯ ЖЕНЩИН: ЛУЧШАЯ АМОРТИЗАЦИЯ ДЛЯ ХОРОШЕГО САМОЧУВСТВИЯ. 
Сверхтонкие, легкие и прочные — эти летние носки, сделанные в Германии, позволяют спортсменам, занимающимся выносливостью, добиваться максимальной производительности . Носите женские носки No Show Socks с облегающей спортивной обувью.
Дышащая смесь тканей для превосходного комфорта при ношении в жаркие летние дни.
Проверенная смесь материалов отводит влагу от ваших ног, способствует хорошему самочувствию и повышает производительность. Эти сверхлегкие и тонкие летние носки помогут вам полностью раскрыть свой потенциал .
Smart Carbon сохраняет ваши ноги в прохладе. 
Женские носки No Show очень легкие благодаря углеродной пряже. Это не только повышает износостойкость, но и эластичность носков. Носите эти летние носки с Smart Carbon в жаркие дни, чтобы ваши ноги оставались свежими.
Плотная посадка для идеального комфорта. 
Носки очень удобно носить в облегающей спортивной обуви; они не скользят , и у вас есть по</t>
  </si>
  <si>
    <t>88% полиамид, 12% эластан</t>
  </si>
  <si>
    <t>38-40</t>
  </si>
  <si>
    <t>CEP Compression socks</t>
  </si>
  <si>
    <t>C1UUW-0-1</t>
  </si>
  <si>
    <t>Компрессионные гольфы CEP для бега, ультратонкие</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</si>
  <si>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мышцах, что также увеличивает снабжение мышц питательными веществами и ускоряет удаление продуктов метаболизма .
Откройте для себя сверхлегкий комфорт при ношении и идеальную посадку.
Сверхтонкие и с минимальной набивкой: эти особенности делают носки Ultralight Socks идеальным связующим звеном между вашими ногами и облегающими кроссовками. Они также обладают отличной воздухопроницаемостью, что идеально подходит в жаркие летние дни. Это помогает предотвратить волдыри. В то же время интегрированные углеродные волокна гарантируют максимальную стабильность тонкой ткани.</t>
  </si>
  <si>
    <t>C09UUM-0-1</t>
  </si>
  <si>
    <t>Функциональные короткие гольфы CEP, ультратонкие, мужские</t>
  </si>
  <si>
    <t>СВЕРХЛЕГКИЕ КОМПРЕССИОННЫЕ НОСКИ LOW CUT ДЛЯ ПЛОТНОЙ ПОСАДКИ И БОЛЬШЕЙ МОЩНОСТИ. 
Повышайте свою производительность, повышайте уровень физической подготовки и быстрее восстанавливайтесь — сверхлегкие компрессионные носки с низким вырезом помогут вам во время тренировок и соревнований в жаркие летние дни. Эти спортивные носки сделаны в Германии и подходят как перчатки, не скользя в тесной обуви. Они активируют всю вашу силу.
Сверхлегкие и прочные летние носки для большей силы в жаркие дни.
С компрессией medi вы почувствуете еще большую мощность и легкость . Специальная технология обеспечивает целенаправленное сжатие там, где это необходимо больше всего, стабилизирует плюсну и обеспечивает оптимальную поддержку. Эти тонкие летние носки улучшают кровообращение и ускоряют выведение лактата . Глубокая сенсорная стимуляция суставов придает вашим ногам большую устойчивость.
Материалы премиум-класса с технологией Smart Carbon для воздухопроницаемости и комфорта.
Носки Ultralight Compression Low Cut задают новое определение «легкости». Активируйте весь свой потенциал и поднимите свою физическую форму на новый уровень. Проверенная смесь материалов помогает предотвратить образование мозолей, а носки остаются на месте благодаря своей анатомической форме с асимметричным мыском. Углеродная пряжа очень легкая и сохраняет ваши ноги в прохладе. Он очень прочный, но при этом придает летним носкам высокую эластичность.</t>
  </si>
  <si>
    <t>C09UUW-5-1</t>
  </si>
  <si>
    <t>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</si>
  <si>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C09UUW-S3</t>
  </si>
  <si>
    <t>Короткие носки с градуированной спортивной компрессией способствуют улучшению тонуса мышц и ускорению кровообращения. Применение технологии Smart Carbon позволило сделать эту модель на 30% легче базовой. Носки точно повторяют форму ноги и создают уверенное сцепление с обувью. Внедрение карбона в структуру нити обеспечивает охлаждающий эффект, что особенно важно при интенсивных тренировках.
При изготовлении компрессионных носков используются сверхпрочные и эластичные нити, которые гарантируют максимальную износоустойчивость. Ионы серебра в составе ткани обеспечивают антибактериальный эффект, предотвращая появление неприятного запаха.
Носки мягко фиксируют стопу, поддерживают вены в тонусе и не создают ощущения сдавливания благодаря плоским швам в области пальцев и мягкому верхнему краю.</t>
  </si>
  <si>
    <t>84% полиамид, 16% эластан</t>
  </si>
  <si>
    <t>CORE RUN SOCKS, TALL, 5.0</t>
  </si>
  <si>
    <t>C125M-0</t>
  </si>
  <si>
    <t>Мужские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</si>
  <si>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C125W-0</t>
  </si>
  <si>
    <t>Женские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</si>
  <si>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C125W-4</t>
  </si>
  <si>
    <t>C125W-YB</t>
  </si>
  <si>
    <t>желтый/бордовый</t>
  </si>
  <si>
    <t>CORE RUN SOCKS, NO SHOW, 5.0</t>
  </si>
  <si>
    <t>C005W-0</t>
  </si>
  <si>
    <t>CEP C005W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</si>
  <si>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89% нейлон, 11% эластан</t>
  </si>
  <si>
    <t>C005W-YB</t>
  </si>
  <si>
    <t>CORE RUN SOCKS, LOW CUT, 5.0</t>
  </si>
  <si>
    <t>C095M-0</t>
  </si>
  <si>
    <t>CEP C095M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</si>
  <si>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88% нейлон, 12% эластан</t>
  </si>
  <si>
    <t>C095M-3</t>
  </si>
  <si>
    <t>C095M-5</t>
  </si>
  <si>
    <t>C095W-0</t>
  </si>
  <si>
    <t>CEP C095W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</si>
  <si>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C095W-4</t>
  </si>
  <si>
    <t>C095W-5</t>
  </si>
  <si>
    <t>C095W-YB</t>
  </si>
  <si>
    <t>C0UUW-5-1</t>
  </si>
  <si>
    <t>Функциональные ультратонкие ультракороткие носки</t>
  </si>
  <si>
    <t>Ультракороткие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</si>
  <si>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CORE RUN SLEEVES, CALF, 5.0</t>
  </si>
  <si>
    <t>C305W-4</t>
  </si>
  <si>
    <t>Гетры</t>
  </si>
  <si>
    <t>Женские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</si>
  <si>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79% полиамид, 21% эластан</t>
  </si>
  <si>
    <t>CEP Compression Gaiters</t>
  </si>
  <si>
    <t>C3UUM-0-1</t>
  </si>
  <si>
    <t>Компрессионные гетры CEP для спорта, ультратонкие</t>
  </si>
  <si>
    <t>СВЕРХЛЕГКИЕ ГЕТРЫ ДЛЯ ГОЛЕНИ ДЛЯ МУЖЧИН: ЛЕТНИЕ ГЕТРЫ ДЛЯ НОГ. 
Отправляйтесь в путь и чувствуйте себя хорошо — экипируйте себя сверхлегкими гетрами для голени и добейтесь своего личного максимума ! Независимо от того, насколько высока летняя температура, эти гетры очень удобны в носке благодаря ультралегкой, ультратонкой и дышащей ткани. Они сочетают в себе преимущества сжатия с исключительным комфортом в жаркую погоду .
Улучшение кровообращения = повышение мышечной производительности. 
Медиа компрессия улучшает приток крови к мышцам и от них. Ваши мышцы быстрее получают необходимые им питательные вещества , что способствует выведению лактатов. Это поможет вам полностью реализовать свой потенциал производительности с точки зрения скорости и выносливости, что дает вам явное преимущество, когда это необходимо.
Снижение вибрации мышц для эффективного использования энергии. 
Эффективность – это целенаправленное использование мощности. Сверхлегкие икроножные гетры подавляют нежелательные вибрации икроножных мышц и дают больше энергии для движения вперед . Еще одно преимущество в дополнение к повышенной производительности: они просто приятны на ощупь, что повышает вашу мотивацию.
Отправляйтесь в путь и чувствуйте себя хорошо в жаркую погоду.
Ткань обладает всеми характеристиками, необходимыми для летних месяцев. Обеспечивает необходимую стабильность благодаря технологии Smart Carbon со встроенными углеродными волокнами.
Воспользуйтесь активирующим эффектом ультралегких гетр, чтобы достичь максимальной производительности в жаркую летнюю погоду!</t>
  </si>
  <si>
    <t>77% полиамид, 23% эластан</t>
  </si>
  <si>
    <t>CORE RUN SOCKS, MID CUT, 5.0</t>
  </si>
  <si>
    <t>C105W-4</t>
  </si>
  <si>
    <t>CEP C105W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нейлон, 14%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</si>
  <si>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86% полиамид, 14% эластан</t>
  </si>
  <si>
    <t>C3UUW-0</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</si>
  <si>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крадут вашу энергию. В результате у вас появляется больше энергии для движения вперед , и ничто больше не мешает устанавливать новые личные рекорды. Но это не все. Эффект компрессии ощущается хорошо, что мотивирует вас и позволяет вам получать еще больше удовольствия от занятий спортом .
Чувствуйте себя хорошо и достигайте большего летом. 
Сверхтонкая , легкая и дышащая ткань завершает дизайн этих динамичных и стильных носков и обеспечивает непревзойденный комфорт при ношении в жаркую погоду. Стабильность также гарантируется благодаря интегрированным углеродным волокнам, которые делают ткань более прочной.</t>
  </si>
  <si>
    <t>Cep Compression Knee Socks</t>
  </si>
  <si>
    <t>C245W-52</t>
  </si>
  <si>
    <t>Компрессионные гольфы CEP для катания на горных лыжах, с шерстью мериноса, женские</t>
  </si>
  <si>
    <t>CEP SKI MERINO COMPRESSION SOCKS - ЖЕНСКИЕ ЛЫЖНЫЕ НОСКИ ДЛЯ БЫСТРЫХ СПУСКОВ С КОМФОРТОМ. 
Компрессия сочетается с приятно мягкой, дышащей мериносовой шерстью и высококачественными синтетическими волокнами : компрессионные носки Ski Merino полностью используют свои преимущества благодаря сложной конструкции материала и инновационным технологиям . Вы выигрываете от более быстрого восстановления, ваши ноги всегда остаются в приятной температуре, и вы достигаете новых личных рекордов на склонах.
В лыжных носках для женщин с компрессией вы убиваете сразу трех зайцев: целенаправленное давление улучшает кровообращение и активирует транспорт кислорода . Таким образом, вы дольше остаетесь в форме и можете преодолевать самые крутые спуски даже после долгого дня. Целенаправленное давление на икру также ускоряет удаление побочных продуктов, таких как лактат, и активирует более быструю регенерацию.
Шерсть мериноса и синтетика для оптимального температурного баланса. 
Компрессионные гольфы CEP Ski Merino изготовлены из мериносовой шерсти и высококачественных синтетических волокон. Мериносовая шерсть является незаменимым функциональным материалом для катания на лыжах из-за ее превосходного отвода влаги . Продуманное сочетание материалов гарантирует идеальный тепловой баланс в лыжных ботинках и сохраняет ваши ноги в приятной сухости и тепле , даже когда вы сыты на склоне.
Благодаря анатомической посадке компрессионные лыжные и спортивные носки Ski Merino идеально сидят на ноге и плотно прилегают к ноге . Натертости, морщины или волдыри наконец-то остались в прошлом - и вы можете танцевать всю ночь напролет на вечеринке после катания на лыжах.</t>
  </si>
  <si>
    <t>59% полиамид, 32% шерсть мериноса, 10% эластан</t>
  </si>
  <si>
    <t>CORE RUN MERINO SOCKS, TALL 3.0 - MEN</t>
  </si>
  <si>
    <t>C225M-YS</t>
  </si>
  <si>
    <t>Гольфы</t>
  </si>
  <si>
    <t>Легкие гольфы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 
Особенности:
Материал с добавлением шерсти мериноса обладает оптимальными теплоизоляционными свойствами, не впитывает запахи, эффективно отводит влагу.
Носки удобно прилегают к ноге, не мнутся в лыжном ботинке и тем самым предотвращают образование пузырей.
Сочетание подавляющей запах шерсти мериноса и синтетических функциональных волокон препятствует возникновению неприятного запаха.
Благодаря оптимально расположенным зонам набивки модель обеспечивает дополнительный комфорт в длительных поездках.
OEKO-TEX Standard 100 - это система сертификации текстильных изделий, которая гарантирует, что продукция безвредна для здоровья и не превышает предельных значений для вредных веществ.</t>
  </si>
  <si>
    <t>C225W-5Y</t>
  </si>
  <si>
    <t>CORE RUN MERINO SOCKS, TALL, 3.0 - WOMEN</t>
  </si>
  <si>
    <t>C225W-YS</t>
  </si>
  <si>
    <t>PRO RUN REFLECTIVE SOCKS, TALL, 2.0 - MEN</t>
  </si>
  <si>
    <t>C125RM-5</t>
  </si>
  <si>
    <t>C125RM-Y</t>
  </si>
  <si>
    <t>PRO RUN REFLECTIVE SOCKS, TALL, 2.0 - WOMEN</t>
  </si>
  <si>
    <t>C125RW-Y</t>
  </si>
  <si>
    <t>Компрессионные женские гольфы Reflective со светоотражающими элементами, повышающими видимость в темное время суток.
Основные функции компрессионных гольф: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</si>
  <si>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C1UUM-5</t>
  </si>
  <si>
    <t>Компрессионные гольфы CEP для бега ультратонкие, мужские</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</si>
  <si>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быстрее выводит продукты метаболизма . Ваши ноги чувствуют себя заметно легче в ультралегких носках, и вы достигаете новых уровней производительности.
Откройте для себя непревзойденный комфорт при ношении и оптимальную посадку.
Носки Ultralight Socks изготовлены из чрезвычайно тонкой ткани с минимальной набивкой, что делает их идеальным связующим звеном между вашими ногами и облегающими кроссовками. Это обеспечивает эффективную защиту от волдырей. Встроенные углеродные волокна обеспечивают максимальную стабильность ткани. А воздухопроницаемость компрессионных носков для мужчин является долгожданным преимуществом при повышении температуры.</t>
  </si>
  <si>
    <t>C3UUW-0-1</t>
  </si>
  <si>
    <t>C2UUW-5-1</t>
  </si>
  <si>
    <t>C2UUW-S3</t>
  </si>
  <si>
    <t>Носки выполнены из высокотехнологичной ткани Smart Carbon - эта пряжа с молекулами карбона обладает высокой прочностью и эластичностью. Технологичная нить TWD Smart Dry в сочетании с системой терморегуляции Heiq Smart Temp оптимизирует температуру тела в жаркие или холодные дни. Ткань Feran ICP позволяет быстро и эффективно отводить влагу. Ионы серебра, внедренные в структуру материала, обеспечивают антибактериальный эффект и предотвращают появление неприятного запаха.
Асимметричный "носок" и усовершенствованная конструкция создают более совершенную анатомическую посадку, которая помогает предотвратить возможность натирания.
Поддерживающая компрессия улучшает циркуляцию крови в стопе и препятствует образованию отеков.</t>
  </si>
  <si>
    <t>C0UUM-0-1</t>
  </si>
  <si>
    <t>Ультракороткие компрессионные носки</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</si>
  <si>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идеальную посадку.
Еще более целенаправленное сжатие. 
Теперь еще больше меди компрессии используется для оптимизации снабжения ваших ног питательными веществами и ускорения выведения лактатов. Это дает вам больше силы и легкости ног , когда вы тренируетесь и соревнуетесь, и вы быстрее восстанавливаетесь .
Сверхлегкие компрессионные носки No Show очень тонкие и прочные. Они идеально подходят для интенсивных занятий спортом в жаркие дни.</t>
  </si>
  <si>
    <t>C225W-20</t>
  </si>
  <si>
    <t>C1UUW-5</t>
  </si>
  <si>
    <t>Ультратонкие компрессионные гольфы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t>
  </si>
  <si>
    <t>CEP compression socks</t>
  </si>
  <si>
    <t>C1UUW-S3</t>
  </si>
  <si>
    <t>Компрессионные гольфы</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</si>
  <si>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t>
  </si>
  <si>
    <t>C1UUM-0-1</t>
  </si>
  <si>
    <t>C0UUW-0-1</t>
  </si>
  <si>
    <t>C09UUM-5-1</t>
  </si>
  <si>
    <t>Универсальные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облегченной на 30% формуле изделие безупречно повторяет форму ноги и увеличивает воздухопроницаемость, а ячеистая вязка создает охлаждающий эффект. Компрессия в области стопы стабилизирует ногу, повышая координацию и снижая риск травм и повреждений.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Для обеспечения максимального комфорта при ношении и фиксации ноги без сдавливания в изделии предусмотрен мягкий верхний край. Использование обеспечивает: Поддержку вен и мышц в тонусе; Низкий риск спазмов и повреждений; ; Стабилизацию свода стопы.</t>
  </si>
  <si>
    <t>C09UUW-0-1</t>
  </si>
  <si>
    <t>C005M-0</t>
  </si>
  <si>
    <t>CEP C005M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</si>
  <si>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C105M-5</t>
  </si>
  <si>
    <t>CEP C105M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полиамид, 14% спандекс;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</si>
  <si>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PRO RUN REFLECTIVE SOCKS, MID CUT, 2.0 - MEN</t>
  </si>
  <si>
    <t>C105RM-5</t>
  </si>
  <si>
    <t>PRO RUN REFLECTIVE SOCKS, MID CUT, 2.0 - WOMEN</t>
  </si>
  <si>
    <t>C105RW-Y</t>
  </si>
  <si>
    <t>Компрессионные женские носки Reflective со светоотражающими элементами, повышающими видимость в темное время суток.
Основные функции компрессионных носков: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</si>
  <si>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C105W-0</t>
  </si>
  <si>
    <t>C105W-5</t>
  </si>
  <si>
    <t>C0UUM-5-1</t>
  </si>
  <si>
    <t>C0UUW-5</t>
  </si>
  <si>
    <t>C3UUM-0</t>
  </si>
  <si>
    <t>C004W-P</t>
  </si>
  <si>
    <t>Функциональные ультракороткие гольфы CEP, женские</t>
  </si>
  <si>
    <t>КОМПРЕССИОННЫЕ НОСКИ RUN COMPRESSION NO SHOW ДЛЯ ЖЕНЩИН – НЕСКОЛЬЗЯЩИЕ И ПРАКТИЧЕСКИ НЕВИДИМЫЕ. 
Получите невидимую поддержку и максимизируйте комфорт при беге: компрессионные носки Run Compression No Show для женщин — это короткие носки для бега, которые гарантируют комфорт и надежную посадку в обуви для поддержки без трения. Медиакомпрессионные и мягкие зоны в стопе амортизируют каждый шаг и придают вам больше энергии — то, что вы сразу почувствуете.
Больше мощности и легкости.
Эти женские беговые носки почти незаметны на ногах и активизируют кровообращение благодаря компрессии medi. Это гарантирует, что больше питательных веществ попадет в мышцы плюсневых костей. Результат: Заметно более сильные ноги.
Идеально подходит для комфорта без волдырей.
Анатомический дизайн женских носков The Run Compression No Show Socks гарантирует идеальную посадку в кроссовках. Эти беговые носки не мнутся, что предотвращает образование мозолей. Идеально расположенные мягкие зоны амортизируют ваш шаг, не нагружая суставы. 
Теперь влага остается снаружи: вентиляционные зоны в области стопы и носка позволяют вашей коже дышать и выравнивают температуру внутри кроссовок. Это поможет вам завершить любое испытание и остаться свежей.</t>
  </si>
  <si>
    <t>89% полиамид, 11% эластан</t>
  </si>
  <si>
    <t>C225M-5Y</t>
  </si>
  <si>
    <t>CEP C261M -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</si>
  <si>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CORE RUN EDT. GRADIENT SOCKS, TALL, 5.0</t>
  </si>
  <si>
    <t>C12EM-GY</t>
  </si>
  <si>
    <t>Разработаны специально для мужчин.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</si>
  <si>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зеленый/лайм</t>
  </si>
  <si>
    <t>C12EM-RY</t>
  </si>
  <si>
    <t>красный/желтый</t>
  </si>
  <si>
    <t>C1UUW-5-1</t>
  </si>
  <si>
    <t>PRO RUN ULTRALIGHT SOCKS, TALL</t>
  </si>
  <si>
    <t>C1UPM-G</t>
  </si>
  <si>
    <t>Мужские компрессионные гольфы CEP C1UPM разработаны для профессиональны спортсменов, занимающихся фитнесом, беговыми и игровыми видами спорта, триатлоном, велоспортом, спортивными дисциплинами на выносливость, легкой и тяжелой атлетикой. Благодаря компрессии со специальным градиентом давления, разработанной компанией medi для повышенных интенсивных нагрузок, создается усиленная поддержка вен и мышц во время занятия спортом, что помогает достичь максимального результата.
Особенности:
Специальная компрессия позволяет повысить работоспособность, снизить усталость, вероятность риска спазмов и повреждений, улучшает координацию движений и обеспечивает более быстрее восстановление.
На 30% легче, чем базовая модель благодаря специальной вязке и нитям, изготовленным с применением технологии Smart Carbon.
Благодаря низкой теплопроводимости карбона, внедренного в структуру нити, создается дополнительный охлаждающий эффект.
Мягкая верхняя кромка обеспечивает комфортную фиксацию на ноге без передавливания.
Ионы серебра в структуре нитей обеспечивают антибактериальный эффект и предотвращают образование неприятного запаха.
Протектор ахиллова сухожилия для дополнительной профилактики повреждений.
Компрессионная вставка в области среднего отдела стопы обеспечивает дополнительную стабилизацию свода стопы.
Асимметричный крой и усовершенствованная конструкция создают более совершенную анатомическую посадку, которая помогает предотвратить натирание и образование мозолей.
Силиконовые элементы Smart Grip на подошвенной части обеспечивают идеальную посадку и надежно фиксируют стопу в обуви для максимального контроля движений.
Сверхплоский шов в области пальцев не давит и не натирает.</t>
  </si>
  <si>
    <t>86% полиамид, 14% спандекс</t>
  </si>
  <si>
    <t>C3UUM-S3</t>
  </si>
  <si>
    <t>СВЕРХЛЕГКИЕ ГЕТРЫ ДЛЯ ГОЛЕНИ ДЛЯ МУЖЧИН: ЛЕТНИЕ ГЕТРЫ ДЛЯ НОГ. 
Отправляйтесь в путь и чувствуйте себя хорошо — экипируйте себя сверхлегкими гетрами для голени и добейтесь своего личного максимума ! Независимо от того, насколько высока летняя температура, эти гетры очень удобны в носке благодаря ультралегкой, ультратонкой и дышащей ткани. Они сочетают в себе преимущества сжатия с исключительным комфортом в жаркую погоду .
Улучшение кровообращения = повышение мышечной производительности. 
Медиа компрессия улучшает приток крови к мышцам и от них. Ваши мышцы быстрее получают необходимые им питательные вещества , что способствует выведению лактатов. Это поможет вам полностью реализовать свой потенциал производительности с точки зрения скорости и выносливости, что дает вам явное преимущество, когда это необходимо.
Снижение вибрации мышц для эффективного использования энергии. 
Эффективность – это целенаправленное использование мощности. Сверхлегкие икроножные гетры подавляют нежелательные вибрации икроножных мыш</t>
  </si>
  <si>
    <t>C3UUW-5-1</t>
  </si>
  <si>
    <t>Компрессионные гетры CEP для занятия спортом, ультратонкие, женские</t>
  </si>
  <si>
    <t>Ультратонкие компрессионные гетры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мягкие верхний и нижний края.</t>
  </si>
  <si>
    <t>C3UUW-S3</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</si>
  <si>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t>
  </si>
  <si>
    <t>C005M-3</t>
  </si>
  <si>
    <t>C005M-5</t>
  </si>
  <si>
    <t>C005M-5Y</t>
  </si>
  <si>
    <t>черный/зеленый</t>
  </si>
  <si>
    <t>C005W-4</t>
  </si>
  <si>
    <t>C053W-2</t>
  </si>
  <si>
    <t>Компрессионные укороченные гольфы CEP для активного отдыха</t>
  </si>
  <si>
    <t>Компрессионные носки CEP с шерстью мериноса, сохраняющие оптимальный температурный баланс кожи и поддерживающие здоровье вен при отдыхе на природе.
Компрессионные носки CEP – незаменимая вещь для любителей активного отдыха! Область применения:
Спортивный туризм, спортивное ориентирование, альпинизм, скандинавская ходьба, охота и рыбалка, другие виды активного отдыха на природе.
Ключевые эффекты: 
Поддержка вен и мышц в тонусе.
Выше работоспособность, меньше усталость.
Ниже риск спазмов и повреждений.
Лучше координация движений.
Ниже риск образования мозолей и натоптышей.
Дополнительный комфорт в обуви.
Быстрее восстановление.
Свойства и преимущества:
Поддержка вен и мышц во время бега благодаря специальному градиенту давления, разработанному компанией medi для спортивных нагрузок.
Комбинированная вязка из волокон шерсти мериноса и полиамида обеспечивает благоприятный температурный баланс независимо от того, в каких погодных условиях Вы используете гольфы CEP.
Содержащийся в волокнах шерсти мериноса креатин естественным образом разрушает бактерии, обитающие на человеческой коже и вызывающие неприятные запахи, усиливая таким образом антимикробные технологии medi на основе внедрения в структуру ткани ионов серебра.
Мягкий верхний край для комфортной фиксации на ноге без сдавливания.
Повышенная износоустойчивость за счет использования сверхпрочных синтетических нитей премиального качества.
Компрессионная вставка в области среднего отдела стопы обеспечивает дополнительную стабилизацию свода стопы.
Протектор голеностопного сустава.
Протектор ахиллова сухожилия для дополнительной профилактики повреждений.
Протектор для защиты сустава большого пальца ноги.
Анатомически вывязанная подошвенная область плотно облегает ногу, предотвращая образование мозолей и натоптышей.
Сверхплоский шов в области пальцев не давит и не натирает.</t>
  </si>
  <si>
    <t>71% полиамид, 19% шерсть мериноса, 10% эластан</t>
  </si>
  <si>
    <t>C053W-G2</t>
  </si>
  <si>
    <t>УЛЬТРАКОМФОРТНЫЕ ЖЕНСКИЕ НОСКИ ДЛЯ ПОХОДОВ: НОСКИ HIKING MERINO MID CUT ДЛЯ БОЛЕЕ ТОЧНОЙ РАБОТЫ НОГ. 
Готовы к следующему однодневному или многодневному походу по сложной местности? Начните свое путешествие прямо с носков Hiking Merino Mid Cut и ничего не оставляйте на волю случая! Активирующая компрессия medi дает вам больше энергии и стабильности и обеспечивает превосходный комфорт для улучшения концентрации. Эта комбинация делает женские туристические носки средней длины от CEP вашими идеальными компаньонами. Они производят смелое впечатление даже вне походных ботинок благодаря модному дизайну.
Hike safe – со стабилизирующим компрессионным эффектом.
Точная работа ног необходима, если вы хотите освоить сложные трассы. medi Compression обеспечивает необходимую стабильность благодаря целевому профилю сжатия, который активирует глубокую сенсорную стимуляцию и улучшает вашу проприоцепцию . Вы можете лучше чувствовать свои лодыжки для более безопасного шага в активных походах - без компромиссов.
Природа + высокие технологии = мощное сочетание для превосходного комфорта.
Натуральный или синтетический? Носки Hiking Merino Mid Cut сочетают в себе преимущества обоих. Меринос обеспечивает тепловой баланс и влагоотводящие свойства . Микроволокна и спандекс гарантируют, что они будут идеально сидеть на ваших ногах, минимизируя натирание и предотвращая появление мозолей.
Дополнительные функции для повышенного комфорта в длительных походах.
Когда вы отправляетесь в поход в горы или долины, набивка в подошве обеспечивает приятную амортизацию, а ткань с добавлением серебра приятно уменьшает запах, препятствуя росту бактерий . день.
Женские носки Hiking Merino Mid Cut идеально подходят для активного отдыха на природе. Откройте для себя исключительный комфорт этих женских носков для походов от CEP Sportswear</t>
  </si>
  <si>
    <t>CEP Socks</t>
  </si>
  <si>
    <t>C094M-0</t>
  </si>
  <si>
    <t>Функциональные короткие гольфы CEP для спорта, мужские</t>
  </si>
  <si>
    <t>Поддерживающая компрессия улучшает циркуляцию крови в стопе и предотвращает образование отеков.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Высокотехнологичная нить TWD SMART DRY оптимизирует терморегуляцию в жаркие или в холодные дни.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t>
  </si>
  <si>
    <t>88% полиамид, 12% спандекс</t>
  </si>
  <si>
    <t>C094W-5</t>
  </si>
  <si>
    <t>Функциональные короткие гольфы CEP для спорта, женские</t>
  </si>
  <si>
    <t>Компрессионные носки выполнены из сверхпрочных эластичных нитей, благодаря чему повышается износоустойчивость. Технологичная нить TWD SMART DRY в сочетании с системой терморегуляции HEIQ SMART TEMP оптимизирует температуру тела в жаркие или холодные дни. Ткань FERAN ICP позволяет быстро отводить влагу от тела. Ионы серебра, внедренные в структуру материала, обеспечивают антибактериальный эффект и предотвращают появление неприятного запаха.
Асимметричный "носок" и усовершенствованная конструкция создают более совершенную анатомическую посадку, которая помогает предотвратить возможность натирания.
Поддерживающая компрессия улучшает циркуляцию крови в стопе и препятствует образованию отеков.</t>
  </si>
  <si>
    <t>C094W-P</t>
  </si>
  <si>
    <t>БОЛЬШЕ ПОДДЕРЖКИ В ОБУВИ, БОЛЕЕ СТАБИЛЬНЫЕ СУСТАВЫ: КОМПРЕССИОННЫЕ НИЗКИЕ НОСКИ RUN ДЛЯ ЖЕНЩИН. 
Наслаждайтесь удобством в любое время года: благодаря проверенной комбинации материалов женские компрессионные носки Run Compression Low Cut обеспечивают вентиляцию в жаркие летние дни и согревают в прохладную погоду. Эти беговые носки с низким вырезом для женщин обеспечивают поддержку благодаря своему анатомическому дизайну без трения и средней компрессии, которая также активирует ваши мышцы для большей устойчивости лодыжки.
medi сжатие для большей легкости во время бега. 
Заметно более легкие ноги и повышенное чувство безопасности на каждом этапе пути: встроенная компрессионная нить в женских носках The Run Compression Low Cut обеспечивает идеальный компрессионный профиль для ваших ног. Он стимулирует кровообращение, что, в свою очередь, увеличивает снабжение мышц питательными веществами. Вы заметите эффект хорошего самочувствия уже после нескольких шагов, и вы будете бежать с большей силой и выносливостью.
Лето или зима: зоны вентиляции гарантируют комфорт ногам
Различные функции обеспечивают идеальный баланс между управлением теплом и влагой и комфортом в беговых кроссовках: зоны вентиляции в разных областях стопы обеспечивают свежий воздух для вашей кожи. Воздушные каналы и смесь материалов сохраняют ваши ноги сухими и приятными даже во время самых интенсивных занятий.
Оптимальная амортизация, отсутствие волдырей. 
Мозоли теперь в прошлом: компрессионные низкие носки Run для женщин обеспечивают идеальную посадку на ноге без складок и помогают предотвратить появление мозолей. Подушечки в области пятки остаются на своих местах благодаря анатомическому дизайну и обеспечивают идеальную амортизацию. Это дает вам больше силы и чувство безопасности во время бега, а также защищает ваши суставы.</t>
  </si>
  <si>
    <t>C094W-S</t>
  </si>
  <si>
    <t>Функциональные короткие гольфы CEP для спорта</t>
  </si>
  <si>
    <t>БОЛЬШЕ ПОДДЕРЖКИ В ОБУВИ, БОЛЕЕ СТАБИЛЬНЫЕ СУСТАВЫ: КОМПРЕССИОННЫЕ НИЗКИЕ НОСКИ RUN ДЛЯ ЖЕНЩИН. 
Наслаждайтесь удобством в любое время года: благодаря проверенной комбинации материалов женские компрессионные носки Run Compression Low Cut обеспечивают вентиляцию в жаркие летние дни и согревают в прохладную погоду. Эти беговые носки с низким вырезом для женщин обеспечивают поддержку благодаря своему анатомическому дизайну без трения и средней компрессии, которая также активирует ваши мышцы для большей устойчивости лодыжки.
medi сжатие для большей легкости во время бега. 
Заметно более легкие ноги и повышенное чувство безопасности на каждом этапе пути: встроенная компрессионная нить в женских носках The Run Compression Low Cut обеспечивает идеальный компрессионный профиль для ваших ног. Он стимулирует кровообращение, что, в свою очередь, увеличивает снабжение мышц питательными веществами. Вы заметите эффект хорошего самочувствия уже после нескольких шагов, и вы будете бежать с большей силой и выносливостью.
Ле</t>
  </si>
  <si>
    <t>C095M-5Y</t>
  </si>
  <si>
    <t>C095W-I3</t>
  </si>
  <si>
    <t>C09UUM-5</t>
  </si>
  <si>
    <t>C09UUM-S3</t>
  </si>
  <si>
    <t>C0UUM-S3</t>
  </si>
  <si>
    <t>Ультратонкие укороченные гольфы</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</si>
  <si>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t>
  </si>
  <si>
    <t>C104W-5</t>
  </si>
  <si>
    <t>Функциональные укороченные гольфы CEP для спорта, женские</t>
  </si>
  <si>
    <t>ОБЛАСТЬ ПРИМЕНЕНИЯ: 
Бег, Фитнес, легкая и тяжелая атлетика, беговые и игровые виды спорта, триатлон, велоспорт, спортивные дисциплины на выносливость. 
КЛЮЧЕВЫЕ ЭФФЕКТЫ: 
Ниже риск спазмов и повреждений. 
Лучше координация движений. 
Комфортнее бег. 
СВОЙСТВА И ПРЕИМУЩЕСТВА: 
Поддерживающая компрессия улучшает циркуляцию крови в ногах и предотвращает образование отеков.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Внедренные в структуру ткани ионы серебра обеспечивают антибактериальный эффект и предотвращают образование неприятного запаха. 
Высокотехнологичная нить TWD SMART DRY оптимизирует терморегуляцию в жаркие или в холодные дни.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</si>
  <si>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C105M-0</t>
  </si>
  <si>
    <t>C105M-3</t>
  </si>
  <si>
    <t>C105M-5Y</t>
  </si>
  <si>
    <t>C105RM-Y</t>
  </si>
  <si>
    <t>CEP Gaiters REFLECTIVE</t>
  </si>
  <si>
    <t>C105RW-5</t>
  </si>
  <si>
    <t>Функциональные укороченные гольфы CEP REFLECTIVE для бега, со светоотражателями, женские</t>
  </si>
  <si>
    <t>CEP Compression Knee Socks</t>
  </si>
  <si>
    <t>C124W-5</t>
  </si>
  <si>
    <t>Компрессионные гольфы CEP для бега</t>
  </si>
  <si>
    <t>КОМПРЕССИОННЫЕ ГОЛЬФЫ ДЛЯ БЕГА ДЛЯ ЖЕНЩИН — ЧУВСТВУЙТЕ СЕБЯ ЭФФЕКТИВНО АКТИВНЫМИ.
Идеальные тренировочные носки для женщин, которые любят тренироваться в любое время дня: компрессионные носки для бега от CEP Activating Sportswear — это беговые носки для любого случая — независимо от того, бегаете ли вы по неровной местности или изо всех сил на беговой дорожке.
Бегайте с большей выносливостью и быстрее восстанавливайтесь.
Переопределенный профиль компрессии стал более точным и активирует поступление питательных веществ в стопы и икры. Благодаря этому ваши ноги становятся сильнее и легче. Более того, усиленное кровообращение стимулирует удаление метаболических отходов для большей выносливости и более быстрого восстановления — даже во время тренировки. Компрессия в икрах поглощает «удары» во время тренировки, чтобы дать вам дополнительный заряд энергии.
Больше стабильности и меньше травм.
Еще одно большое преимущество компрессионных носков The Run для женщин заключается в том, что они повышают точность вашей работы ног: компрессионный активирующий эффект стимулирует ваши мышцы с глубоким сенсорным эффектом. Вы можете лучше чувствовать свои ноги, что улучшает вашу устойчивость. Кроме того, компрессия стабилизирует опорно-двигательный аппарат и обеспечивает поддержку. Эффект: Меньше травм. Мягкие зоны в области стопы смягчают ваши шаги и защищают ваши суставы.
Комфорт бега без мозолей.
Женские компрессионные носки Run сочетают в себе проверенную смесь материалов и инновационные функции комфорта для идеального отведения тепла и влаги. Сетчатая структура в области икр обеспечивает отличную вентиляцию и приятные ощущения в кроссовках, а инновационные воздушные каналы в стельке и вентиляционные зоны в области носка обеспечивают дополнительный комфорт. А анатомический дизайн, сжатие и сочетание материалов гарантируют идеальную посадку, чтобы у вас не было мозолей на многие мили вперед.</t>
  </si>
  <si>
    <t>C124W-NB</t>
  </si>
  <si>
    <t>C125M-3</t>
  </si>
  <si>
    <t>C125M-5Y</t>
  </si>
  <si>
    <t>C125M-I3</t>
  </si>
  <si>
    <t>ледяной/синий</t>
  </si>
  <si>
    <t>CEP Compression Gaiters REFLECTIVE</t>
  </si>
  <si>
    <t>C125RW-5</t>
  </si>
  <si>
    <t>83% полиамид, 17% спандекс</t>
  </si>
  <si>
    <t>C125W-5</t>
  </si>
  <si>
    <t>CORE RUN SOCKS, TALL, 5.0 - WOMEN</t>
  </si>
  <si>
    <t>C125W-CN</t>
  </si>
  <si>
    <t>C12EW-4W</t>
  </si>
  <si>
    <t>Разработаны специально для женщин.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</si>
  <si>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розовый/лиловый</t>
  </si>
  <si>
    <t>C12EW-GY</t>
  </si>
  <si>
    <t>C1UPM-5</t>
  </si>
  <si>
    <t>PRO RUN ULTRALIGHT SOCKS, TALL - WOMEN</t>
  </si>
  <si>
    <t>C1UPW-5</t>
  </si>
  <si>
    <t>Ультратонкие компрессионные гольфы CEP отличаются более высоким уровнем давления для достижения наилучших результатов. Градуированная спортивная компрессия усиленно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Ультратонкие гольфы CEP PRO идеально подходят для профессиональных атлетов в следующих видах спорта:
Бег;
Легкая и тяжелая атлетика.
Фитнес;
Триатлон;
Велоспорт;
Игровые виды спорта;
Спортивные дисциплины на выносливость;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Использование обеспечивает:
Поддержку вен и мышц в тонусе;
Низкий риск спазмов и повреждений;
Улучшение координации движений;
Быстрое восстановление;
Повышение работоспособности;
Снижение усталости;
Комфортный бег.</t>
  </si>
  <si>
    <t>C1UPW-G</t>
  </si>
  <si>
    <t>C1UUM-0</t>
  </si>
  <si>
    <t>C1UUM-5-1</t>
  </si>
  <si>
    <t>C1UUM-S3</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</si>
  <si>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t>
  </si>
  <si>
    <t>C211M-Y</t>
  </si>
  <si>
    <t>Линейка компрессионных гольфов для горнолыжного спорта в обновленном дизайне. Биоактивные минералы в структуре нити улучшают микроциркуляцию крови за счет отражения внутреннего тепла человека, тем самым ускоряется восстановление. Гольфы обеспечивают комфортный температурный баланс. Компрессионные нити в составе обеспечат оптимальную посадку без складок.
Стильный дизайн и широкая цветовая гамма изделий позволят создать яркий спортивный образ.</t>
  </si>
  <si>
    <t>87% полиамид, 13% спандекс</t>
  </si>
  <si>
    <t>C211W-5A</t>
  </si>
  <si>
    <t>87% полиамид, 13% эластан</t>
  </si>
  <si>
    <t>C214W-25</t>
  </si>
  <si>
    <t>Компрессионные гольфы CEP для катания на лыжах, мужские</t>
  </si>
  <si>
    <t>Компрессионные носки для горных лыж
Поддержка мышц и сухожилий
Мягкая, влагоотводящая, быстросохнущая ткань
Компрессионные носки специально для горнолыжного спорта. Обеспечивают поддержку мышц, снижают усталость, дают ощущение лёгкости и силы, помогают улучшить эффективность тренировок и предотвратить травмы.
• материал: 88% полиамид, 12% эластан;
• поддержка вен и мышц благодаря специальному градиенту давления, разработанному компанией medi для спортивных нагрузок;
• мягкие манжеты для комфортной фиксации на ноге без сдавливания;
• повышенная износоустойчивость за счет использования сверхпрочных синтетических нитей премиального качества;
• защитная накладка на всем протяжении голени;
• сверхплоский шов в области пальцев не давит и не натирает.</t>
  </si>
  <si>
    <t>серый/зеленый</t>
  </si>
  <si>
    <t>C221W-5</t>
  </si>
  <si>
    <t>`-Спортивная компрессия улучшает циркуляцию крови в стопе и икроножной мышце, предотвращает образование отеков                                                                                                                                                      -Шерсть Мерино в структуре нити обеспечивает широкий температурный диапазон комфортного применения: не холодно в мороз, не жарко при теплой погоде. Содержащийся в шерсти креатин естественный образом разрушает бактерии, подавляет патогенную микрофлору, обеспечивает антибактериальный эффект.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</si>
  <si>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76% полиамид, 13% шерсть мериноса, 11% эластан</t>
  </si>
  <si>
    <t>C261W-DO</t>
  </si>
  <si>
    <t>CEP C261W-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</si>
  <si>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темно-оранжевый</t>
  </si>
  <si>
    <t>76% полиамид, 13% мериносовая шерсть, 11% эластан</t>
  </si>
  <si>
    <t>CEP SNOWFAL socks</t>
  </si>
  <si>
    <t>C283W-5G</t>
  </si>
  <si>
    <t>`-Спортивная компрессия улучшает циркуляцию крови в стопе и предотвращает образование отеков -Шерсть мерино в структуре нити оеспечивает широкий температурный диапазон комфортного использования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-Внедренные в структуру ткани ионы серебра обеспечивают антибактериальный эффект и предотвращают образование неприятного запаха
-Высокотехнологичная нить TWD SMART DRY оптимизирует терморегуляцию в жаркие или в холодные дни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</si>
  <si>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75% полиамид, 15% шерсть мериноса, 10% эластан</t>
  </si>
  <si>
    <t>PRO RUN ULTRALIGHT SOCKS, MID CUT</t>
  </si>
  <si>
    <t>C2UPM-5</t>
  </si>
  <si>
    <t>CEP Pro C2UPM – тонкие компрессионные носки обеспечивают превосходную воздухопроницаемость, помогая улучшить эффективность тренировок и предотвратить травмы. Снижают усталость, поддерживают мышцы, дают ощущение лёгкости и силы благодаря градуированной компрессии медицинского класса CEP.
• материал: 86% полиамид, 14% спандекс;
• степень компрессии: 20-30 мм рт.;
• специальное плетение нитей огибает ваши мышцы более 300 раз при постепенном сжатии;
• мягкие манжеты для комфортной фиксации на ноге без сдавливания;
• повышенная износоустойчивость за счет использования сверхпрочных эластичных нитей;
• поддержка вен и мышц в тонусе;
• выше работоспособность, меньше усталость;
• ниже риск спазмов и повреждений;
• более быстрое восстановление.</t>
  </si>
  <si>
    <t>C2UPM-G</t>
  </si>
  <si>
    <t>C2UUM-5-1</t>
  </si>
  <si>
    <t>Функциональные ультратонкие укороченные гольфы CEP, мужские</t>
  </si>
  <si>
    <t>Мужские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
Использование обеспечивает:
Поддержку вен и мышц в тонусе;
Низкий риск спазмов и повреждений;
Улучшение координации движений;
Комфортный бег.</t>
  </si>
  <si>
    <t>C2UUM-S3</t>
  </si>
  <si>
    <t>Компрессионные укороченные гольфы для бега</t>
  </si>
  <si>
    <t>Мужские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t>
  </si>
  <si>
    <t>C2UUW-0-1</t>
  </si>
  <si>
    <t>C2UUW-W4</t>
  </si>
  <si>
    <t>лиловый/розовый</t>
  </si>
  <si>
    <t>C305M-0</t>
  </si>
  <si>
    <t>Мужские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</si>
  <si>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C305M-3</t>
  </si>
  <si>
    <t>C305M-5</t>
  </si>
  <si>
    <t>C305W-0</t>
  </si>
  <si>
    <t>C305W-5</t>
  </si>
  <si>
    <t>C305W-YB</t>
  </si>
  <si>
    <t>C3UUM-5-1</t>
  </si>
  <si>
    <t>49-51</t>
  </si>
  <si>
    <t>C516UM-22</t>
  </si>
  <si>
    <t>Функциональные укороченные гольфы CEP для активного отдыха, тонкие, с шерстью мериноса, мужские</t>
  </si>
  <si>
    <t>Компрессионные гольфы Cep Socks для мужчин созданы специально для бегунов, стремящихся улучшить свои спортивные результаты и уменьшить усталость ног. Эти гольфы обеспечивают оптимальный уровень компрессии, что способствует улучшению кровообращения и повышению доставки кислорода к мышцам, тем самым снижая мышечную усталость и ускоряя восстановление после нагрузок. Высококачественные материалы и современная технология вязки гарантируют отличную воздухопроницаемость и отведение влаги, поддерживая комфорт и сухость даже во время интенсивных тренировок. Гольфы анатомически корректно сидят на ноге, а эластичность ткани обеспечивает надежную посадку без сдавливания. Усиленные зоны в ключевых областях повышают износостойкость и обеспечивают поддержку стопы и голеностопа. Cep Socks — это ваш надежный партнер в достижении новых спортивных высот.</t>
  </si>
  <si>
    <t>76% полиамид, 12% шерсть мериноса, 12% эластан</t>
  </si>
  <si>
    <t>HIKING LIGHT CUSHION SOCKS, MID CUT - MEN</t>
  </si>
  <si>
    <t>C516UM-2G</t>
  </si>
  <si>
    <t>C516UM-52</t>
  </si>
  <si>
    <t>HIKING LIGHT CUSHION SOCKS, MID CUT - WOMEN</t>
  </si>
  <si>
    <t>C516UW-2G</t>
  </si>
  <si>
    <t>Женские носки CEP Hiking Light Cushion Socks — это идеальное сочетание комфорта и функциональности для любительниц походов и активного образа жизни. Разработанные специально для длительных прогулок, они обеспечивают великолепную поддержку и амортизацию благодаря легкой подушечке. Технологичная ткань эффективно отводит влагу, обеспечивая ощущение сухости и свежести на протяжении всего дня. Анатомическая конструкция и обтягивающий крой гарантируют отличную посадку и предотвращают образование складок и натираний. Усиленные зоны на пятке и носке повышают долговечность, а эластичные манжеты надежно фиксируют носки на ноге. Эти носки станут незаменимым спутником в ваших приключениях, обеспечивая комфорт и защиту с каждым шагом.</t>
  </si>
  <si>
    <t>C516UW-52</t>
  </si>
  <si>
    <t>CEP PRO compression knee socks</t>
  </si>
  <si>
    <t>CR26PM-5</t>
  </si>
  <si>
    <t>Компрессионные носки CEP PRO обладают более высоким уровнем компрессии, чем базовые модели, поэтому они подойдут для восстановления после интенсивных физических нагрузок профессиональных спортсменов, перелетов, путешествий и использования в обычной жизни. Специальный спортивный уровень давления усиленно поддерживает тонус мышц, ускоряет кровообращение, эффективно выводит токсины из мышц и уменьшает отеки и боль в ногах. Во время длительных поездок и перелетов гольфы обеспечат безопасность и комфорт, предотвращая застои крови и снижая риск венозного тромбоза. Анатомическая вязка обеспечивает идеальное прилегание изделия к коже, комфорт в обуви и надежную фиксацию на ноге. Ионы серебра в структуре ткани эффективно борются с неприятным запахом и создают антибактериальный эффект. Уникальная технология вязки из дышащих материалов способствует оптимальной воздухопроницаемости. Для обеспечения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</si>
  <si>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63% полиамид, 37% эластан</t>
  </si>
  <si>
    <t>CS152U-3</t>
  </si>
  <si>
    <t>Компрессионная гетра CEP на коленный сустав, средняя поддержка</t>
  </si>
  <si>
    <t>НАКОЛЕННИК СО СРЕДНЕЙ ПОДДЕРЖКОЙ: АКТИВАЦИЯ КЛЕТОК И БОЛЬШАЯ СТАБИЛЬНОСТЬ.
Колено является стержнем опорно-двигательного аппарата в любом виде спорта, требующем выносливости. С Mid Support Knee Sleeve от CEP вы поддерживаете коленный сустав и мышцы компрессией. Функциональная коленная повязка стимулирует клетки, улучшает чувствительность и обеспечивает стабильность и поддержку. Наколенник сидит удобно и не скользит. Поддерживайте колено во время интенсивных тренировок и получайте пользу от эффективной регенерации с помощью наколенника со средней поддержкой.
Стабильность и комфорт во время тренировки. 
Коленный бинт средней поддержки имеет анатомическую форму. Благодаря компрессионному эффекту и предварительно сформированному углублению в колене он плотно прилегает и, таким образом, оптимально поддерживает коленный сустав и мышцы во время интенсивных занятий спортом. Это дает вам больше контроля над вашими движениями и позволяет вам работать наилучшим образом.
Оптимальная фиксация, отсутствие скольжения. 
техника без швов обеспечивает высокий комфорт при ношении, благодаря чему ничего не пережимается и не образуются заломы. Систематически используемые силиконовые точки на кромке и плотная посадка обеспечивают оптимальную поддержку. Mid Support Knee Sleeve изготовлен из дышащего материала, который позволяет воздуху циркулировать. Таким образом, вы можете посвятить себя тренировкам, не беспокоясь о соскальзывании аксессуаров или накоплении тепла.
Улучшенная чувствительность за счет активации клеток. 
Компрессия обеспечивает улучшение кровообращения и повышение чувствительности в суставе и мышцах. Таким образом, вы сможете проводить тренировки еще точнее и эффективнее восстанавливать силы.</t>
  </si>
  <si>
    <t>47% полиамид, 35% полиэстер, 18% эластан</t>
  </si>
  <si>
    <t>CEP Gloves</t>
  </si>
  <si>
    <t>CB949U-5</t>
  </si>
  <si>
    <t>Перчатки флисовые</t>
  </si>
  <si>
    <t>Перчатки</t>
  </si>
  <si>
    <t>Черные флисовые спортивные перчатки CEP представляют собой идеальное сочетание тепла, комфорта и функциональности для активных людей. Изготовленные из высококачественного флиса, они эффективно сохраняют тепло, обеспечивая при этом отличную воздухопроницаемость, чтобы ваши руки оставались сухими даже при интенсивных нагрузках.
Особенности:
- Тепло и комфорт: Флисовый материал обеспечивает отличную теплоизоляцию, защищая руки от холода в прохладную погоду.
- Дышащий материал: Перчатки позволяют коже дышать, предотвращая перегрев и потоотделение.
- Эргономичный дизайн: Анатомический крой обеспечивает идеальную посадку по руке и свободу движений.
- Совместимость с сенсорными экранами: Специальные вставки на кончиках пальцев позволяют пользоваться смартфоном или планшетом, не снимая перчаток.
- Антискользящие элементы: Усиленные вставки на ладонях обеспечивают надежный хват и дополнительную износостойкость.
- Светоотражающие детали: Для дополнительной безопасности в условиях низкой видимости.
Идеальны для:
- Бега и занятий спортом на открытом воздухе
- Пеших прогулок и туризма
- Езды на велосипеде
- Повседневного использования в городе
Стильный черный цвет перчаток CEP легко сочетается с любой спортивной одеждой, делая их универсальным аксессуаром в вашем гардеробе. Оцените качество и продуманный дизайн, которые помогут вам оставаться активными и защищенными в любую погоду.</t>
  </si>
  <si>
    <t>MID SUPPORT COMPRESSION – KNEE SLEEVE</t>
  </si>
  <si>
    <t>CS152U-G</t>
  </si>
  <si>
    <t>Суппорт</t>
  </si>
  <si>
    <t>НАКОЛЕННИК СО СРЕДНЕЙ ПОДДЕРЖКОЙ: АКТИВАЦИЯ КЛЕТОК И БОЛЬШАЯ СТАБИЛЬНОСТЬ.
Колено является стержнем опорно-двигательного аппарата в любом виде спорта, требующем выносливости. С Mid Support Knee Sleeve от CEP вы поддерживаете коленный сустав и мышцы компрессией. Функциональная коленная повязка стимулирует клетки, улучшает чувствительность и обеспечивает стабильность и поддержку. Наколенник сидит удобно и не скользит. Поддерживайте колено во время интенсивных тренировок и получайте пользу от эффективной регенерации с помощью наколенника со средней поддержкой.
Стабильность и комфорт во время тренировки. 
Коленный бинт средней поддержки имеет анатомическую форму. Благодаря компрессионному эффекту и предварительно сформированному углублению в колене он плотно прилегает и, таким образом, оптимально поддерживает коленный сустав и мышцы во время интенсивных занятий спортом. Это дает вам больше контроля над вашими движениями и позволяет вам работать наилучшим образом.
Оптимальная фиксация, отсутствие скольжения. 
те</t>
  </si>
  <si>
    <t>CORE RUN ULTRALIGHT SLEEVES, ARM, SHORT</t>
  </si>
  <si>
    <t>CU70U-0</t>
  </si>
  <si>
    <t>Рукава</t>
  </si>
  <si>
    <t>Компрессионные рукава CEP CU70U Run Ultralight Short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</si>
  <si>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76% полиамид, 24% эластан</t>
  </si>
  <si>
    <t>CU70U-5</t>
  </si>
  <si>
    <t>CORE RUN ULTRALIGHT SLEEVES, ARM, LONG</t>
  </si>
  <si>
    <t>CU71U-0</t>
  </si>
  <si>
    <t>Компрессионные рукава CEP CU71U Run Ultralight Long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</si>
  <si>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CU71U-5</t>
  </si>
  <si>
    <t>CORE RUN THERMAL TIGHTS - MEN</t>
  </si>
  <si>
    <t>C625TM-5</t>
  </si>
  <si>
    <t>Термобелье (низ)</t>
  </si>
  <si>
    <t>Термолегкие тайтсы Core Run Thermo Tights обеспечивают эффективную защиту бегуна в холода. Изделие подходит как для ежедневных пробежек, так и для длительных дистанций.
Легкие компрессионные вставки имеют анатомическую посадку, поддерживают суставы и мышц. Компрессия улучшает кровообращение, ускоряет восстановление мышц между тренировками. Мягкая ткань с начесом сохраняет тепло и воздухопроницаемость, а ветроустойчивый материал дополнительно защищает от непогоды и порывов ветра. Благодаря светоотражающим элементам можно безопасно бегать в темное время суток или условиях низкой освещенности.
Карман на молнии для мелочей (телефона, наушников, ключей) позволяет чувствовать себя комфортно на пробежке.
Свойства и преимущества:
спортивная компрессия улучшает микроциркуляцию в мышцах, минимизирует изнурительные мышечные вибрации;
ткань с начесом сохраняет тепло и воздухопроницаемость, а ветрозащитный материал защищает от непогоды;
анатомическая посадка по фигуре не сковывает движения;
регулируемый пояс со шнурком гарантирует надежную посадку;
светоотражающие элементы на голени повышают безопасность в темное время суток;
мягкие и плоские швы обеспечивают комфорт при соприкосновении с кожей;
задний карман с молнией для мелочей позволяет полностью сосредоточиться на пробежке;</t>
  </si>
  <si>
    <t>91% полиэстер, 9% эластан</t>
  </si>
  <si>
    <t>CORE RUN THERMAL TIGHTS - WOMEN</t>
  </si>
  <si>
    <t>C625TW-5</t>
  </si>
  <si>
    <t>CORE RUN WINDBREAKER - MEN</t>
  </si>
  <si>
    <t>CT88M-5</t>
  </si>
  <si>
    <t>Ветровка CEP Core Run создана для высокой результативности в межсезонье: она сочетает лёгкую ветрозащитную ткань с продуманно расположенными сетчатыми зонами для оптимальной воздухопроницаемости. Удлинённый воротник обеспечивает дополнительную защиту от непогоды, а эргономичные линии кроя и свободный силуэт гарантируют свободу движений и комфорт в течение всего дня. Разработанный специально для бегунов, этот жакет оснащён рукавами реглан для максимальной подвижности в плечах, эластичными манжетами для плотной посадки и регулируемым шнурком по низу — чтобы вы могли настроить посадку под себя. Светоотражающие элементы с логотипом повышают видимость в условиях недостаточной освещённости, а множество карманов для хранения, включая три удобных застёгивающихся на молнию кармана, надёжно фиксируют все необходимое во время пробежки.
Лёгкий и ветрозащитный: надёжно защищает от ветра и осадков, не нарушая воздухообмена.
Продуманная вентиляция: сетчатые вставки улучшают циркуляцию воздуха, сохраняя прохладу и комфорт.
Эргономичный и свободный крой: расслабленный силуэт обеспечивает полную свободу движений во время бега и тренировок.
Высокий воротник: дополнительная защита от ветра и холода.
Рукава реглан: улучшают подвижность в плечевом поясе для естественной беговой механики.
Регулируемые элементы: эластичные манжеты и шнурок по низу позволяют точно настроить посадку.
Светоотражающие детали: повышают безопасность за счёт лучшей заметности в темноте и сумерках.
Вместительные карманы: три кармана на молниях надёжно удерживают ключи, телефон и другие мелочи.</t>
  </si>
  <si>
    <t>100% полиамид | 96% полиэстер, 4% эластан</t>
  </si>
  <si>
    <t>CORE RUN SHIRT, SHORT SLEEVE</t>
  </si>
  <si>
    <t>CT80W-5</t>
  </si>
  <si>
    <t>CEP CT80W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</si>
  <si>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57% полиэстер, 32% кофейное волокно, 11% спандекс</t>
  </si>
  <si>
    <t>CT80W-I</t>
  </si>
  <si>
    <t>CT80W-W</t>
  </si>
  <si>
    <t>CT80M-2</t>
  </si>
  <si>
    <t>CEP CT80M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</si>
  <si>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CORE RUN SHIRT, SLEEVELESS</t>
  </si>
  <si>
    <t>CT82M-5</t>
  </si>
  <si>
    <t>CEP CT82M – ультралёгкая майка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</si>
  <si>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CEP Tee</t>
  </si>
  <si>
    <t>C845MM-5</t>
  </si>
  <si>
    <t>Ультралёгкая футболка CEP</t>
  </si>
  <si>
    <t>УЛЬТРАЛЕГКАЯ ФУТБОЛКА С ДЛИННЫМИ РУКАВАМИ
ОБЛАСТЬ ПРИМЕНЕНИЯ
Фитнес, легкая и тяжелая атлетика, беговые и игровые виды спорта, триатлон, велоспорт, спортивные дисциплины на выносливость
КЛЮЧЕВЫЕ ЭФФЕКТЫ
- Легкость и комфорт во время занятий спортом
СВОЙСТВА И ПРЕИМУЩЕСТВА
- Чрезвычайно легкий и приятный на ощупь материал
- Охлаждающий эффект благодаря гидрофильной обработке ткани
- Дизайн с учетом анатомического строения тела обеспечивает плотное прилегание к поверхности кожи, не сковывая движения и грудную клетку
- Ткань с минимальным количеством швов не давит и не натирает кожу
- Специальная вязка из дышащего и быстро высыхающего волокна Nilit Aquarius обеспечивает быстрый вывод влаги с поверхности тела и превосходный воздухоообмен
СОСТАВ МАТЕРИАЛА
Полиамид, полиэстер</t>
  </si>
  <si>
    <t>Полиамид – 67%, полиэстер – 33%</t>
  </si>
  <si>
    <t>CORE RUN SHIRT, LONG SLEEVE, 5.0 - MEN</t>
  </si>
  <si>
    <t>CT81M-5</t>
  </si>
  <si>
    <t>Универсальная базовая кофта, созданная для комфортного бега и тренировок в любых условиях. Модель сочетает в себе легкость, функциональность и продуманный дизайн, обеспечивая идеальный баланс между воздухопроницаемостью и защитой.
Модель изготовлена из высококачественной сетчатой ткани, поэтому гарантирует максимальную вентиляцию и эффективное отведение влаги от тела. Свободный крой обеспечивает естественную свободу движений и комфорт при любой активности - от коротких пробежек до длительных тренировок. Для дополнительной безопасности в условиях низкой освещенности предусмотрен светоотражающий логотип CEP.</t>
  </si>
  <si>
    <t>Cep Tee</t>
  </si>
  <si>
    <t>C84BTM-5</t>
  </si>
  <si>
    <t>Утепленная футболка СЕР с длинным рукавом, мужская</t>
  </si>
  <si>
    <t>Утепленный лонгслив CEP с длинным рукавом для холодной погоды удобно надевается под любую футболку CEP, сохраняя тепло благодаря сочетанию материалов, удерживающим тепло. Вентиляционные отверстия спереди и по бокам футболки поддерживают движение воздуха, чтобы кожа оставалась свежей во время тренировки.</t>
  </si>
  <si>
    <t>73% полиамид, 24% полиэстер, 3% спандекс</t>
  </si>
  <si>
    <t>CT80M-5</t>
  </si>
  <si>
    <t>CT82M-2</t>
  </si>
  <si>
    <t>CEP T-shirt</t>
  </si>
  <si>
    <t>C821W-5</t>
  </si>
  <si>
    <t>Футболка CEP ультралёгкая без рукавов, женская</t>
  </si>
  <si>
    <t>Беговая майка Run Ultralight создана, чтобы повысить комфорт и результаты ваших беговых тренировок в жаркие летние дни. Независимо от того, бегаете ли вы на длинные дистанции или короткие - в ультралегкой беговой футболке вы сможете достичь новых личных рекордов. Здесь все, от материала до деталей, отличается высокими эксплуатационными характеристиками, чтобы вы могли полностью сосредоточиться на результате своей тренировки.
Особенности:
Анатомический крой и ультралегкие эластичные материалы обеспечивают идеальное облегание по фигуре, исключая трение во время интенсивных тренировок.
Бесшовные технологии.
Светоотражающие элементы SMART Reflective с эффектом «кошачий глаз» обеспечивают безопасность в темноте и снижают риск того, что велосипедисты или водители вас не заметят.
Чрезвычайно легкий материал кажется воздушным даже и обеспечивает комфорт при высоких температурах, специальная структура ткани увеличивает воздухопроницаемость.
Вязка из дышащих и быстросохнущих материалов обеспечивает оптимальный влаго- и теплообмен.
Лазерная перфорация и сетчатые вставки на спине и в области предплечья для лучшей воздухопроницаемости
Футболка Run Ultralight с длинным рукавом имеет запатентованное покрытие UVProtection, которое защищает вашу кожу от ультрафиолетового излучения.</t>
  </si>
  <si>
    <t>90% полиамид, 10% эластан</t>
  </si>
  <si>
    <t>C801M-5</t>
  </si>
  <si>
    <t>Футболка CEP ультралёгкая с короткими рукавами</t>
  </si>
  <si>
    <t>Футболка выполнена из ультралегкого, практически невесомого материала. Силуэт продуман с учетом анатомического строения тела, плотно облегает, но не сковывает движений. Мягкая бесшовная ткань приятна на ощупь и предотвращает возможность натирания кожи.
На спине и в области предплечий предусмотрена лазерная перфорация и сетчатые вставки для дополнительной вентиляции. Гидрофильная обработка и особая структура ткани обеспечивают быстрый отвод влаги с поверхности тела и дарят приятный охлаждающий эффект.
Светоотражающие элементы с эффектом "кошачий глаз" Smart Reflective повышают безопасность тренировок в темное время суток.</t>
  </si>
  <si>
    <t>CEP Jogging hat</t>
  </si>
  <si>
    <t>CB941U-0</t>
  </si>
  <si>
    <t>Шапка CEP флисовая, универсальная</t>
  </si>
  <si>
    <t>Шапки</t>
  </si>
  <si>
    <t>Удобная шапка из микрофлиса поможет сохранить тепло в холода: с первых прохладных дней и до праздничных морозов. А самое главное, что с ней не нужно заранее планировать свой день. Обычная прогулка может легко превратиться в пробежку по вашему желанию. Воздухопроницаемый материал быстро впитает лишнюю влагу и высохнет. Так что вы сможете наслаждаться природой столько, сколько захотите.</t>
  </si>
  <si>
    <t>CB941U-3</t>
  </si>
  <si>
    <t>CB941U-5</t>
  </si>
  <si>
    <t>CEP BUFF</t>
  </si>
  <si>
    <t>CB947U-0</t>
  </si>
  <si>
    <t>Бафф</t>
  </si>
  <si>
    <t>Шарфы</t>
  </si>
  <si>
    <t>Бафф для тренировок на улице, который защитит от холода и ветра. Изготовлен из функциональной ткани, имеющей гладкую поверхность с внешней стороны и теплый флисовый слой с изнанки.
Изделие обладает хорошей эластичностью: растягивается во время надевания, но при этом быстро восстанавливает первоначальную форму.
Комфортная температура использования: от –5 до –15°С.</t>
  </si>
  <si>
    <t>CB947U-3</t>
  </si>
  <si>
    <t>CB947U-5</t>
  </si>
  <si>
    <t>CB947U-H</t>
  </si>
  <si>
    <t>CEP Shorts</t>
  </si>
  <si>
    <t>C48W-5</t>
  </si>
  <si>
    <t>Функциональные шорты CEP 2 в 1, женские</t>
  </si>
  <si>
    <t>Специально для тех, кто не мыслит свою жизнь без спорта, разработаны компрессионные шорты CEP 2 в 1. Эти шорты состоят из внешних и внутренних шортов. Внутренние шорты компрессионные, равномерно распределяющие компрессию в области бедра с помощью технологии TightFit. Градуированная спортивная компрессия улучшает тонус мышц, ускоряет кровообращение, повышает выносливость и улучшает координацию. Внешние шорты Loose Fit со свободным кроем придают изделию отличный внешний вид. Они отличаются анатомическим пошивом, не стесняют движения и не мешают им.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Для дополнительного удобства в крой добавлен скрытый задний карман с молнией. Сверхплоские швы не натрут кожу и не окажут лишнего давления.</t>
  </si>
  <si>
    <t>CEP TIGHTFIT. Компрессия.</t>
  </si>
  <si>
    <t>90% полиэстер, 10% эластан, материал вставки: 65% полиамид, 35% эластан</t>
  </si>
  <si>
    <t>46-46</t>
  </si>
  <si>
    <t>CORE RUN SHORTS, LOOSE FIT</t>
  </si>
  <si>
    <t>CT45M-N</t>
  </si>
  <si>
    <t>CEP CT45M – лёгкие шорты для соревнований и тренировок. Выполнены из быстросохнущей эластичной ткани, оснащены внутренними трусами и тремя карманами.
• область применения: бег, фитнес, легкая атлетика, беговые и игровые виды спорта, спортивные дисциплины на выносливость;
• материал: верхние шорты – 100% полиамид/внутренние трусы - 92% полиэстер, 8% эластан;
• пояс регулируется встроенным шнуром;
• два кармана по бокам;
• карман на молнии в области поясницы;
• светоотражающие элементы для видимости в условиях плохой освещенности.</t>
  </si>
  <si>
    <t>верхние шорты – 100% полиамид/внутренние трусы - 92% полиэстер, 8% эластан</t>
  </si>
  <si>
    <t>C48M-5</t>
  </si>
  <si>
    <t>Функциональные шорты CEP 2 в 1, мужские</t>
  </si>
  <si>
    <t>90% полиэстер, 10% эластан</t>
  </si>
  <si>
    <t>Cep Shorts</t>
  </si>
  <si>
    <t>C4UW-0</t>
  </si>
  <si>
    <t>Эти тонкие, эластичные шорты идеально облегают тело и отлично подходят для надевания под верхний слой спортивной экипировки, что незаменимо для спортсменов. Легкая поддерживающая компрессия стабилизирует и повышает проприоцептивную чувствительность мышц. Предусмотренные в изделии плоские швы и мягкие края не раздражают кожу и избавляют ее от стягивания и натираний. Созданные из эластичной ткани, шорты не сковывают движения, а разнообразие расцветок станет приятным бонусом к другим преимуществам.</t>
  </si>
  <si>
    <t>62% полиамид, 38% эластан</t>
  </si>
  <si>
    <t>CT45M-5</t>
  </si>
  <si>
    <t>CORE RUN SHORTS, LOOSE FIT - WOMEN</t>
  </si>
  <si>
    <t>CT45W-5</t>
  </si>
  <si>
    <t>Линия Core сочетает в себе проверенные материалы и высокий комфорт при ношении, обеспечивая оптимальную поддержку и функциональность. При этом универсальность является главным приоритетом – продукция идеально подходит для различных целей и интенсивности тренировок.
Воздухопроницаемые шорты свободного кроя CEP Core Run обеспечивают максимальную свободу движений. Поддерживающие внутренние трусики обеспечивают максимальный комфорт и надежную фиксацию при каждом движении. Благодаря регулируемому поясу шорты всегда остаются на месте, независимо от интенсивности тренировки. Свобода движений, необходимая для сложных пробежек, обеспечивается боковыми вентиляционными отверстиями.
Для дополнительного удобства шорты имеют скрытый карман на молнии, чтобы вы не беспокоились за предметы первой необходимости (ключи, смартфон, карточку) и сосредоточились на тренировке. Встроенный крючок надежно зафиксирует ключи от дома.
Свойства и преимущества:
Ткань, которая не пропускает ветер, обеспечивая при этом защиту и воздухопроницаемость.
Специальный карман для смартфона.
Светоотражающие детали логотипа CEP для лучшей видимости в ночное время.
Легкодоступные карманы на молнии для ценных вещей.
Встроенный зажим надежно удерживает ключи.
Поддерживающие внутренние трусики для комфорта и надежной посадки.
Регулируемый пояс со шнурком для идеальной посадки и свободы движения.
Эргономичные боковые разрезы для большей свободы движений.</t>
  </si>
  <si>
    <t>CU41M-5</t>
  </si>
  <si>
    <t>Компрессионные шорты</t>
  </si>
  <si>
    <t>Используйте весь свой потенциал даже во время интенсивных нагрузок благодаря спортивным шортам CEP. Сочетание ультралегких материалов и функциональных деталей приведет вас к лучшим результатам.
С каждым шагом мышцы бедер вибрируют, что заставляет вас тратить больше энергии, чем необходимо, и, соответственно, вы быстрее устаете. Благодаря инновационной технологии материала TightFit компрессионные шорты CEP эффективно противодействуют лишним вибрациям, поддерживая мышцы. Это дает больше энергии, поэтому ваша эффективность будет выше, а сил затрачено меньше.
Ячеистая структура материала обеспечивает оптимальный температурный баланс, кожа остается сухой, но при этом присутствует освежающий эффект. Шорты имеют плоские швы и широкий пояс, который не давит даже при интенсивной тренировке. Кроме того, регулируемый пояс со шнурком и анатомический силуэт особой вязки препятствуют сползанию изделия при движениях. Сзади модели имеется удобный карман для мелочей - телефона, ключа или банковской карточки. Вместе все эти детали создают превосходный комфорт, поэтому вы можете полностью сосредоточиться на беге.
Свойства и преимущества:
компрессионные шорты поддерживают мышцы бедер, минимизируя изнурительные мышечные вибрации;
легкие, дышащие материалы обеспечивают эффективный влаго- и теплообмен;
широкий регулируемый пояс с плоским нескользящим шнурком для надежной фиксации;
анатомический крой изделия и особая технология вязки гарантируют идеальную посадку по фигуре;
карман сзади модели для мелочей.
Состав изделия:
основной материал - 58% полиамид, 42% эластан;
сетчатый материал - 82% полиамид, 18% эластан.</t>
  </si>
  <si>
    <t>основной - 58% полиамид, 42% эластан; вставки - 82% полиамид, 18% эластан</t>
  </si>
  <si>
    <t>TROUSERS CAS  F475</t>
  </si>
  <si>
    <t>4FAW23TTROF475-56S</t>
  </si>
  <si>
    <t>Женские спортивные брюки Джоггеры из мягкого, утепленного трикотажа с высоким содержанием хлопка.
Имеют прямые штанины на резинке и два удобных боковых кармана. Их крой обеспечит комфорт во время повседневных занятий в холодные дни.
Спортивные брюки с карманами - ХАРАКТЕРИСТИКИ:
внутренняя часть с начесом поддерживает тепловой комфорт,
эластичный пояс со шнурками для регулировки,
2 боковых открытых кармана,
прямые штанины с резинками,
приятный на ощупь трикотаж с высоким содержанием хлопка.
Карманы : с карманами, открытые. 
Талия : средняя посадка. 
Брюки : прямые, с резинкой. 
Подкладка : с начесом внутри. 
Застежка : завязки.</t>
  </si>
  <si>
    <t>78% хлопок, 22% полиэстер</t>
  </si>
  <si>
    <t>TROUSERS CAS  F229</t>
  </si>
  <si>
    <t>4FSS23TTROF229-56S</t>
  </si>
  <si>
    <t>Женские спортивные штаны . Они изготовлены из мягкого и неутепленного трикотажа с высоким содержанием хлопка.
У них зауженные штанины с широкой резинкой и регулируемый эластичный пояс. Это делает их идеальными для повседневной носки.
Женские спортивные штаны-джоггеры - ХАРАКТЕРИСТИКИ:
эластичный пояс с завязками,
2 открытых боковых кармана,
штанины с широкими эластичными манжетами,
приятный на ощупь трикотаж с высоким содержанием хлопка.</t>
  </si>
  <si>
    <t>77% хлопок, 23% полиэстер</t>
  </si>
  <si>
    <t>TROUSERS FNK  M294</t>
  </si>
  <si>
    <t>4FSS23TFTRM294-23S</t>
  </si>
  <si>
    <t>Мужские быстросохнущие тренировочные штаны. Изготовлены из эластичного трикотажа, чтобы вам было комфортно во время тренировки.
Влага испаряется во время активности благодаря технологии 4FDry с быстросохнущими волокнами.
Мужские спортивные брюки  - ХАРАКТЕРИСТИКИ:
2 боковых кармана на молнии,
эластичный пояс с внутренним шнурком для легкой регулировки,
слегка зауженные штанины,  технология 4FDry для отвода влаги наружу.</t>
  </si>
  <si>
    <t>полиэстер 92%, эластан 8%</t>
  </si>
  <si>
    <t>TIGHTS CAS  F108</t>
  </si>
  <si>
    <t>4FAW23TTIGF108-20S</t>
  </si>
  <si>
    <t>Женские трикотажные леггинсы из хлопка с добавлением эластана. Они имеют повышенную посадку и эластичный пояс, удерживающий леггинсы на месте.
Они будут удобно прилегать к телу, обеспечивая при этом полную свободу движений.
Женские трикотажные леггинсы - ХАРАКТЕРИСТИКИ:
длина до лодыжки,
удобная посадка удерживает леггинсы на месте,
эластичная резинка в поясе обеспечивает плотное прилегание,
мягкий хлопок с добавлением эластана для повседневного комфорта.
без карманов,
высокая посадка</t>
  </si>
  <si>
    <t>95% хлопок, 5% эластан</t>
  </si>
  <si>
    <t>WOMEN'S TROUSERS SPDD013</t>
  </si>
  <si>
    <t>H4Z22-SPDD013-52S</t>
  </si>
  <si>
    <t>Женские спортивные штаны из мягкого трикотажа с добавлением эластана.
Имеют зауженные штанины и удобные карманы по бокам. Это делает их идеальными для повседневного использования.
Женские джоггеры - ХАРАКТЕРИСТИКИ:
эластичный пояс с кулиской для регулировки,
2 открытых кармана по бокам,
конические ножки,
приятная на ощупь ткань с эластаном.</t>
  </si>
  <si>
    <t>71% полиэстер, 25% вискоза, 4% эластан</t>
  </si>
  <si>
    <t>TIGHTS CAS  F041</t>
  </si>
  <si>
    <t>4FSS23TTIGF041-64S</t>
  </si>
  <si>
    <t>Женские короткие леггинсы из трикотажа в рубчик.
Стильный дизайн велосипедок подчеркнет вашу женственность, создавая изящную силуэтную линию. Они имеют высокую посадку, которая обеспечивает оптимальную поддержку и комфорт при занятии спортом, а также добавляет уверенности и стиля. 
Плоские швы обеспечат вам комфорт во время занятий.
Женские велосипедки в рубчик - ХАРАКТЕРИСТИКИ:
широкий пояс для плотной посадки,
плоские швы для предотвращения натирания,
из эластичного трикотажа в рубчик.</t>
  </si>
  <si>
    <t>полиамид 78%, эластан 22%</t>
  </si>
  <si>
    <t>WOMEN'S KNITTED TROUSERS</t>
  </si>
  <si>
    <t>H4Z20-SPDD012-20S</t>
  </si>
  <si>
    <t>Женские длинные спортивные штаны из мягкого и эластичного трикотажа обеспечивают спортивный стиль и комфорт во время повседневных занятий или тренировок с низкой интенсивностью.
ПРЕИМУЩЕСТВА:
интерьер без подкладки,
2 открытых кармана для рук,
прямые ноги,
эластичный пояс с внешним шнуром для регулировки позволяет индивидуальную подгонку,
мягкая трикотажная ткань с добавлением эластана для дополнительного комфорта и свободы движений.</t>
  </si>
  <si>
    <t>72% полиэстер 23% вискоза 5% эластан</t>
  </si>
  <si>
    <t>DOWN JACKET  M348</t>
  </si>
  <si>
    <t>4FWAW23TDJAM348-44S</t>
  </si>
  <si>
    <t>Мужской пуховик с синтетическим наполнителем.
Мы добавили гидрофобное покрытие, чтобы предотвратить впитывание лишней влаги.
Мужской пуховик с синтетическим наполнителем - ХАРАКТЕРИСТИКИ:
свободный крой с широкой стежкой,
удобный воротник для защиты от ветра,
манжеты на резинке,
боковые карманы на молнии,
внутренний карман на липучке,
односторонняя молния с внутренней ветрозащитной планкой,
нижний край можно регулировать эластичным шнурком со стопором,
водоотталкивающее внешнее тканевое покрытие предотвращает впитывание влаги внутрь,
синтетический пуховой наполнитель обеспечивает оптимальный тепловой комфорт.
Особенности куртки : гидрофобная пропитка, с утеплителем.
Длина : обычная. 
Карманы : с карманами, внутренний, карман на молнии, карман на липучке.
Капюшон : без капюшона.
Подкладка : полиэстер. 
Утеплитель : синтетический пух.
Застежка : молния.</t>
  </si>
  <si>
    <t>DOWN JACKET  M249</t>
  </si>
  <si>
    <t>4FAW23TDJAM249-32S</t>
  </si>
  <si>
    <t>Мужской пуховик с синтетическим наполнителем . Идеально подходит для повседневного использования.
Он согреет вас в холодные дни благодаря синтетическому пуху и широкой стежке.
А встроенный регулируемый капюшон на воротнике-стойке обеспечит еще большую защиту от холода. Молния с двойной ветрозащитной планкой.
В карманах можно хранить все необходимое. Чтобы защитить вас от дождя, мы также пропитали ткань водоотталкивающей пропиткой.
Стеганая куртка с капюшоном - ОСОБЕННОСТИ:
стандартная длина,
подкладка из полиэстера,
боковые карманы на молнии,
внутренний карман на молнии,
основная молния с внутренней и внешней планкой на кнопках,
регулируемый подол с помощью шнура со стопорами,
встроенный капюшон с тройной регулировкой (по бокам и по глубине),
эластичные манжеты для защиты рук от холода,
высокий воротник для дополнительного тепла и комфорта,
синтетический пуховый утеплитель для тепла в холодные дни,
гладкая стеганая ткань с гидрофобной отделкой защищает от чрезмерного впитывания влаги.</t>
  </si>
  <si>
    <t>DOWN JACKET  M243</t>
  </si>
  <si>
    <t>4FAW23TDJAM243-61S</t>
  </si>
  <si>
    <t>Мужской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Мы обработали внешнюю ткань гидрофобным покрытием, чтобы предотвратить чрезмерное впитывание влаги. Удобный несъемный капюшон защитит от холода, а передние карманы позволят держать все необходимое под рукой.
Мужской пуховик с синтетическим наполнителем - ХАРАКТЕРИСТИКИ:
свободная посадка,
капюшон на воротнике-стойке с боковой регулировкой на стопорах,
эластичные манжеты,
2 боковых кармана на молнии + 1 внутренний карман на сенсорной застежке,
односторонняя молния с ветрозащитной внутренней ветрозащитной планкой,
регулируемый нижний край с эластичным шнурком со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</si>
  <si>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100% полиамид. наполнитель, 100% полиэстер</t>
  </si>
  <si>
    <t>4FWAW23TDJAM348-82S</t>
  </si>
  <si>
    <t>светло-коричневый</t>
  </si>
  <si>
    <t>4FAW23TDJAM243-36S</t>
  </si>
  <si>
    <t>MEN'S JACKET  KUMP007</t>
  </si>
  <si>
    <t>H4Z22-KUMP007-74S</t>
  </si>
  <si>
    <t>Пуховик с синтетическим наполнителем для мужчин . Идеально подходит для повседневной жизни зимой. Благодаря наполнителю из синтетического пуха обеспечивает тепловой комфорт в холодные дни.
Внутренние трикотажные манжеты и складки на молнии защитят от проникновения ветра в пальто.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двухзамковая основная молния с внутренним и внешним ветрозащитным клапаном,
встроенный капюшон с полной регулировкой объема и глубины,
наполнитель из синтетического пуха обеспечивает тепловой комфорт в холодные дни,
регулируемый низ с эластичными манжетами со стопорами,
внутренние трикотажные манжеты защищают от проникновения холода в пальто,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</si>
  <si>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100% полиэстер, синтепух</t>
  </si>
  <si>
    <t>DOWN JACKET  M246</t>
  </si>
  <si>
    <t>4FAW23TDJAM246-43S</t>
  </si>
  <si>
    <t>Мужское пуховое пальто с синтетическим наполнителем . Идеально подходит для зимних дней. Синтетический пуховый наполнитель и удлиненный крой выше колена обеспечат комфорт в холодные дни.
Встроенный регулируемый капюшон на воротнике-стойке также поможет защитить вас от холода. Застегивается на молнию с внутренней ветрозащитной планкой. Множество карманов на молнии позволяют держать все необходимое под рукой. Мы также нанесли на ткань водоотталкивающую обработку, чтобы защитить вас от плохих погодных условий.
Стеганое пальто - ОСОБЕННОСТИ:
длина выше колена,
2 боковых кармана и 2 нагрудных кармана на молнии,
внутренний карман на молнии,
основная молния защищена внутренней ветрозащитной планкой,
встроенный капюшон с регулировкой,
высокий воротник для дополнительной защиты и теплового комфорта,
светоотражающие элементы,
синтетический пуховый наполнитель для теплового комфорта в холодные дни,
гладкая стеганая ткань с гидрофобной отделкой способствует защите от чрезмерного впитывания влаги.</t>
  </si>
  <si>
    <t>хаки</t>
  </si>
  <si>
    <t>DOWN JACKET  F230</t>
  </si>
  <si>
    <t>4FAW23TDJAF230-83S</t>
  </si>
  <si>
    <t>Женский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Внешняя ткань обработана гидрофобным покрытием. Это предотвращает чрезмерное впитывание влаги.
Удобный несъемный капюшон защитит от холода. Передние карманы позволят держать все необходимое под рукой.
Женский пуховик - ХАРАКТЕРИСТИКИ:
более короткий и свободный крой,
несъемный капюшон, установленный на воротнике-стойке с боковой регулировкой стопорами,
эластичные манжеты,
2 открытых боковых кармана для мелочей,
односторонняя молния с ветрозащитной планкой,
регулируемый подол с эластичным шнурком и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</si>
  <si>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100% полиамид, наполнитель 100% полиэстер</t>
  </si>
  <si>
    <t>DOWN JACKET  F238</t>
  </si>
  <si>
    <t>4FAW23TDJAF238-42S</t>
  </si>
  <si>
    <t>Женское пальто-пуховик оверсайз с синтетическим наполнителем . 
Более длинный крой длиной до колена повышает тепловой комфорт, закрывая спину и бедра.
Зимняя куртка также имеет большой отстегивающийся капюшон и высокий воротник. Двусторонняя молния облегчает регулировку нижней части пальто, например, во время вождения. Пальто можно превратить в длинный жилет благодаря съемным рукавам.
Защиту от чрезмерного впитывания влаги обеспечивает наружная пропитка.
Женский пуховик оверсайз с синтетическим наполнителем – ХАРАКТЕРИСТИКИ:
линой до колена,
подкладка из полиэстера,
боковые карманы на молнии,
основная молния с внутренней и внешней ветрозащитной планкой,
съемный капюшон на кнопках,
широкий стеганый синтетический пух для теплого комфорта в холодные дни,
манжеты с внутренним эластичным шнурком,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</si>
  <si>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4FAW23TDJAM246-20S</t>
  </si>
  <si>
    <t>MEN'S JACKET</t>
  </si>
  <si>
    <t>H4Z22-KUMP010-74S</t>
  </si>
  <si>
    <t>Пуховик с синтетическим наполнителем для мужчин. Идеально подходит для повседневной жизни зимой. Благодаря наполнителю из синтетического пуха и длинному крою она обеспечит вам тепловой комфорт в холодные дни.
Также мы использовали гидрофобную пропитку материала, которая защитит вас от неблагоприятных погодных условий.
Пуховик с синтетическим наполнителем для мужчин - ХАРАКТЕРИСТИКИ:
вырез выше колена,
обширная система внешних карманов: 2 нагрудных кармана на молнии + двойные боковые карманы (2 открытых и 2 на кнопках),
внутренний карман на молнии,
двусторонняя основная молния с внутренней ветрозащитной планкой,
встроенный регулируемый капюшон,
наполнитель из синтетического пуха обеспечивает тепловой комфорт в холодные дни,
манжеты отделаны высокоэластичной тесьмой,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</si>
  <si>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4FAW23TDJAF238-20S</t>
  </si>
  <si>
    <t>TECHNICAL JACKET  F363</t>
  </si>
  <si>
    <t>4FAW23TTJAF363-20S</t>
  </si>
  <si>
    <t>Женская переходная куртка мембрана 5000. Изготовлена из водоотталкивающей ткани NeoDry.
Защиту от мороси и небольшого дождя обеспечивает мембрана NeoDry с водонепроницаемыми и воздухопроницаемыми параметрами 5000/3000 и проклеенные швы в наиболее открытых местах. Такое сочетание делает куртку идеальной для солнечных переходных дней.
Также имеется регулируемый капюшон для защиты от ветра. Рукава реглан обеспечивают полную свободу движений, повышая комфорт.
Куртку можно носить как дополнительный слой поверх утепленной одежды, например флиса.
Демисезонная куртка с капюшоном - ОСОБЕННОСТИ:
регулируемые манжеты на липучке,
подкладка из полиэстера,
рукава реглан для удобства движений,
2 боковых кармана на молнии,
внутренний карман на сенсорной и плотной застежке,
регулируемый подол с туннельным шнурком со стопорами, - мембрана NeoDry 5000/3000 для оптимальной защиты от небольшого дождя,
основная молния с ветрозащитной планкой и защитой подбородка,
встроенный капюшон с регулировкой глубины,
водоотталкивающая обработка и проклеенные критические швы для замедления впитывания влаги снаружи.
ПАРАМЕТРЫ :
Мембрана: NeoDry 5000
Гидроизоляция: 5000 мм H2O
Воздухопроницаемость: 3000 г/м2/24 часа.</t>
  </si>
  <si>
    <t>H4Z22-KUMP009-61S</t>
  </si>
  <si>
    <t>Пуховик с синтетическим наполнителем для мужчин. Идеально подходит для повседневной жизни зимой. Благодаря наполнителю из синтетического пуха и технологии 4FWarm обеспечит вам тепловой комфорт в холодные дни.
Складка на молнии защитит от проникновения ветра внутрь куртки.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основная молния защищена внутренней и внешней ветрозащитной планкой,
встроенный капюшон с полной регулировкой объема и глубины,
наполнитель из синтетического пуха и технология 4FWarm обеспечат тепловой комфорт в холодные дни,
низ регулируется эластичными манжетами со стопорами,
широкая стеганая ткань с водоотталкивающей пропиткой защищает от чрезмерного впитывания влаги.</t>
  </si>
  <si>
    <t>4FAW23TDJAM246-82S</t>
  </si>
  <si>
    <t>4FAW23TDJAM249-20S</t>
  </si>
  <si>
    <t>4FAW23TDJAF230-55S</t>
  </si>
  <si>
    <t>ярко-розовый</t>
  </si>
  <si>
    <t>H4Z22-KUMP007-44S</t>
  </si>
  <si>
    <t>WOMEN'S SKI JACKETS</t>
  </si>
  <si>
    <t>H4Z20-KUDN005-54S</t>
  </si>
  <si>
    <t>Куртка горнолыжная</t>
  </si>
  <si>
    <t>Женская лыжная куртка с капюшоном имеет водонепроницаемую и дышащую мембрану NeoDry 8000/5000, которая обеспечивает защиту от умеренного дождя или снегопада во время зимних занятий.
Водонепроницаемые швы и водоотталкивающая пропитка материала препятствуют чрезмерному впитыванию влаги при использовании.
ПРЕИМУЩЕСТВА:
4 внешних кармана на молнии: 2 по бокам + 1 нагрудный на ламинированной молнии + 1 абонемент на левый рукав,
система вентиляции подмышек на молнии,
удлиненные эластичные манжеты с отверстиями для большого пальца обеспечивают дополнительную защиту,
водонепроницаемая основная молния, застегивающаяся на внутренний ветрозащитный клапан
встроенный капюшон с боковой регулировкой 2D,
низ куртки регулируется туннельным рантом со стопором,
Манжеты на липучках,
утеплитель из полиэстера обеспечивает тепловой комфорт в холодные дни,
2 внутренних кармана: 1 сетчатый карман для очков + 1 карман на липучке для телефона с выходом для наушников,
Интегрированный нескользящий снежный пояс с застежкой-кнопкой предотвращает попадание снега и холода внутрь куртки.
ПАРАМЕТРЫ:
Мембрана: NeoDry 8000
Водонепроницаемость: 8000 мм / м2 / 24
часа Воздухопроницаемость: 5000 г / м2 / 24 часа</t>
  </si>
  <si>
    <t>VEST  M064</t>
  </si>
  <si>
    <t>4FAW23TVESM064-61S</t>
  </si>
  <si>
    <t>Жилет</t>
  </si>
  <si>
    <t>Мужской утепленный жилет на синтетическом пуху . Мы наполнили его легким синтетическим пухом, чтобы обеспечить вам тепловой комфорт во время повседневной деятельности.
Внешняя ткань обработана гидрофобным покрытием, чтобы замедлить впитывание влаги.
Жилет также имеет удобный капюшон с высоким воротником-стойкой для защиты от ветра и карманы для мелочей.
Пуховой жилет с капюшоном - ОСОБЕННОСТИ:
подкладка из полиэстера,
боковые карманы на молнии,
регулируемый капюшон, установленный на высоком воротнике,
подол с регулируемой туннельной кулиской со стопорами,
водоотталкивающая обработка ткани снижает впитывание внешней влаги,
основная молния с ветрозащитной планкой и защитой подбородка,
Синтетический пуховой наполнитель обеспечивает оптимальный тепловой комфорт во время использования.</t>
  </si>
  <si>
    <t>DOWN JACKET  F236</t>
  </si>
  <si>
    <t>4FAW23TDJAF236-20S</t>
  </si>
  <si>
    <t>Женское пуховое пальто с синтетическим наполнителем. Идеально подходит для повседневного зимнего стиля.
Обеспечивает комфорт в холодные дни благодаря синтетическому пуху и удлиненному крою.
Внутренние трикотажные манжеты и планка на двусторонней молнии защищают куртку от ветра.
Чтобы обеспечить вам защиту от непогоды, мы также обработали ткань водоотталкивающим покрытием.
Стеганое синтетическое пуховое пальто - ОСОБЕННОСТИ:
пуховик длиной до колена,
подкладка из полиэстера,
потайные передние карманы под планкой,
основная молния с внутренней и внешней ветрозащитной планкой,
встроенный капюшон с боковой регулировкой,
синтетический пуховой наполнитель для теплого комфорта в холодные дни,
внутренние трикотажные манжеты предотвращают попадание холода в пальто.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</si>
  <si>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4FAW23TDJAF236-64S</t>
  </si>
  <si>
    <t>WOMEN'S JACKETS</t>
  </si>
  <si>
    <t>H4Z21-KUDP011-56S</t>
  </si>
  <si>
    <t>Женский пуховик, идеально подходящий для повседневного зимнего образа. Он обеспечит тепловой комфорт в холодные дни благодаря наполнителю из синтетического пуха и более длинному крою. Внутренний ветрозащитный клапан и водоотталкивающее покрытие обеспечивают защиту от неблагоприятных погодных условий. ПРЕИМУЩЕСТВА: 2 открытых боковых кармана, встроенный капюшон с двухмерной регулировкой по бокам, удлиненные трикотажные манжеты с отверстием для большого пальца для дополнительной защиты, двусторонняя основная молния YKK с внутренним ветровым клапаном, наполнитель из синтетического пуха для теплового комфорта в холодные дни, высокий воротник и более длинная длина до колена обеспечивает дополнительное покрытие и тепловой комфорт, гладкий стеганый материал с гидрофобной отделкой защищает от чрезмерного впитывания влаги.</t>
  </si>
  <si>
    <t>TECHNICAL JACKET  F069</t>
  </si>
  <si>
    <t>4FJSS23TTJAF069-31S</t>
  </si>
  <si>
    <t>Ветрозащитная куртка softshell для девочки 5000 мембрана . Мы оснастили ее воздухопроницаемой мембраной NeoDry 5000/3000. Она обеспечит защиту от небольшого дождя.
Гидрофобная пропитка внешней ткани сведет к минимуму впитывание влаги, а стеганая панель спереди и сзади с синтетическим наполнителем обеспечит дополнительный тепловой комфорт.
Ветровка для девочки ХАРАКТЕРИСТИКИ:
рукава реглан для свободы движений,
манжеты с эластичным краем,
дышащая мембрана NeoDry 5000/3000 обеспечивает оптимальную защиту от легких осадков,
2 боковых кармана с застежкой-молнией,
слегка стеганая передняя панель, наполненная синтетическим пухом для дополнительной изоляции от холода и давления ветра,
встроенный нерегулируемый капюшон с эластичной окантовкой,
молния во всю длину с внутренней планкой и защитой подбородка,
водоотталкивающая пропитка ткани предотвращает чрезмерное впитывание внешней влаги.
ПАРАМЕТРЫ:
Мембрана: NeoDry 5000
Воздухопроницаемость: 3000 г/м2/24 часа</t>
  </si>
  <si>
    <t>Softshell. Защищает от непогоды.</t>
  </si>
  <si>
    <t>полиамид 100% набивка: полиэстер 100%</t>
  </si>
  <si>
    <t>MEN'S JACKETS</t>
  </si>
  <si>
    <t>H4Z20-KUMP008-20S</t>
  </si>
  <si>
    <t>Мужской пуховик наполнен синтетическим пухом, благодаря которому он обеспечит тепловой комфорт в более холодные дни. Водоотталкивающая пропитка внешнего материала замедляет впитывание влаги снаружи. Куртка предназначена для холодных дней. 
ПРЕИМУЩЕСТВА:
разрез выше колена,
нерегулируемые манжеты,
боковые ползунки позволяют индивидуально регулировать окружность,
2 боковых кармана на кнопках,
внутренний карман на молнии и выход для наушников,
застегивается на двухстороннюю молнию, застегивается на внутренний ветровой клапан,
встроенный капюшон с боковой регулировкой 2D,
утеплитель в виде синтетического пуха, расположенный в стеганых камерах, обеспечивает тепловой комфорт в холодные дни.
средний вес начинки делает куртку умеренно упаковываемой,
прочная ткань с водоотталкивающей пропиткой защищает от неблагоприятных погодных условий.</t>
  </si>
  <si>
    <t>H4Z21-KUDN001-27M</t>
  </si>
  <si>
    <t>Горные Лыжи</t>
  </si>
  <si>
    <t>Женская лыжная куртка с капюшоном имеет водонепроницаемую и дышащую мембрану NeoDry 5,000 / 3,000, которая обеспечивает защиту от небольшого дождя или снегопада. Капюшон с боковой регулировкой 2D;низ куртки регулируется туннельным рантом со стопором;манжеты на липучках;утеплитель из полиэстера обеспечивает тепловой комфорт в холодные дни;2 внутренних кармана: 1 сетчатый карман для очков + 1 карман на липучке;3 внешних кармана на молнии: 2 сбоку + 1 карман на левый рукав для абонемента.</t>
  </si>
  <si>
    <t>4F NeoDry. Мембрана.</t>
  </si>
  <si>
    <t>Зима</t>
  </si>
  <si>
    <t>100% полиэстер. утеплитель: 100% полиэстер</t>
  </si>
  <si>
    <t>BACKPACK  U140</t>
  </si>
  <si>
    <t>4FSS23ABACU140-46S</t>
  </si>
  <si>
    <t>Рюкзак спортивный</t>
  </si>
  <si>
    <t>Трекинговый рюкзак (40 л). Легко настраивается как для дальних, так и для коротких поездок благодаря множеству карманов и удобной системе регулировки.
Наружная ткань рип-стоп с двойной пропиткой уменьшает поглощение излишней влаги и увеличивает долговечность рюкзака.
Трекинговый рюкзак (40 л) - ХАРАКТЕРИСТИКИ:
вместимость: 40 л,
светоотражающие элементы,
ручка для переноски в руке,
внешний материал рип-стоп с двойной пропиткой увеличивает долговечность рюкзака,
петли внизу и спереди рюкзака и эластичные резинки со стопорами для крепления дополнительных аксессуаров
регулируемые плечевые лямки с подкладкой из структурной сетки и мягкий регулируемый набедренный ремень с набивкой на спине обеспечивают комфорт в длительных поездках,
регулируемый нагрудный ремень обеспечивает устойчивость рюкзака,
Система H20 - отверстие в корпусе для установки бака с водой (бак с трубкой не продается с рюкзаком)
просторное основное отделение с двусторонней молнией и открытым внутренним карманом,
2 открытых боковых кармана,
1 карман на молнии в верхней части рюкзака, на подкладке из мягкого трикотажа с дополнительным кольцом для ключей,
компрессионные лямки с кнопками для регулировки объема рюкзака,
Система циркуляции воздуха Air Con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50 х 24 х 16 см
Емкость: ок. 40 л</t>
  </si>
  <si>
    <t>BACKPACK  U191</t>
  </si>
  <si>
    <t>4FAW23ABACU191-23S</t>
  </si>
  <si>
    <t>Базовый рюкзак от бренда 4F.
Регулируемые лямки. 
Передний карман и основное отделение застегиваются на двустороннюю молнию.
Светоотражающие элементы. 
Передний карман с органайзером. 
Классический, стильный дизайн. 
Ручка в верхней части. 
Материал: 100% полиэстер.
Размеры: 46 х 32 х 18 см (высота х ширина х глубина). 
Емкость: около 26 литров</t>
  </si>
  <si>
    <t>onesize</t>
  </si>
  <si>
    <t>BACKPACK  U189</t>
  </si>
  <si>
    <t>4FAW23ABACU189-23M</t>
  </si>
  <si>
    <t>Рюкзак от 4F  имеет стильный и современный дизайн, который подойдет для любого образа и ситуации. Он легко сочетается с любой одеждой и станет вашим незаменимым спутником в повседневной жизни.
- Логотип 4F
- Карманы на молнии спереди.
- два открытых кармана по бокам
- Основное отделение на двусторонней молнии.
- Внутренние карманы
- Подъемная/подвесная ручка
- регулируемые бретели
- Емкость 18 л
Размеры:
Высота - 45 см.
Ширина - 31 см.
Глубина - 15 см.</t>
  </si>
  <si>
    <t>серыймеланж</t>
  </si>
  <si>
    <t>BACKPACK  U139</t>
  </si>
  <si>
    <t>4FSS23ABACU139-46S</t>
  </si>
  <si>
    <t>Трекинговый рюкзак (28 л). Многочисленные карманы и практичная система регулировки позволяют легко адаптировать рюкзак к вашим потребностям как во время дальних, так и коротких поездок.
Гидрофобное покрытие внешнего материала снижает избыточное влагопоглощение.
Трекинговый рюкзак (28 л) - ХАРАКТЕРИСТИКИ:
ручка для переноски в руке,
гидрофобная пропитка материала,
светоотражающие детали увеличивают видимость во время занятий после наступления темноты,
петли внизу и спереди рюкзака и эластичные шнурки со стопорами позволяют прикрепить другие аксессуары,
регулируемые подтяжки с подкладкой из структурированной сетки и мягкий регулируемый поясной ремень с системой амортизации на спине обеспечивают комфорт в длительных поездках,
регулируемый нагрудный ремень обеспечивает устойчивость рюкзака,
Система Н20 - отверстие в корпусе позволяет надеть поилку (поилка с трубкой в ​​комплекте с рюкзаком не продается),
просторное основное отделение с двусторонней молнией и открытым внутренним отделением,
3 дополнительных кармана: 2 открытых боковых кармана + 1 с застежкой в ​​верхней части рюкзака на дополнительное кольцо для ключей,
компрессионные лямки с застежкой на кнопку позволяют регулировать объем рюкзака,
система циркуляции воздуха, расположенная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45 х 14 х 18 см
Объем: около 28 л</t>
  </si>
  <si>
    <t>SANDALS  F016</t>
  </si>
  <si>
    <t>4FSS23FSANF016-22S</t>
  </si>
  <si>
    <t>Сандали</t>
  </si>
  <si>
    <t>Женские сандалии 4F - отличный выбор для летнего сезона! Они обеспечивают комфорт, стиль и надежность, чтобы вы чувствовали себя комфортно в любое время.
Сандалии имеют открытую пятку и пальцы ног, что обеспечивает отличную вентиляцию и приятные ощущения в жаркие дни. Вы также можете показать красоту своих стоп и педикюра.
Их тройная липучка-застежка делает их очень удобными и практичными в использовании. Вы сможете легко регулировать их посадку на вашем ступне по вашему усмотрению.
Синтетический верх с дополнительной перфорацией способствует естественной вентиляции ног и предотвращает излишнее потоотделение. Кроме того, этот материал легко чистится и поддерживается в хорошем состоянии.
Мягкая стелька и резиновая подошва обеспечивают дополнительный комфорт и амортизацию при ходьбе. Они также обеспечивают надежное сцепление с поверхностью, что делает сандалии безопасными и устойчивыми.
В этих сандалиях от 4F вы будете выглядеть и чувствовать себя превосходно! Они идеально подходят для летних прогулок, пляжа или просто для повседневной носки. Доверьтесь комфорту и надежности 4F и наслаждайтесь своим летом!</t>
  </si>
  <si>
    <t>Термопластичный полиуретан 87%, Полиэстер 13%</t>
  </si>
  <si>
    <t>RUS</t>
  </si>
  <si>
    <t>FLIPFLOP  F068</t>
  </si>
  <si>
    <t>4FSS23FFLIF068-20S</t>
  </si>
  <si>
    <t>Пантолеты</t>
  </si>
  <si>
    <t>Женские шлепанцы от 4F - идеальный выбор для летнего отдыха и повседневных прогулок! Их синтетический верх дополнен логотипом, который подчеркивает ваш изысканный вкус. Текстурированная формованная стелька обеспечивает комфорт и поддержку, а прочная легкая подошва из пеноматериала EVA дарит уверенность на любой поверхности. Они легко сочетаются с различными нарядами и подходят как для города, так и для отдыха на природе!</t>
  </si>
  <si>
    <t>полиуретан 80%, полиэстер 20%</t>
  </si>
  <si>
    <t>FLIPFLOP  M076</t>
  </si>
  <si>
    <t>4FSS23FFLIM076-20S</t>
  </si>
  <si>
    <t>Мужские шлепанцы от 4F - это отличный выбор для тех, кто ищет удобную и легкую обувь для использования на пляже, бассейне или просто для повседневной носки. Благодаря хорошей посадке по форме стопы, они обеспечивают идеальную поддержку и комфорт при ходьбе. Подошва из ЭВА не только обеспечивает амортизацию, но также гарантирует долговечность и высокую устойчивость к износу. Минималистичный дизайн и легкий вес делают эти шлепанцы идеальным выбором для летнего сезона. Они легко одеваются и снимаются, так что вы всегда можете оставаться активными и готовыми к новым приключениям. Независимо от того, идете ли вы на пляж, бассейн или просто на прогулку, эти шлепанцы от 4F идеально подходят для любого случая, где важны комфорт и функциональность.</t>
  </si>
  <si>
    <t>100% поливинилхлорид, подошва eva</t>
  </si>
  <si>
    <t>SANDALS  M018</t>
  </si>
  <si>
    <t>4FSS23FSANM018-31S</t>
  </si>
  <si>
    <t>Идеальные мужские сандалии для тех, кто ищет комфорт и стиль в своей обуви. Они имеют открытую пятку и носок, позволяя вашей коже дышать и охлаждаться в жаркие дни. Тройная застежка на липучке обеспечивает лучшую посадку на вашей ноге, а синтетический верх предоставляет дополнительную защиту и комфорт. Мягкая резиновая подошва с глубоким протектором гарантирует долговечность и улучшенное сцепление с землей на различных поверхностях. Эти сандалии идеально подходят для прогулок и активного отдыха на природе. Комфорт и прочность - это особенности, которые делают эти мужские сандалии незаменимыми для любого мужчины. Сделайте свой след этим летом в наших удобных, стильных и долговечных сандалиях.</t>
  </si>
  <si>
    <t>95% полиуретан, 5% резина, подошва: 45% ЕВА, 55% резина</t>
  </si>
  <si>
    <t>SWEATSHIRT  M266</t>
  </si>
  <si>
    <t>4FSS23TSWSM266-20S</t>
  </si>
  <si>
    <t>Свитшот</t>
  </si>
  <si>
    <t>Мужская худи с капюшоном из мягкой ткани с добавлением хлопка.
Спереди разместились два кармана, куда можно положить необходимые мелочи. Классический крой позволит вам чувствовать себя комфортно каждый день.
ХАРАКТЕРИСТИКИ:
удобный двухслойный капюшон,
2 открытых боковых кармана,
манжеты и низ с эластичной кулиской,
мягкая на ощупь ткань для повседневного комфорта.</t>
  </si>
  <si>
    <t>хлопок 60%, полиэстер 40%</t>
  </si>
  <si>
    <t>SWEATSHIRT  M353</t>
  </si>
  <si>
    <t>4FSS23TSWSM353-62S</t>
  </si>
  <si>
    <t>Мужская худи с капюшоном из мягкого трикотажа с высоким содержанием хлопка. Внутренняя часть из утепленной ткани поддержит тепловой комфорт во время повседневной деятельности. А спереди есть карман для всего необходимого.
Классический крой позволит вам чувствовать себя комфортно каждый день.
 ХАРАКТЕРИСТИКИ:
внутренняя часть из начесаной ткани способствует тепловому комфорту,
удобный двухслойный капюшон,
карман-кенгуру спереди,
манжеты и низ с ребристой отделкой</t>
  </si>
  <si>
    <t>Хлопок 79%, Полиэстер 21%</t>
  </si>
  <si>
    <t>SWEATSHIRT  M229</t>
  </si>
  <si>
    <t>4FSS23TSWSM229-83S</t>
  </si>
  <si>
    <t>Мужская толстовка на молнии из мягкого трикотажа с добавлением хлопка.
Это обеспечит вам комфорт во время повседневной деятельности.
На груди этой толстовки размещена надпись, которая добавляет уникальности и стиля к вашему образу. 
Мужская зип худи на молнии – ОСОБЕННОСТИ:
2 открытых кармана для рук,
без подкладки внутри,
молния во всю длину,
просторный регулируемый капюшон</t>
  </si>
  <si>
    <t>46% хлопок, 4% эластан, 50% полиэстер, доп.материал: 58% хлопок, 4% эластан, 38% полиэстер, доп.материал 2: 60% хлопок, 40% полиэстер</t>
  </si>
  <si>
    <t>SWEATSHIRT  M549</t>
  </si>
  <si>
    <t>4FSS23TSWSM549-20S</t>
  </si>
  <si>
    <t>Мужская худи с капюшоном из толстого трикотажа френч терри - это удобная и комфортная одежда, которая станет незаменимой в вашем гардеробе. Спереди карман, куда можно спрятать необходимые мелочи. 
 ХАРАКТЕРИСТИКИ:
нерегулируемый капюшон,
карман кенгуру,
манжеты и низ с резинкой,
из хлопкового трикотажа френч терри для повседневного комфорта.</t>
  </si>
  <si>
    <t>хлопок 100%</t>
  </si>
  <si>
    <t>SWEATSHIRT  F244</t>
  </si>
  <si>
    <t>4FSS23TSWSF244-83S</t>
  </si>
  <si>
    <t>Эта женская укороченная худи - настоящая находка для любительниц комфорта и стиля! Она выполнена из мягкого трикотажного материала, который подарит вам ощущение нежности и приятности при носке.
Укороченный крой придает этой худи особый шарм и модный вид. Она идеально подойдет для создания стильных и непринужденных образов. 
Худи из мягкого трикотажа френч терри с высоким содержанием хлопка. Свободный крой и заниженные рукава делают модель удобной для любого случая.
Женская укороченная толстовка - ОСОБЕННОСТИ:
без подкладки,
капюшон без регулировки,
спущенные рукава для удобства движений,
манжеты отделаны эластичной резинкой,
мягкий махровый френч терри</t>
  </si>
  <si>
    <t>80% хлопок, 20% полиэстер, доп.материал: 95% хлопок, 5% эластан</t>
  </si>
  <si>
    <t>SWEATSHIRT  M350</t>
  </si>
  <si>
    <t>4FSS23TSWSM350-27M</t>
  </si>
  <si>
    <t>Мужская толстовка 4F на молнии без капюшона из мягкого трикотажа с добавлением хлопка.
Внутри утеплитель из мягкого трикотажа с технологией 4FWarm, который повысит ваш тепловой комфорт.
Мужская толстовка на молнии - ХАРАКТЕРИСТИКИ:
обычная посадка,
2 открытых боковых кармана,
удобный воротник с эластичной кулиской для защиты от ветра,
молния во всю длину</t>
  </si>
  <si>
    <t>SWEATSHIRT  F0730</t>
  </si>
  <si>
    <t>4FAW23TSWSF0730-56S</t>
  </si>
  <si>
    <t>Женская толстовка на молнии . Изготовлен из мягкого трикотажа с высоким содержанием хлопка.
Начес внутренней стороны поможет сохранить тепло и комфорт. Эта толстовка с длинными рукавами обеспечивает полную свободу движений для повседневной деятельности благодаря удобному крою.
Женская толстовка на молнии. ОСОБЕННОСТИ:
матовая внутренняя поверхность,
2 открытых боковых кармана,
удобный капюшон с регулируемым шнурком,
ребристые манжеты и подол,
изготовлено из мягкого трикотажа с высоким содержанием хлопка.</t>
  </si>
  <si>
    <t>SWEATSHIRT  M694</t>
  </si>
  <si>
    <t>4FAW23TSWSM694-62S</t>
  </si>
  <si>
    <t>Мужская худи с капюшоном из мягкого трикотажа с высоким содержанием хлопка.
Начес на внутренней стороне поможет сохранить тепло и комфорт. Комфортная посадка этой толстовки с длинными рукавами и высоким воротником-стойкой обеспечит вам тепло и комфорт во время повседневных дел.
Мужская толстовка с капюшоном - ОСОБЕННОСТИ:
принт спереди,
капюшон с воротником-стойкой и шнурком,
карман-кенгуру спереди,
эластичные манжеты и пояс с широкой резинкой,
изготовлено из мягкого трикотажа с высоким содержанием хлопка.</t>
  </si>
  <si>
    <t>основной материал: хлопок 79%, полиэстер 21%, дополнительный материал: хлопок 95%, эластан 5%</t>
  </si>
  <si>
    <t>SWEATSHIRT  M265</t>
  </si>
  <si>
    <t>4FSS23TSWSM265-20S</t>
  </si>
  <si>
    <t>Мужская толстовка с капюшоном на молнии из мягкой ткани с добавлением хлопка.
Есть карманы для хранения необходимых мелочей. Классический крой позволит вам чувствовать себя комфортно каждый день.
Мужская толстовка с капюшоном на молнии - ХАРАКТЕРИСТИКИ:
логотип бренда,
молния во всю длину,
удобный двухслойный капюшон,
2 открытых боковых кармана,
эластичные манжеты и низ,
мягкая на ощупь ткань для повседневного комфорта.</t>
  </si>
  <si>
    <t>полиэстер 50%, хлопок 45%, эластан 5%</t>
  </si>
  <si>
    <t>TECHNICAL JACKET  M058</t>
  </si>
  <si>
    <t>4FSS23TTJAM058-30S</t>
  </si>
  <si>
    <t>Мужская треккинговая куртка с мембраной, из комбинации двух материалов: ветрозащитного софтшелла с водоотталкивающей мембраной и эластичного трикотажа 4Way Stretch.
Панели Softshell с мембраной и водоотталкивающей пропиткой обеспечивают защиту от чрезмерного впитывания влаги и ветра. Эластичный трикотаж 4Way Stretch на плечах и спине легко адаптируется к фигуре.
Мы также включили внутреннюю изоляцию из микрофлиса с технологией 4FWarm для большего теплового комфорта в холодные дни.
Мужская трекинговая куртка 5000 мембрана - ХАРАКТЕРИСТИКИ:
светоотражающие детали,
карманы на молнии по бокам,
основная молния с внутренней ветрозащитной планкой и защитой подбородка,
удобный воротник-стойка для защиты от ветра,
манжеты и низ с эластичной отделкой,
водоотталкивающая пропитка замедляет впитывание влаги извне,
ветрозащитные панели softshell спереди и водоотталкивающая мембрана NeoDry 5000 обеспечивают оптимальную защиту от небольшого дождя,
эластичная трикотажная ткань 4Way Strech легко адаптируется к телу,
подкладка из микрофлиса с технологией 4FWarm обеспечивает тепловой комфорт.</t>
  </si>
  <si>
    <t>FLEECE  M040</t>
  </si>
  <si>
    <t>4FJSS23TFLEM040-20S</t>
  </si>
  <si>
    <t>Детская флисовая толстовка для мальчиков из мягкого микрофлиса по технологии 4FWarm, что обеспечит должный тепловой комфорт. Удобный крой обеспечит свободу движений. 
Толстовка на молнии будет служить верхним слоем в теплые дни или средним под курткой, когда вашему ребенку потребуется дополнительная защита от холода. 
Воротник-стойка дополнительно защитит от холода, а карманы вместят необходимые безделушки. 
молния во всю длину с мягкой планкой, защищающей подбородок,
внутренний слой из теплого микрофлиса,
Технология 4FWarm обеспечивает тепловой комфорт,
карманы на молнии по бокам.</t>
  </si>
  <si>
    <t>146</t>
  </si>
  <si>
    <t>SWEATSHIRT  F249</t>
  </si>
  <si>
    <t>4FSS23TSWSF249-20S</t>
  </si>
  <si>
    <t>Женская укороченная худи с капюшоном из мягкой махровой пряжи с высоким содержанием хлопка. Свободный крой без резинки по низу и слегка приспущенных рукавов обеспечит комфорт.
Идеально подходит для повседневной носки.
Женская худи с капюшоном - ХАРАКТЕРИСТИКИ:
свободный крой, укороченный вид,
удобный капюшон с кулиской,
слегка приспущенные рукава для свободы движений,
манжеты с эластичным краем,
свободный подол, без резинки,
мягкий трикотаж с высоким содержанием хлопка для комфорта в повседневной деятельности.</t>
  </si>
  <si>
    <t>хлопок 80%, полиэстер 20%</t>
  </si>
  <si>
    <t>SWEATSHIRT  M267</t>
  </si>
  <si>
    <t>4FSS23TSWSM267-47S</t>
  </si>
  <si>
    <t>Мужская толстовка на молнии из мягкой ткани с высоким содержанием хлопка - базовая вещь в гардеробе каждого мужчины.
Два передних кармана позволят держать все необходимое под рукой. Классический дизайн подарит вам комфорт, необходимый каждый день.
Мужская зип худи на молнии – ОСОБЕННОСТИ:
без подкладки,
молния во всю длину,
капюшон с регулируемым шнурком,
2 боковых кармана на молнии,
манжеты и низ отделаны эластичной резинкой,
Мягкая на ощупь ткань для повседневного комфорта.</t>
  </si>
  <si>
    <t>80% хлопок, 20% полиэстер, доп.материал: 95% хлопок, 5% эластан, доп.материал 2: 100% хлопок</t>
  </si>
  <si>
    <t>FLEECE  M062</t>
  </si>
  <si>
    <t>4FJSS23TFLEM062-31S</t>
  </si>
  <si>
    <t>Флисовая толстовка с воротником-стойкой regular для мальчиков из мягкого и теплого микрофлиса по технологии 4FWarm. Благодаря этому она приятно согреет вашего ребенка в холодные дни.
на молнии,
2 открытых кармана спереди,
внутренний слой из теплого микрофлиса,
технология 4FWarm обеспечивает тепловой комфорт,
удобный воротник-стойка для дополнительной защиты от холода.</t>
  </si>
  <si>
    <t>4FSS23TSWSM353-20S</t>
  </si>
  <si>
    <t>хлопок 79%, полиэстер 21%</t>
  </si>
  <si>
    <t>WOMEN'S SWEATSHIRTS</t>
  </si>
  <si>
    <t>H4Z20-BLD013-48S</t>
  </si>
  <si>
    <t>Женское худи 4F идеально подойдет женщинам, которые каждый день ценят комфорт и спортивный стиль. Содержание большого количества хлопка и синтетических материалов обеспечивает свободный поток воздуха и долговечность. Женская толстовка 4F имеет встроенный капюшон с регулировкой на шнурке, который защитит голову от неприятного ветра. Свободный крой с резинками на манжетах и ​​по низу обеспечат свободу движений. Карман-кенгуру удерживает мелкие предметы и холодные руки. Крупная надпись ACTIVE вместе с логотипом бренда 4F спереди подчеркнет спортивный стиль женской толстовки.
Свободный крой обеспечивает свободу движений.
Встроенный капюшон с регулировкой на шнурке.
Манжеты и низ отделаны резинкой.
Большая надпись ACTIVE спереди.
Карман кенгуру.</t>
  </si>
  <si>
    <t>58% хлопок 42% полиэстер</t>
  </si>
  <si>
    <t>WOMEN'S YOGA SWEATSHIRTS</t>
  </si>
  <si>
    <t>H4Z21-BLD033-32S</t>
  </si>
  <si>
    <t>Женская толстовка с капюшоном на молнии, предназначенная для занятий йогой. Выполнена из мягкой эластичной трикотажной ткани с добавлением модала. Свободный крой и быстросохнущее покрытие 4FDry обеспечивают комфорт во время каждой тренировки. 2 открытых кармана по бокам.</t>
  </si>
  <si>
    <t>4FDry. Отводит влагу и быстро сохнет.</t>
  </si>
  <si>
    <t>FLEECE  F049</t>
  </si>
  <si>
    <t>4FSS23TFLEF049-12S</t>
  </si>
  <si>
    <t>Женская флисовая толстовка с воротником-стойкой из мягкого и теплого микрофлиса с технологией 4FWarm, чтобы согреться в холодные дни. Отличный выбор для стильных и практичных женщин. Такая толстовка выполнена из мягкого и теплого материала, который располагает к комфортному ношению в холодные дни. Полукруглый высокий воротник удобен и защищает от холода, придавая образу особую элегантность и изящество. Благодаря флисовой основе, толстовка не только отлично сохраняет тепло, но и позволяет телу свободно дышать, что особенно приятно при активных движениях. Регулярная посадка и эластичные манжеты и подол обеспечивают идеальную посадку на фигуре и комфорт при движении. Эта флисовая толстовка идеальна для повседневного использования в городской среде, для пеших прогулок и для активного отдыха на природе. Дизайн и стиль модели легко сочетаются с различными гардеробными вещами, делая ее универсальной и всегда актуальной.
ХАРАКТЕРИСТИКИ:
молния YKK, воротник-стойка защитит от холода,
2 открытых боковых кармана,
изготовлен из микрофлиса с технологией 4FWarm для обеспечения теплового комфорта.
Длина : обычная. 
Карманы : открытые. 
Капюшон : без капюшона.</t>
  </si>
  <si>
    <t>JACKET  F018</t>
  </si>
  <si>
    <t>4FSS23TJACF018-10S</t>
  </si>
  <si>
    <t>Женское городское плащ - пальто из тонкого и легкого материала. С удлиненной посадкой до колен и удобным регулируемым капюшоном. Талия регулируется, поэтому вы можете подогнать пальто под свои параметры.
Компактный дизайн позволяет быстро и легко складывать куртку, когда она не используется.
Плащ для умеренно теплых дней.
Женское городское пальто - ХАРАКТЕРИСТИКИ:
сверхлегкая, тонкая конструкция,
водоотталкивающая отделка для замедления впитывания влаги извне,
встроенный капюшон с высоким воротником и боковой регулировкой,
эластичные манжеты,
нерегулируемый подол,
2 открытых боковых кармана,
внешний пояс с пряжками для плотного прилегания,
двусторонняя молния с внутренней ветрозащитной планкой.</t>
  </si>
  <si>
    <t>полиамид 100%</t>
  </si>
  <si>
    <t>WOMEN'S SWEATSHIRT</t>
  </si>
  <si>
    <t>H4Z22-BLD023-52S</t>
  </si>
  <si>
    <t>Женская толстовка с капюшоном без молнии из мягкого трикотажа с подкладкой из начеса.
Свободный крой толстовки обеспечит вам комфорт и полную свободу движений в повседневных делах. 
Женская худи с капюшоном - ОСОБЕННОСТИ:
свободный крой,
надевать через голову,
удобный капюшон без регулировок,
карман кенгуру,
вышитый логотип спереди,
конструкция рукава реглан для большей свободы движений,
манжеты и низ отделаны эластичной резинкой,
подкладка из матовой ткани обеспечивает тепловой комфорт.</t>
  </si>
  <si>
    <t>TSHIRT  F0907</t>
  </si>
  <si>
    <t>4FAW23TTSHF0907-27M</t>
  </si>
  <si>
    <t>Женская футболка с принтом 4F – это стильная и комфортная верхняя одежда изготовленная из мягкого хлопка и добавлением эластана для лучшей эластичности и посадки по фигуре. Футболка имеет круглый вырез, который дает возможность свободного движения шеи и подходит для любого типа лица. Благодаря своему дизайну, эта футболка легко сочетается с различными брюками, юбками или шортами, что позволяет создавать различные стильные образы для каждого сезона. Она подходит для повседневного использования, спортивных тренировок или прогулок. Футболка обеспечивает приятное ощущение на коже и хорошую циркуляцию воздуха, делая ее идеальным выбором для комфортной и стильной одежды.</t>
  </si>
  <si>
    <t>TSHIRT FNK  M404</t>
  </si>
  <si>
    <t>4FSS23TFTSM404-45S</t>
  </si>
  <si>
    <t>Мужская тренировочная футболка из переработанных материалов. Изготовлена из эластичного трикотажа.
Она также оснащена технологией 4FDry с быстросохнущими тканями, которые отводят влагу от кожи.
Мужская спортивная футболка - ХАРАКТЕРИСТИКИ:
крой: приталенный,
круглый вырез,
эластичный трикотаж для комфорта во время тренировки,
перфорированный материал под мышками улучшает вентиляцию,
плоские швы для предотвращения натирания и раздражения кожи,
Технология 4FDry с быстросохнущими волокнами помогает отводить влагу наружу</t>
  </si>
  <si>
    <t>полиэстер 88%, эластан 12%</t>
  </si>
  <si>
    <t>TSHIRT  F387</t>
  </si>
  <si>
    <t>4FJSS23TTSHF387-30S</t>
  </si>
  <si>
    <t>Эта футболка 4F - идеальный выбор для маленьких модниц! Она изготовлена из мягкого и приятного на ощупь хлопка, который обеспечивает комфорт в течение всего дня.
Футболка имеет уникальный принт, который добавляет стиль и индивидуальность. Он выполнен с использованием ярких и запоминающихся цветов, что делает ее привлекательной и модной.
Эта футболка универсальна и может использоваться как для повседневных прогулок, так и для активных игр и занятий спортом. Она отлично сочетается с джинсами, шортами или юбкой, позволяя создавать различные стильные образы.
По-настоящему качественная и надежная, футболка 4F станет любимой вещью в гардеробе вашей девочки. Обратите внимание на этот стильный и комфортный выбор!</t>
  </si>
  <si>
    <t>TSHIRT  F716</t>
  </si>
  <si>
    <t>4FSS23TTSHF716-20S</t>
  </si>
  <si>
    <t>Этот женский кроп-топ с глубоким вырезом на спине изготовлен из гладкой ткани с добавлением эластана, что создает дополнительный комфорт и эластичность для лучшего прилегания к телу. Такой кроп-топ высказывает вашу индивидуальность и модный взгляд на жизнь. Глубокий вырез на спине добавляет дополнительный стильный эффект и привлекает внимание. Он отлично сочетается с высокой талией юбкой, шортами или брюками, чтобы создать эффектный и модный образ. Этот кроп-топ идеально подходит для вечерних мероприятий, вечеринок и светских мероприятий.
Женский кроп-топ с вырезом на спине - ХАРАКТЕРИСТИКИ:
логотип бренда сзади,
круглый вырез спереди,
толстые лямки,
глубокий вырез на спине,
гладкая эластичная трикотажная ткань для свободы движений.</t>
  </si>
  <si>
    <t>полиамид 80%, эластан 20%</t>
  </si>
  <si>
    <t>TSHIRT  F583</t>
  </si>
  <si>
    <t>4FSS23TTSHF583-10S</t>
  </si>
  <si>
    <t>Эта женская футболка с логотипом спереди изготовлена из мягкого хлопка с добавлением эластана, что дает дополнительный комфорт и эластичность для лучшего прилегания к телу. Она имеет обычный покрой и круглый вырез, что делает эту футболку универсальной и подходящей для любых повседневных и спортивных мероприятий. Логотип спереди добавляет стильный эффект, и вы всегда будете в тренде. Эта футболка легко сочетается с любыми брюками, джинсами или леггинсами, чтобы создать эффектный образ на каждый день.</t>
  </si>
  <si>
    <t>4FSS23TFTSM404-62S</t>
  </si>
  <si>
    <t>4FJSS23TTSHF387-47S</t>
  </si>
  <si>
    <t>WOMEN'S CAPS</t>
  </si>
  <si>
    <t>H4Z21-CAD013-42S</t>
  </si>
  <si>
    <t>Шапка</t>
  </si>
  <si>
    <t>Шапка изготовлена из акрила и шерсти. Подойдет на осень и зиму. Рекомендуется стирать при температуре не более 30 градусов.</t>
  </si>
  <si>
    <t>акрил 70%, шерсть 30%</t>
  </si>
  <si>
    <t>50-54</t>
  </si>
  <si>
    <t>CAP  M314</t>
  </si>
  <si>
    <t>4FAW23ACAPM314-23S</t>
  </si>
  <si>
    <t>Мужская зимняя шапка-докер - это шапка, специально разработанная для использования в холодные зимние дни. Она имеет несколько особенностей, которые делают ее функциональной и стильной. 
Шапка изготовлена из материалов с плотной и толстой текстурой, что обеспечивает хорошую теплоизоляцию. Толстое плетение позволяет голове сохранять тепло, не пропуская его наружу.
 Шапка имеет длинную манжету, которую можно закатывать для добавления дополнительной защиты от холода. Закатанная манжета также придает шапке стильный и модный вид, что делает ее идеальной как для повседневного, так и для спортивного образа.
В целом, мужская зимняя шапка-докер - это стильный и функциональный аксессуар, который обеспечивает тепло и комфорт в холодные зимние дни. Она подходит для всех возрастных категорий и идеально подходит для любых зимних активностей.</t>
  </si>
  <si>
    <t>75% акрил, 15% полиамид, 10% эластан</t>
  </si>
  <si>
    <t>CAP</t>
  </si>
  <si>
    <t>H4Z22-CAD017-25M</t>
  </si>
  <si>
    <t>Женская вязаная шапка 4F с отворотом помогает сохранять тепловой комфорт в холодные дни.  Позволяет подчеркнуть стиль и станет дополнительным украшением вашего образа.
Мягкий материал.
Гибкий крой.</t>
  </si>
  <si>
    <t>75% акрил, 15% полиамид, 10% шерсть</t>
  </si>
  <si>
    <t>CAP  F291</t>
  </si>
  <si>
    <t>4FAW23ACAPF291-83S</t>
  </si>
  <si>
    <t>Женская зимняя шапка 4F помогает сохранять тепловой комфорт в холодные дни.  Позволяет подчеркнуть стиль и станет дополнительным украшением вашего образа.
двойной слой,
закатанная манжета.</t>
  </si>
  <si>
    <t>100% акрил</t>
  </si>
  <si>
    <t>54-58</t>
  </si>
  <si>
    <t>CAP  F288</t>
  </si>
  <si>
    <t>4FAW23ACAPF288-54S</t>
  </si>
  <si>
    <t>Женская зимняя шапка из переработанных материалов с широкой манжетой - это стильный и экологически ответственный аксессуар, созданный с мыслью о сохранении окружающей среды. Шапка изготовлена из высококачественных и переработанных материалов, что делает ее нежной и комфортной.
Ее главная изюминка - это широкая манжета, которая создает дополнительный уровень защиты от холода, обеспечивая идеальную посадку на голове. Эта особенность делает шапку стильной и современной, добавляя изысканности и элегантности в любой образ.</t>
  </si>
  <si>
    <t>59% полиэстер, 21% полиамид, 20% вискоза</t>
  </si>
  <si>
    <t>CAP  F294</t>
  </si>
  <si>
    <t>4FAW23ACAPF294-55S</t>
  </si>
  <si>
    <t>Женская зимняя шапка из переработанных материалов 4F помогает сохранять тепловой комфорт в холодные дни. Позволяет подчеркнуть стиль и станет дополнительным украшением вашего образа. 
Одиночный слой,
закатанная манжета,</t>
  </si>
  <si>
    <t>полиэстер 59%, полиамид 21%, вискоза 20%</t>
  </si>
  <si>
    <t>H4Z22-CAD017-32S</t>
  </si>
  <si>
    <t>4FAW23ACAPM314-41S</t>
  </si>
  <si>
    <t>H4Z20-CAD007-56S</t>
  </si>
  <si>
    <t>Теплая женская шапка с помпоном. Плотный объемный трикотаж,
сложенная манжета,
с натуральной шерстью
Размеры (по окружности головы): S / M (55 см), L / XL (57 см).</t>
  </si>
  <si>
    <t>64% акрил 31% полиэстер 5% шерсть</t>
  </si>
  <si>
    <t>H4Z22-CAD005-47M</t>
  </si>
  <si>
    <t>Женская вязаная шапка 4F помогает сохранять тепловой комфорт в холодные дни.  Позволяет подчеркнуть стиль и станет дополнительным украшением вашего образа.
Небольшой логотип.
Мягкий материал.
Гибкий крой с отворотом.</t>
  </si>
  <si>
    <t>50% акрил, 43% полиамид,7% шерсть</t>
  </si>
  <si>
    <t>4FAW23ACAPF288-83S</t>
  </si>
  <si>
    <t>H4Z22-CAD005-64M</t>
  </si>
  <si>
    <t>HELMET  U024</t>
  </si>
  <si>
    <t>4FJSS23AHELU024-21S</t>
  </si>
  <si>
    <t>Шлем</t>
  </si>
  <si>
    <t>Шлемы</t>
  </si>
  <si>
    <t>Велосипедный спорт</t>
  </si>
  <si>
    <t>Детский велосипедный шлем . Предназначен для катания в горах, но можно так же носить и при езде по городу или на неспешных прогулках. Аэродинамическая конструкция InMould делает его легким и безопасным, а вместе с используемой системой амортизации снижает риск травм при падении. Внешняя оболочка изготовлена ​​из прочного поликарбонатного материала. Он поглощает вибрации и рассеивает удары.
Потоку воздуха способствуют многочисленные вентиляционные отверстия.
Правильное положение шлема является ключевым моментом. Система регулировки позволяет легко подогнать шлем к голове вашего ребенка. Мягкая антиаллергенная подкладка имеет сетку от насекомых. Ее можно легко снять и постирать. Мы также оснастили шлем регулируемым подбородочным ремнем и системой вентиляции. Это обеспечивает постоянную циркуляцию воздуха внутри шлема.
Детский велосипедный шлем - ХАРАКТЕРИСТИКИ:
поверхность: матовая,
фиксированные вентиляционные отверстия для улучшения циркуляции воздуха,
соответствует Европейской директиве EEC: 89/686/EEC и EN 1078,
съемная антиаллергенная обивка с сеткой для защиты от насекомых,
Система амортизации для защиты головы в случае падения,
Конструкция In-Mould обеспечивает легкий вес и устойчивость к повреждениям,
регулируемый ремешок с защитой подбородка для индивидуальной подгонки.</t>
  </si>
  <si>
    <t>100% пластик ;подкладка: 100% полиэстер (дышащий, антиаллергенный)</t>
  </si>
  <si>
    <t>S/M(55-58CM)</t>
  </si>
  <si>
    <t>55-58CM</t>
  </si>
  <si>
    <t>SHORTS CAS  M057</t>
  </si>
  <si>
    <t>4FSS23TSHOM057-61S</t>
  </si>
  <si>
    <t>Мужские спортивные шорты из мягкого хлопкового трикотажа. Имеют резинку на талии с регулировкой, благодаря которой их легко можно подогнать по фигуре. Уникальный дизайн. Стандартная посадка.
Мужские шорты - ХАРАКТЕРИСТИКИ:
эластичный пояс с регулировкой шнурком,
боковые незастегивающиеся карманы,
два дополнительных кармана: 1 сзади + 1 на молнии на бедре</t>
  </si>
  <si>
    <t>BOARD SHORTS  F033</t>
  </si>
  <si>
    <t>4FJSS23UBDSF033-64N</t>
  </si>
  <si>
    <t>Пляжные шорты для девочек из легкой, дышащей ткани - это отличный выбор для маленьких модниц, желающих комфорта и стиля на пляже или бассейне. Шорты изготовлены из легкой ткани, которая обеспечивает отличную воздухопроницаемость, позволяя коже дышать даже в жаркую погоду. Эта легкая ткань также быстро сохнет, что делает ее удобной для активной игры в воде или на песке. 
Во время летнего отдыха они обеспечат комфорт и полную свободу передвижения.
Детские шорты для девочек - ОСОБЕННОСТИ:
2 открытых боковых кармана,
закругленный подол,
пояс со шнурком,
быстросохнущие волокна отводят лишнюю влагу,
легкая, дышащая ткань.</t>
  </si>
  <si>
    <t>90% полиэстер, 10% эластан, доп.материал: 100% полиэстер</t>
  </si>
  <si>
    <t>122/128</t>
  </si>
  <si>
    <t>122-128</t>
  </si>
  <si>
    <t>134/140</t>
  </si>
  <si>
    <t>134-140</t>
  </si>
  <si>
    <t>146/152</t>
  </si>
  <si>
    <t>146-152</t>
  </si>
  <si>
    <t>158/164</t>
  </si>
  <si>
    <t>158-164</t>
  </si>
  <si>
    <t>SHORTS CAS  F070</t>
  </si>
  <si>
    <t>4FSS23TSHOF070-64S</t>
  </si>
  <si>
    <t>Женские спортивные шорты из мягкой ткани с высоким содержанием хлопка - это идеальный выбор для комфортного летнего отдыха и активного образа жизни. Шорты изготовлены из мягкой ткани, содержащей высокое количество хлопка, что обеспечивает приятное ощущение на коже и хорошую воздухопроницаемость. Это позволяет вашей коже дышать даже во время интенсивных тренировок или активного отдыха. Шорты имеют свободный крой, что обеспечивает свободу движений и комфорт во время носки. Они также оснащены боковыми карманами, где вы можете хранить мелкие предметы, такие как ключи или мобильный телефон. Эластичный пояс обеспечивает идеальную посадку и комфортную посадку, а также может быть регулируемым с помощью шнура или резинки. Женские спортивные шорты из мягкой ткани с высоким содержанием хлопка станут вашим незаменимым компаньоном для спорта, физических тренировок или прогулок на свежем воздухе в летний период, предлагая комфорт, стиль и практичность.</t>
  </si>
  <si>
    <t>4FJSS23UBDSF033-46S</t>
  </si>
  <si>
    <t>SHORTS FNK  M154</t>
  </si>
  <si>
    <t>4FSS23TFSHM154-20S</t>
  </si>
  <si>
    <t>Мужские ультралегкие шорты для бега . Изготовлены из легкой перфорированной ткани с технологией Ultralight.
У них есть внутренние эластичные трусы для дополнительной защиты и комфорта во время тренировки. Чтобы шорты оставались на месте, на талии использована резинка с завязками. Светоотражающие элементы улучшают видимость при тренировке в темноте.
Для улучшения отвода влаги мы также внедрили технологию 4FDry.
Мужские шорты для бега Ultralight - ХАРАКТЕРИСТИКИ:
светоотражающие детали,
небольшой карман на молнии сзади под поясом,
эластичный пояс с завязками для фиксации шорт,
разрезы по бокам для свободы движений при беге,
с внутренними шортами для защиты и комфорта,
легкая ткань не стесняет движений. 
Технология быстросохнущей ткани 4FDry способствует отводу влаги.</t>
  </si>
  <si>
    <t>SHORTS CAS  M085</t>
  </si>
  <si>
    <t>4FSS23TSHOM085-20S</t>
  </si>
  <si>
    <t>Мужские спортивные шорты из мягкого трикотажа с высоким содержанием хлопка. Эластичный пояс позволяет отрегулировать их по фигуре.
Есть два открытых кармана спереди и два сзади, так что вы можете держать все необходимое под рукой.
Идеально подходит для повседневной деятельности.
Мужские спортивные шорты - ХАРАКТЕРИСТИКИ:
эластичный пояс с регулировкой для идеальной посадки,
4 открытых кармана: 2 боковых + 2 задних,
мягкий трикотаж с высоким содержанием хлопка для повседневного комфорта.</t>
  </si>
  <si>
    <t>WOMEN'S DRESSES</t>
  </si>
  <si>
    <t>H4Z20-SUDD010-20S</t>
  </si>
  <si>
    <t>Lacoste</t>
  </si>
  <si>
    <t>Lacoste Pants</t>
  </si>
  <si>
    <t>XJ94766XP</t>
  </si>
  <si>
    <t>Флис из смесового хлопка с начесом. Эластичный пояс. Боковые карманы. Ребристая отделка по низу штанин. Вышитый логотип на бедре.</t>
  </si>
  <si>
    <t>6A</t>
  </si>
  <si>
    <t>8A</t>
  </si>
  <si>
    <t>12A</t>
  </si>
  <si>
    <t>Bilcee</t>
  </si>
  <si>
    <t>MEN KNITTING PANTS</t>
  </si>
  <si>
    <t>TB23ML05S0340-1-1024</t>
  </si>
  <si>
    <t>Эти мужские брюки джоггеры из коллекции Bilcee обеспечат комфорт и функциональность в любой ситуации. Они изготовлены из высококачественного двустороннего хлопка с лайкрой, что позволяет коже свободно дышать и обеспечивает максимальную свободу движения. 
Талия на шнурке обеспечивает идеальную подгонку для Вашей фигуры, не стесняя движений. Карманы на молнии позволяют безопасно хранить все необходимые мелочи и аксессуары на руках, не беспокоясь о том, что они выпадут или потеряются. 
Дизайн брюк выполнен в стиле джоггеров, так что Вы можете быть уверены во великолепной свободе движений и комфорте в повседневной жизни. Брюки Bilcee джоггеры на шнурке приложат свою помощь, когда Вы нуждаетесь в комфорте и стиле во время спортивных соревнований, физических упражнений или даже просто во время прогулок и поездок на длительных расстояниях.</t>
  </si>
  <si>
    <t>80% хлопок, 15% полиэстер, 5% эластан</t>
  </si>
  <si>
    <t>WOMEN KNITTING PANTS</t>
  </si>
  <si>
    <t>TB23WL05S0676-1-1921</t>
  </si>
  <si>
    <t>Женские облегающие брюки-легинсы с высокой талией и карманами - это идеальное сочетание функциональности, комфорта и стиля. Их высокая талия обеспечивает оптимальную поддержку живота и создает эффект длинных ног, а карманы позволяют хранить необходимые предметы в удобном месте. Эти брюки-легинсы обеспечивают полную свободу движения и идеально подходят для тренировок, йоги, пилатеса и других видов физической активности. Они также являются отличным выбором для повседневной носки, так как обеспечивают оптимальную посадку и придают вашему облику ощущение легкости. Кроме того, их стильный дизайн и отличное качество материалов делают их неотъемлемой частью вашего гардероба.</t>
  </si>
  <si>
    <t>56 % полиамид, 44 % эластан</t>
  </si>
  <si>
    <t>PANTS</t>
  </si>
  <si>
    <t>TB21ML05W9344-1-1001</t>
  </si>
  <si>
    <t>Брюки утепленные</t>
  </si>
  <si>
    <t>Классические мужские брюки Bilcee прямого кроя со слегка зауженными штанинами к низу подойдут абсолютно ко всему. Боковые карманы для удобства, ширинка на молнии и пара пуговиц. Брюки имеют технологию Softshell. Комбинируй брюки с любимыми футболками и толстовками - ты готов к прогулке, или надень к ним пиджак для деловой встречи…или свидания - решать тебе!</t>
  </si>
  <si>
    <t>95% полиэстер 5% эластан</t>
  </si>
  <si>
    <t>54-56</t>
  </si>
  <si>
    <t>56-58</t>
  </si>
  <si>
    <t>Calvin Klein Jeans</t>
  </si>
  <si>
    <t>Pants</t>
  </si>
  <si>
    <t>J2IJ202133745</t>
  </si>
  <si>
    <t>100% вискоза</t>
  </si>
  <si>
    <t>Champion</t>
  </si>
  <si>
    <t>113554-BS122</t>
  </si>
  <si>
    <t>Женские  спортивные штаны, подходящие для повседневной жизни и тренировок, обеспечат вам удобство и комфорт. Благодаря используемой полиамидной нити они прочны и долговечны, а так же полиамид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</si>
  <si>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113565-EM004</t>
  </si>
  <si>
    <t>Женские спортивные штаны, подходящие для повседневной жизни и тренировок, обеспечат вам удобство и комфорт. Благодаря используемой хлопковой нити они прочны и долговечны, а полиэстер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</si>
  <si>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WOMEN KNITTING LEGGINGS</t>
  </si>
  <si>
    <t>TB23WN09S0738-1-2645</t>
  </si>
  <si>
    <t>Леггинсы</t>
  </si>
  <si>
    <t>Ощутите свободу движений и максимальный комфорт с женскими леггинсами Bilcee WOMEN KNITTING LEGGINGS. Эти леггинсы созданы для активных и стильных женщин, которые ценят качество, функциональность и привлекательный внешний вид.
Материал и качество:
Леггинсы изготовлены из высококачественного эластичного материала, который идеально облегает фигуру и обеспечивает необходимую поддержку. Ткань леггинсов дышащая и мягкая на ощупь, что делает их идеальными для активных тренировок и повседневной носки. А благодаря влагоотводящим свойствам материала, вы будете ощущать комфорт даже при интенсивных физических нагрузках.
Дизайн и крой:
Современный и продуманный дизайн леггинсов подчеркивает фигуру и обеспечивает максимальное удобство при носке. Эргономичный крой и высокая посадка визуально удлиняют ноги и создают изящный силуэт, в то время как широкий эластичный пояс обеспечивает надежную фиксацию и удобство.
Функциональные детали:
- Швы: Плоские швы предотвращают натирание и обеспечивают дополнительный комфорт при движении.
- Компрессионный эффект: Леггинсы обеспечивают легкий компрессионный эффект, поддерживая мышцы и улучшая кровообращение.
- Эластичность: Четырехсторонняя растяжимость ткани позволяет леггинсам идеально прилегать к телу и обеспечивать полную свободу движений.
- Карманы: Некоторые модели могут быть оснащены скрытыми или открытыми карманами, куда удобно положить мелкие предметы, такие как ключи или банковская карта.
Применение:
Эти леггинсы идеальны для различных видов активности: фитнес, йога, бег, тренировки в зале, а также для ежедневного использования. Универсальный дизайн позволяет сочетать леггинсы с различными элементами гардероба – спортивными топами, футболками, худи и даже повседневными рубашками.
Уход:
Леггинсы легко стираются и не требуют особого ухода. Они устойчивы к многочисленным стиркам, сохраняя свою форму и цвет даже после продолжительного использования.
Создайте стильный и спортивный образ с женскими леггинсами Bilcee WOMEN KNITTING LEGGINGS и наслаждайтесь комфортом и свободой движений в любой ситуации. Безупречное сочетание функциональности и элегантности этих леггинсов станет вашим любимым выбором для любых мероприятий и активностей.</t>
  </si>
  <si>
    <t>56% полиамид, 44% эластана</t>
  </si>
  <si>
    <t>TB23WL09W1576-1-1002</t>
  </si>
  <si>
    <t>Ощутите высочайший уровень комфорта и уверенности в себе с женскими леггинсами Bilcee WOMEN KNITTING LEGGINGS. Эти леггинсы сочетают в себе передовые технологии и стильный дизайн, создавая идеальный выбор для активных женщин, ценящих как функциональность, так и эстетику спортивной одежды.
Материал и качество:
Изготовленные из высококачественного материала, леггинсы обладают отличной эластичностью и мягкостью. Благодаря использованию инновационных волокон, ткань отлично отводит влагу, быстро сохнет и обеспечивает хорошую воздухопроницаемость. Леггинсы сохраняют свою форму и не растягиваются даже при длительном и интенсивном ношении.
Дизайн и крой:
Современный и эргономичный дизайн леггинсов разработан с учетом анатомических особенностей женского тела. Облегающий крой подчеркивает достоинства фигуры и обеспечивает максимальную свободу движений. Высокая посадка поддерживает живот и создает стройный силуэт, а широкий пояс обеспечивает надежную фиксацию без давления и дискомфорта.
Функциональные детали:
- Швы: Плоские швы предотвращают натирание и обеспечивают дополнительный комфорт при активных движениях.
- Дополнительные элементы: Некоторые модели могут быть оснащены карманами для удобства хранения мелочей, таких как ключи или банковская карта.
- Эластичность: Четырехсторонняя растяжимость материала позволяет леггинсам идеально прилегать к телу и обеспечивать полную свободу движений во время любых занятий.
Применение:
Эти леггинсы идеально подходят для занятий спортом и фитнесом, йогой, бега, а также для повседневной носки. Они легко сочетаются с различными топами, спортивными бюстгальтерами, футболками и толстовками, что позволяет создавать как яркие спортивные образы, так и непринужденные повседневные луки.
Уход:
Леггинсы легко стираются в машине и не требуют особого ухода. Они сохраняют свои свойства и цветовую насыщенность даже после множества стирок, гарантируя долговечность и привлекательный вид.
Пополните свой гардероб универсальными и стильными леггинсами Bilcee WOMEN KNITTING LEGGINGS и наслаждайтесь комфортом и свободой движений в любой ситуации.</t>
  </si>
  <si>
    <t>68% вискоза, 28% нейлон, 4% эластана</t>
  </si>
  <si>
    <t>Bilcee Women's Jogger Sweatpants</t>
  </si>
  <si>
    <t>TB21WL05W8407-1-1464</t>
  </si>
  <si>
    <t>Женские спортивные джоггеры с высокой талией. Благодаря используемой хлопковой нити они прочны и долговечны, а полиэстер в составе обеспечивает быстрое высыхание.
Эти спортивные брюки, подходящие для повседневной жизни и тренировок, обеспечат вам удобство и комфорт. Благодаря мягкой текстуре и способности впитывать влагу, вы можете надевать их в любое время года. Комбинируйте их с вашими любимыми толстовками. Наслаждайтесь комфортом и элегантностью вместе с Bilcee!</t>
  </si>
  <si>
    <t>80% хлопок 20% полиэстер</t>
  </si>
  <si>
    <t>TB21WL05W8407-1-1359</t>
  </si>
  <si>
    <t>Женские спортивные джоггеры на резинке. Спортивные штаны, подходящие для повседневной жизни и спорта, обеспечат вам удобство и комфорт. Изготовлены из хлопчатобумажной и полиэфирной ткани без смешивания, что обеспечивает максимальный комфорт. Ткань обработана антипилингом, пригодна для использования в течение 3-х сезонов. Вы обязательно захотите иметь один из различных цветовых вариантов. Спортивные штаны Bilcee, которые можно комбинировать с футболками и майками, могут стать незаменимой частью вашего гардероба.</t>
  </si>
  <si>
    <t>TB24WG09S9711-1-1196</t>
  </si>
  <si>
    <t>Материал и качество:
Женские велосипедки Bilcee WOMEN KNITTING LEGGINGS изготовлены из высококачественной смеси полиэстера и эластана. Этот материал обеспечит плотное прилегание к телу, эластичность и высокий уровень комфорта. Полиэстер добавляет прочности и долговечности, а эластан позволяет материалу растягиваться и возвращаться в первоначальную форму, обеспечивая идеальную посадку.
Дизайн и стиль:
Велосипедки выполнены в современном и стильном дизайне, который отлично впишется как в спортивный, так и в повседневный гардероб. Сдержанный и элегантный внешний вид, а также аккуратное размещение логотипа Bilcee придают изделию премиальность и утонченность. Длина велосипедок до середины бедра идеально подходит для теплого времени года, обеспечивая свободу движения и комфорт.
Функциональность и удобство:
Эти велосипедки продуманы до мелочей для обеспечения максимального удобства и поддержки. Эластичная ткань повторяет контуры тела, создавая эффект "второй кожи" и гарантируя отсутствие натираний даже при длительных и интенсивных нагрузках. Высокая посадка обеспечивает дополнительную поддержку зоны живота и талии, улучшая общий силуэт и создавая комфортную посадку. Специальная технология плоских швов предотвращает их деформацию и растягивание, обеспечивая долговечность изделия.
Применение и особенности:
Женские велосипедки Bilcee WOMEN KNITTING LEGGINGS подходят для различных видов активности, включая езду на велосипеде, фитнес, йогу, бег и прогулки. Их быстросохнущая и дышащая ткань эффективно отводит влагу от тела, обеспечивая комфорт и свежесть на протяжении всей тренировки. Удобный широкий пояс обеспечивает надежную фиксацию и комфортную посадку без вреда для кровообращения. Эластичность материала позволяет выполнять любые движения без ощущения стеснения.
Заключение:
Женские велосипедки Bilcee WOMEN KNITTING LEGGINGS – это идеальное сочетание стиля, функциональности и комфорта. Они созданы для активных женщин, ценящих качество, надежность и стиль. Благодаря премиальным материалам, продуманному дизайну и эргономичному крою, эти велосипедки станут незаменимым элементом вашего спортивного и повседневного гардероба, гарантируя максимальный комфорт в любой ситуации.</t>
  </si>
  <si>
    <t>85% полиамид, 15% эластана</t>
  </si>
  <si>
    <t>TB24WG09S9711-1-1121</t>
  </si>
  <si>
    <t>TB24WF09S9729-1-1002</t>
  </si>
  <si>
    <t>Женские укороченные леггинсы Bilcee WOMEN KNITTING LEGGINGS изготовлены из премиальной смеси высококачественных материалов, таких как полиэстер и эластан. Полиэстер придает ткани прочность и долговечность, в то время как эластан обеспечивает великолепную эластичность, создавая эффект "второй кожи". Такой состав материала гарантирует идеальное прилегание к телу и высокую степень комфорта при носке.
Леггинсы имеют современный и стильный дизайн с укороченной длиной, что особенно актуально в теплое время года. Минималистический и элегантный внешний вид позволяет этим леггинсам легко комбинироваться с разным типом верха – от спортивных топов до повседневных футболок и рубашек. Логотип Bilcee расположен в ненавязчивом месте, добавляя нотку узнаваемости и премиальности.
Леггинсы продуманы до мелочей для обеспечения максимального удобства. Их эргономичный крой повторяет анатомические линии женского тела, что позволяет избежать натирания и дискомфорта даже при интенсивных занятиях. Высокая посадка поддерживает мышцы живота, создавая дополнительную поддержку и улучшая силуэт. Специальная технология швов предотвращает их растягивание и деформацию в процессе носки
Эти леггинсы отлично подходят для различных видов активности, включая фитнес, йогу, бег, танцы и силовые тренировки. Укороченная длина сделает их отличным выбором для занятий в жаркую погоду или для тренировок в зале. Быстросохнущая ткань эффективно отводит влагу от тела, поддерживая свежесть и сухость на протяжении всей тренировки. Удобный пояс на резинке надежно фиксирует леггинсы на талии, исключая их сползание.
Женские укороченные леггинсы Bilcee WOMEN KNITTING LEGGINGS – это идеальное сочетание стиля, функциональности и комфорта. Они созданы для активных женщин, которые ценят качество и удобство в спортивной одежде. Благодаря продуманному дизайну и использованию высококачественных материалов, эти леггинсы станут отличным дополнением вашего спортивного гардероба и помогут вам достигнуть новых высот в ваших тренировках.</t>
  </si>
  <si>
    <t>TB22ML05S0308-1-1061</t>
  </si>
  <si>
    <t>Мужские спортивные штаны Bilcee с полоской сбоку - это идеальное решение для тех, кто ценит комфорт и стиль при занятиях спортом. Штаны изготовлены из высококачественных материалов, которые обеспечивают отличную вентиляцию и воздухопроницаемость. Благодаря используемой хлопковой нити брюки прочны и долговечны. Дополнительная полоска сбоку, выполненная в контрастной цветовой гамме, придает модели неповторимый вид и делает ее узнаваемой. Эластичный пояс и манжеты на щиколотке обеспечивают идеальную посадку на теле и не давят на кожу. Штаны Bilcee - это незаменимый элемент гардероба для тех, кто любит активный образ жизни и хочет выглядеть стильно и современно.</t>
  </si>
  <si>
    <t>77% хлопок, 17% полиэстер, 6% эластан</t>
  </si>
  <si>
    <t>Bilcee Men's Sweatpants</t>
  </si>
  <si>
    <t>TB22ML05W0492-1-1002</t>
  </si>
  <si>
    <t>Однотонные спортивные мужские брюки отлично подчеркнут твой спортивный стиль. Эластичный пояс и боковые карманы на молнии для комфорта. Прямой крой. Флисовый подклад обеспечит тепло.</t>
  </si>
  <si>
    <t>TB21WL05W8407-1-1672</t>
  </si>
  <si>
    <t>80% хлопок, 20% полиэстер</t>
  </si>
  <si>
    <t>Lumberjack</t>
  </si>
  <si>
    <t>FLARE PANT BOX LOGO</t>
  </si>
  <si>
    <t>101990045</t>
  </si>
  <si>
    <t>65% хлопок, 31% полиэстер, 4% эластан</t>
  </si>
  <si>
    <t>KRISTY</t>
  </si>
  <si>
    <t>101386026</t>
  </si>
  <si>
    <t>кожа, синт.кожа, текстиль, резина</t>
  </si>
  <si>
    <t>RIVER</t>
  </si>
  <si>
    <t>101681942</t>
  </si>
  <si>
    <t>кремовый</t>
  </si>
  <si>
    <t>Кожа</t>
  </si>
  <si>
    <t>101681980</t>
  </si>
  <si>
    <t>101682024</t>
  </si>
  <si>
    <t>101682036</t>
  </si>
  <si>
    <t>кожа, синт.кожа</t>
  </si>
  <si>
    <t>101906204</t>
  </si>
  <si>
    <t>кожа, резина</t>
  </si>
  <si>
    <t>101987937</t>
  </si>
  <si>
    <t>101987938</t>
  </si>
  <si>
    <t>101987948</t>
  </si>
  <si>
    <t>кожа</t>
  </si>
  <si>
    <t>101987949</t>
  </si>
  <si>
    <t>101987951</t>
  </si>
  <si>
    <t>101987952</t>
  </si>
  <si>
    <t>101987954</t>
  </si>
  <si>
    <t>101987955</t>
  </si>
  <si>
    <t>101987957</t>
  </si>
  <si>
    <t>101987959</t>
  </si>
  <si>
    <t>101987963</t>
  </si>
  <si>
    <t>101988075</t>
  </si>
  <si>
    <t>Нубук, кожа, синтетика, резина</t>
  </si>
  <si>
    <t>EVRIL 1</t>
  </si>
  <si>
    <t>101988091</t>
  </si>
  <si>
    <t>Полуботинки</t>
  </si>
  <si>
    <t>101988107</t>
  </si>
  <si>
    <t>замша</t>
  </si>
  <si>
    <t>101988109</t>
  </si>
  <si>
    <t>WARANASI</t>
  </si>
  <si>
    <t>101988154</t>
  </si>
  <si>
    <t>текстиль, синт.кожа</t>
  </si>
  <si>
    <t>101988155</t>
  </si>
  <si>
    <t>101988157</t>
  </si>
  <si>
    <t>Alpha Caprice</t>
  </si>
  <si>
    <t>Swimming trunks</t>
  </si>
  <si>
    <t>SWD005</t>
  </si>
  <si>
    <t>Плавки</t>
  </si>
  <si>
    <t>лайкра, полиэстер</t>
  </si>
  <si>
    <t>30_116</t>
  </si>
  <si>
    <t>32_122</t>
  </si>
  <si>
    <t>36_140</t>
  </si>
  <si>
    <t>Kelme</t>
  </si>
  <si>
    <t>KELME Women's Down Jacket</t>
  </si>
  <si>
    <t>6147YR1008-202</t>
  </si>
  <si>
    <t>Пуховик Kelme с капюшоном. Изготовлен из практичного ветро-и влагозащитного материала с наполнителем из утиного пуха. Застежка на скрытую молнию. Капюшон с воротником-стойкой и эластичным шнурком для надежной защиты от ветра в непогоду. Боковые карманы для рук и хранения различных мелочей. В рукава вшиты трикотажные манжеты для дополнительной защиты от ветра. Фирменный принт логотипа в тон пуховика.</t>
  </si>
  <si>
    <t>2XL</t>
  </si>
  <si>
    <t>6147YR2014-000</t>
  </si>
  <si>
    <t>Легкий укороченный пуховик Kelme. Изготовлен из практичного материала с наполнителем из утиного пуха. Застежка на молнию. Воротник-стойка для защиты от ветра. Капюшон с эластичным шнурком для регулировки посадки. Боковые карманы на молнии для рук и хранения различных мелочей. В рукава вшиты трикотажные манжеты для дополнительной защиты от ветра. Эластичный шнурок для регулировки размера по нижнему краю. Нашивка логотипа на груди в тон пуховика и полоса с фирменной надписью по кромке капюшона.</t>
  </si>
  <si>
    <t>KELME Men's Down Jacket</t>
  </si>
  <si>
    <t>6147YR1019-716</t>
  </si>
  <si>
    <t>Функциональный пуховик Kelme с капюшоном со множеством карманов. Изготовлен из практичного ветро-и влагозащитного материала с наполнителем из утиного пуха. Застежка на молнию с двусторонним замком. Ветрозащитный клапан по всей длине на кнопках. Высокий воротник-стойка для надежной защиты от ветра в непогоду. Капюшон с эластичным шнурком для регулировки посадки. Двойные накладные карманы с клапанами на кнопках для рук и надежного хранения различных мелочей. Дополнительный нагрудный карман на молнии и с клапаном на кнопке. В рукава вшиты трикотажные манжеты для дополнительной защиты от ветра, также предусмотрены липучки для регулировки на запястьях. На одном рукаве предусмотрен карман для ски-пасс и прочих мелочей.</t>
  </si>
  <si>
    <t>Men's Down Jacket</t>
  </si>
  <si>
    <t>6147YR1028-300</t>
  </si>
  <si>
    <t>Укороченный стеганый пуховик Kelme. Изготовлен из практичного ветро-и влагозащитного материала с наполнителем из утиного пуха. Внутренняя часть карманов и воротника из мягкого флиса, обеспечивающего мягкость и дополнительное тепло. Использована технология сохранения тепла на внутренней части спинки. Застежка на молнию, также предусмотрен тканый клапан для защиты подбородка. Капюшон с воротником-стойкой и эластичным шнурком для надежной защиты от ветра в непогоду. Боковые карманы на молнии для рук и хранения различных мелочей. Эластичный шнурок для регулировки размера по нижнему краю. Принт логотипа и полоса с фирменной надписью по кромке капюшона.</t>
  </si>
  <si>
    <t>6147YR1020-000</t>
  </si>
  <si>
    <t>Укороченный пуховик Kelme. Изготовлен из практичного ветро-и влагозащитного материала с наполнителем из утиного пуха. Застежка на скрытую молнию. Капюшон с воротником-стойкой и скрытым эластичным шнурком для надежной защиты от ветра в непогоду. Боковые карманы для рук и хранения различных мелочей. Фирменный принт логотипа.</t>
  </si>
  <si>
    <t>6147YR1028-000</t>
  </si>
  <si>
    <t>6147YR1008-000</t>
  </si>
  <si>
    <t>100% полиэстер, наполнитель пух/перо</t>
  </si>
  <si>
    <t>ARCTIC PARKA</t>
  </si>
  <si>
    <t>101510983</t>
  </si>
  <si>
    <t>60%хлопок 40%полиэстер, подкладка 100% полиэстер, утеплитель 100% полиэстер</t>
  </si>
  <si>
    <t>REVERSIBLE PADDED JACKET</t>
  </si>
  <si>
    <t>101990053</t>
  </si>
  <si>
    <t>100%полиэстер, подкладка 100% полиэстер, утеплитель 100% полиэстер</t>
  </si>
  <si>
    <t>HOODIE PUFFA PADDED JACKET</t>
  </si>
  <si>
    <t>101990057</t>
  </si>
  <si>
    <t>100%полиамид, подкладка 100% полиамид, утеплитель 100% полиэстер</t>
  </si>
  <si>
    <t>101990058</t>
  </si>
  <si>
    <t>HOODIE PUFFA PADDED PARKA</t>
  </si>
  <si>
    <t>101990062</t>
  </si>
  <si>
    <t>101990065</t>
  </si>
  <si>
    <t>Silver Pinquin</t>
  </si>
  <si>
    <t>А004</t>
  </si>
  <si>
    <t>Термоноски</t>
  </si>
  <si>
    <t>85% Полипропилен, 5% Лайкра, 10% Полиамид</t>
  </si>
  <si>
    <t>Diadora</t>
  </si>
  <si>
    <t>SPEED BLUSHIELD FLY 4 + W CLAY</t>
  </si>
  <si>
    <t>DR101179508D0617</t>
  </si>
  <si>
    <t>Кроссовки Diadora SPEED BLUSHIELD FLY 4 + W CLAY - это высококачественная женская теннисная обувь, специально разработанная для грунтовых кортов, которая обеспечивает идеальное сочетание скорости, комфорта и стабильности. Эти кроссовки предназначены для серьезных спортсменок, стремящихся к высшим достижениям и кому необходима обувь, обеспечивающая производительность на высшем уровне.
Основные характеристики кроссовок Diadora SPEED BLUSHIELD FLY 4 + W CLAY:
1. Верхняя часть: Изготовлен из легкого, но прочного материала сетки, который обеспечивает отличную вентиляцию и поддержку. Эластичная конструкция "сок" облегает стопу, создавая ощущение второй кожи и предоставляя непревзойденный комфорт.
2. Технология Blushield: Продвинутая технология Blushield встроена в промежуточную подошву для обеспечения оптимального сочетания амортизации и баланса. Она помогает снизить стресс и усталость мышц во время игры, обеспечивая плавный переход от наземных ударов к быстрым рывкам.
3. Подошва для грунтовых кортов: Долговечная резиновая подошва с оптимизированной конфигурацией шипов идеально подходит для игры на грунтовом покрытии. Она спроектирована с тем, чтобы гарантировать выдающуюся устойчивость на скользкой поверхности и быстрое перемещение по корту.
4. Система плавного катания (Rolling system): Такая система обеспечивает лучшую динамику передвижения, что немаловажно в игре на грунтовом корте, где требуется частая смена направления и быстрое ускорение.
5. Система D-Skin: Для дополнительной структуры и поддержки в кроссовки интегрирована технология D-Skin, которая способствует лучшей адаптации к движениям стопы и обеспечивает дополнительную прочность.
6. Дизайн и стиль: Кроссовки SPEED BLUSHIELD FLY 4 + W CLAY имеют стильный современный внешний вид с элегантными и спортивными линиями, которые дополняют энергичный теннисный ансамбль.
Diadora SPEED BLUSHIELD FLY 4 + W CLAY представляют собой продукт, который с равной уверенностью подходит для интенсивных тренировок и соревнований, где каждая деталь обуви может повлиять на результативность игры на грунтовых кортах.</t>
  </si>
  <si>
    <t>верх 65% искусственная кожа(полиуретан), 35% полиэстер, подкладка 100% полиэстер, низ 100% резина</t>
  </si>
  <si>
    <t>55</t>
  </si>
  <si>
    <t>B.ICON 2 W CLAY</t>
  </si>
  <si>
    <t>DR101179107D0267</t>
  </si>
  <si>
    <t>Кроссовки Diadora B.ICON 2 CLAY представляют собой специализированную спортивную обувь, предназначенную для игры в теннис на грунтовых кортах. Эта модель ориентирована на обеспечение удобства, долговечности и производительности для теннисистов всех уровней. Вот некоторые особенности и преимущества кроссовок Diadora B.ICON 2 CLAY:
1. Верхняя часть: Обычно верх этих кроссовок изготавливается из смеси высококачественных материалов, включая натуральную и синтетическую кожу, что обеспечивает комфорт и износостойкость. Сетчатые вставки повышают воздухопроницаемость, помогая поддерживать прохладу и сухость стопы во время интенсивных матчей.
2. Подошва: Специально разработанный для грунтового покрытия CLAY профиль обеспечивает отличное сцепление и контроль скольжения на мягком грунте. Рисунок подошвы усложняет накопление грунта и обеспечивает хороший разгон и торможение.
3. Стабилизация: Укрепления в пятке и боковых частях способствуют дополнительному удержанию стопы и предотвращению её скручивания во время игры, что позволяет избегать травм.
4. Амортизация: Подошва и стелька кроссовок могут включать в себя технологии поглощения ударов для дополнительного комфорта и защиты стопы от нагрузки во время бега и прыжков.
5. Дизайн: Diadora обращает внимание на эстетический аспект, сочетая элегантный современный дизайн с функциональностью, что делает эти кроссовки стильными как на корте, так и вне его.
Важно отметить, что разработчики Diadora постоянно совершенствуют свою обувь, внедряя новые технологии и материалы для повышения уровня производительности и комфорта. Кроссовки Diadora B.ICON 2 CLAY идеально подходят теннисистам, которые ищут надёжные и стильные кроссовки для грунтовых кортов.</t>
  </si>
  <si>
    <t>верх 52% полиэстер, 43% тпу, 5% искусственная кожа(полиуретан), подкладка 100% полиэстер, низ 100% резина</t>
  </si>
  <si>
    <t>35.5</t>
  </si>
  <si>
    <t>39.5</t>
  </si>
  <si>
    <t>75</t>
  </si>
  <si>
    <t>85</t>
  </si>
  <si>
    <t>BLUSHIELD TORNEO 2 AG</t>
  </si>
  <si>
    <t>DR101179502C1512</t>
  </si>
  <si>
    <t>Кроссовки мужские BLUSHIELD TORNEO 2 AG - это специально разработанные кроссовки для тенниса, обеспечивающие надежную поддержку и комфорт на корте. Они оснащены технологией BLUSHIELD, которая обеспечивает стабильность и амортизацию во время движений по корте. Кроссовки также имеют прочный защитный носок, который обеспечивает дополнительную защиту от износа и ударов. Эти кроссовки выполнены в стильном дизайне в голубом и белом цветах, что придает им элегантный вид на корте. Они идеально подходят для игроков, которые ценят высокое качество, функциональность и стиль в теннисной экипировке.</t>
  </si>
  <si>
    <t>Верх - 55% полиэстер 40% ТПУ 5% искусственная кожа(полиуретан) , подкладка - 100% полиэстер, низ - 100% резина</t>
  </si>
  <si>
    <t>44.5</t>
  </si>
  <si>
    <t>EAGLE 6 SL</t>
  </si>
  <si>
    <t>DR101179076C0200</t>
  </si>
  <si>
    <t>Diadora EAGLE 6 SL - это высококачественные кроссовки, которые сочетают в себе элегантный дизайн и функциональность.
Верх кроссовок изготовлен из устойчивого к износу материала, который обеспечивает долговечность и стабильность обуви. Прочное мягкое замшевое покрытие гарантирует максимальный комфорт и амортизацию для каждого шага.
Оснащенные внутренним слоем, который активно дышит, эти кроссовки обеспечивают исключительную вентиляцию, предотвращая накопление влаги и пота, обеспечивая сухость и комфорт на протяжении всего дня.
Подошва Diadora, изготовленная с использованием новейших технологий, обеспечивает превосходную устойчивость к скольжению на любой поверхности, обеспечивая максимальную безопасность во время носки.
Своим эргономичным дизайном и темно-серым цветом, кроссовки Diadora EAGLE 6 SL добавляют стильный акцент к любому образу, являясь идеальным компаньоном для тех, кто ведёт активный образ жизни и ценит комфорт до, во время, и после тренировки.</t>
  </si>
  <si>
    <t>верх 90% искусственная кожа(полиуретан), 10% полиэстер, подкладка 100% полиэстер, низ 87% резина 13% эва</t>
  </si>
  <si>
    <t>41.5</t>
  </si>
  <si>
    <t>95</t>
  </si>
  <si>
    <t>43.5</t>
  </si>
  <si>
    <t>105</t>
  </si>
  <si>
    <t>SMASH 6 W</t>
  </si>
  <si>
    <t>DR101179101C0516</t>
  </si>
  <si>
    <t>Вы ищете теннисную обувь для своих первых шагов на корте? Smash 6 W разработана специально для начинающих теннисисток. Подошва из термопластичной резины (TPR), верх из материала SuprellTech и сетки, стелька из хлопкового трикотажа и формованного EVA, промежуточная подошва из EVA-пены и формованного C.C.B.</t>
  </si>
  <si>
    <t>Верх 84% искусственная кожа(полиуретан), 16% полиэстер, подкладка - 100% полиэстер, низ - 100% термопластичная резина</t>
  </si>
  <si>
    <t>B.ICON 2 AG</t>
  </si>
  <si>
    <t>DR101179099D0273</t>
  </si>
  <si>
    <t>Diadora B.ICON 2 AG - это исключительные кроссовки, предназначенные для активного спорта и повседневной носки. С уникальным дизайном и высококачественными материалами, эти кроссовки сочетают комфорт и функциональность.
Верх обуви изготовлен из прочного синтетического материала с использованием передовых технологий. Это обеспечивает долговечность, сохраняя при этом легкость и гибкость обуви.
Внутренняя подкладка эффективно отводит влагу, а съемная стелька обеспечивает отличную амортизацию и поддержку, что делает эти кроссовки идеальными для длительных тренировок или долгой ходьбы.
Благодаря прочной резиновой подошве, Diadora B.ICON 2 AG обладают превосходной устойчивостью к скольжению и обеспечивают отличное сцепление с различными поверхностями.
Стремясь к эстетическому совершенству, Diadora создала узнаваемый дизайн с использованием корпоративных цветов и логотипа. Diadora B.ICON 2 AG не только предлагают высокий уровень комфорта и производительности, но и обеспечивают исключительный стиль для любителей активного образа жизни.</t>
  </si>
  <si>
    <t>B.ICON 2 W AG</t>
  </si>
  <si>
    <t>DR101179103D0267</t>
  </si>
  <si>
    <t>B.ICON 2 CLAY</t>
  </si>
  <si>
    <t>DR101179106D0619</t>
  </si>
  <si>
    <t>Diadora B.ICON 2 CLAY - это теннисные кроссовки, разработанные для максимальной производительности на грунтовых кортах. Эти кроссовки сочетают в себе передовую технологию и стильный дизайн, созданные для игроков, которые ценят комфорт, устойчивость и производительность.
Верхняя часть кроссовок выполнена из премиальных материалов, которые обеспечивают превосходную вентиляцию и поддержку ноги во время интенсивных движений. Перфорация на носке улучшает воздухопроницаемость, помогая вашим ногам оставаться сухими и комфортными даже в самые жаркие дни.
Специально разработанная подошва, адаптированная для игры на грунтовых покрытиях, обеспечивает выдающееся сцепление и устойчивость при движении по корту. Это идеальный выбор для спортсменов, ищущих надежный обувной продукт для профессионального уровня игры.
Дизайн Diadora B.ICON 2 CLAY отличается классическими линиями с современными акцентами, что делает их стильным дополнением к спортивному гардеробу. Удобная стелька и промежуточная подошва гарантируют отличное поглощение ударов и комфорт при продолжительных тренировках или матчах.</t>
  </si>
  <si>
    <t>BLUSHIELD TORNEO 2 CLAY</t>
  </si>
  <si>
    <t>DR101179504D0620</t>
  </si>
  <si>
    <t>Diadora Blushield Torneo 2 Clay - это высокотехнологичные теннисные кроссовки, предназначенные для игроков всех уровней, ищущих оптимальное сочетание комфорта, стабильности и производительности на грунтовых кортах. Эта модель обуви оснащена рядом инновационных технологий Diadora, которые позволяют спортсменам выступать на максимально возможном уровне.
Ключевые характеристики:
1. Верхняя часть: Благодаря использованию дышащих материалов и сетки, верхняя часть обеспечивает исключительную вентиляцию, поддерживая ноги в прохладе и комфорте в течение всего матча или тренировки. Усилители в критических зонах повышают износостойкость обуви.
2. Технология Blushield: Уникальная система Blushield, встроенная в подошву, обеспечивает динамическую адаптацию к каждому движению стопы, гарантируя выдающуюся амортизацию и снижая риск непреднамеренных движений, что важно при быстрых перестроениях на корте.
3. Подошва для грунтовых кортов: Многоуровневая подошва специально адаптирована для игры на грунтовых покрытиях, обеспечивая исключительное сцепление и устойчивость на земляных кортах, что позволяет игроку с легкостью выполнять боковые и многонаправленные движения.
4. Промежуточная подошва: Эргономично спроектированная для максимального комфорта, промежуточная подошва улучшает распределение ударных нагрузок по стопе, минимизируя усталость и повышая выносливость во время игры.
5. Конструкция обуви: Продуманный дизайн обеспечивает превосходную посадку, обволакивая ногу и предоставляя поддержку где это наиболее необходимо, а также облегчая натяжение и давление на стопу.
6. Стиль и дизайн: Сочетание классических и современных элементов делает Blushield Torneo 2 Clay стильным выбором, выделяющим игрока на корте. Яркие акценты и характерный для Diadora логотип завершают образ, делая эти кроссовки идеальным сочетанием функциональности и моды.
В сумме, Diadora Blushield Torneo 2 Clay – это идеальный вариант для серьезных теннисистов, которые требуют от своей обуви не только высокой производительности и долговечности, но также высокого уровня комфорта и поддержки на грунтовых кортах.</t>
  </si>
  <si>
    <t>верх 55% полиэстер, 40% тпу, 5% искусственная кожа(полиуретан), подкладка 100% полиэстер, низ 100% резина</t>
  </si>
  <si>
    <t>VOLEE 6</t>
  </si>
  <si>
    <t>DR101179100D0622</t>
  </si>
  <si>
    <t>Ищете мужскую теннисную обувь для начала?
Что ж, Volee 6 предназначен для начинающих теннисистов!
Изготовлена из подошвы TPR, верха SuprellTech и сетки, хлопчатобумажного трикотажа и набивной пены EVA, подошвы из набивной пены EVA с C.C.</t>
  </si>
  <si>
    <t>Верх 87% искусственная кожа(полиуретан) 13% полиэстер, подкладка - 100% полиэстер, низ - 100% термопластичная резина</t>
  </si>
  <si>
    <t>EQUIPE SESTRIERE-XT</t>
  </si>
  <si>
    <t>DR101179551D0490</t>
  </si>
  <si>
    <t>Кроссовки Diadora EQUIPE SESTRIERE-XT отлично сочетают в себе наследие итальянской моды и инновационные технологии, создавая новый стандарт спортивной обуви.
Верх кроссовок выполнен из непромокаемой ткани и кожи высшего качества, что обеспечивает долговечность и защиту от неблагоприятных погодных условий. Мягкая внутренняя подкладка добавляет дополнительного комфорта, создавая теплую и уютную обувь для ежедневного использования.
Промежуточная подошва из EVA материала обеспечивает отличную амортизацию, в то время как прочная резиновая подошва добавляет нужную стабильность и сцепление со скользкими поверхностями. 
Система шнуровки содержит восьмиотверстный дизайн, который с легкостью адаптируется к форме ноги, обеспечивая надежную посадку на стопе. На язычке кроссовок расположен логотип Diadora, подчеркивающий качественный и премиальный характер обуви.
Строгий и элегантный дизайн кроссовок делает их идеальным дополнением к любому гардеробу. Их можно носить как с спортивной, так и с повседневной одеждой.
Кроссовки Diadora EQUIPE SESTRIERE-XT - это эффективное сочетание функциональности и стиля, доказывающее, что обувь для активного образа жизни может быть по-настоящему шикарной.</t>
  </si>
  <si>
    <t>мультиколор</t>
  </si>
  <si>
    <t>верх 45% полиэстер, 35% тпу, 20% искусственная кожа(полиуретан), подкладка 100% полиэстер, низ 100% резина</t>
  </si>
  <si>
    <t>SPEED BLUSHIELD FLY 4 + AG</t>
  </si>
  <si>
    <t>DR101179507D0274</t>
  </si>
  <si>
    <t>Кроссовки Diadora SPEED BLUSHIELD FLY 4 + AG предназначены для выдающихся спортсменов, кто ищет максимальную скорость и амортизацию на искусственных газонах.
Верх обуви изготовлен из дышащего Air Mesh и D Suprell с мягким внутренним вкладышем, создавая достаточную вентиляцию и комфорт во время игры. Система шнуровки позволит обеспечить плотно сидящую на ноге обувь, гарантирующую отличную поддержку.
Благодаря внедрению технологии Blushield в промежуточную подошву, обувь обеспечивает активное распределение нагрузки на стопу, большую стабильность и снижение уровня усталости. Эта модель также оснащена специальной технологией Power Flow, которая гарантирует 37% большую амортизацию и 31% большую возвратную мощность по сравнению с традиционной подошвой.
Уникальная подошва AG, сделанная из многонаправленных шипов, рассчитана на игру на искусственных газонах. Это обеспечивает отличное сцепление и управляемость для перенаправления и ускорения на поле.
Визуально кроссовки Diadora SPEED BLUSHIELD FLY 4 + AG впечатляют своим современным и динамичным дизайном, который будет обеспечивать выделения на поле.
В целом, эти кроссовки - идеальный выбор для футболистов, которые стремятся к высшей производительности и комфорту во время игры.</t>
  </si>
  <si>
    <t>DR101179508D0257</t>
  </si>
  <si>
    <t>Кроссовки женские SPEED BLUSHIELD FLY 4 + W CLAY - это специально разработанные кроссовки для тенниса, предназначенные для высокой производительности на грунтовых кортах. Они обладают технологией BLUSHIELD, которая обеспечивает стабильность, амортизацию и поддержку во время движений по корте. Кроссовки также имеют прочный, но легкий верх и подошву, обеспечивающие отличное сцепление с поверхностью корта. Дизайн кроссовок выполнен с учетом комфорта, функциональности и стиля, что делает их идеальным выбором для активных игроков, которые ценят качество и производительность в теннисной обуви.</t>
  </si>
  <si>
    <t>голубой/розовый</t>
  </si>
  <si>
    <t>Верх - 65% искусственная кожа(полиуретан) 35% полиэстер, подкладка - 100% полиэстер, низ - 100% резина</t>
  </si>
  <si>
    <t>SHELL HI</t>
  </si>
  <si>
    <t>101188126</t>
  </si>
  <si>
    <t>Туризм</t>
  </si>
  <si>
    <t>101188128</t>
  </si>
  <si>
    <t>101188130</t>
  </si>
  <si>
    <t>JOSEP HI</t>
  </si>
  <si>
    <t>101681901</t>
  </si>
  <si>
    <t>синт.кожа, текстиль</t>
  </si>
  <si>
    <t>JOSEP</t>
  </si>
  <si>
    <t>101681964</t>
  </si>
  <si>
    <t>VERONA</t>
  </si>
  <si>
    <t>101988031</t>
  </si>
  <si>
    <t>Текстиль</t>
  </si>
  <si>
    <t>DR101179099D0261</t>
  </si>
  <si>
    <t>Diadora B.ICON 2 AG представляют собой мужские спортивные кроссовки, предназначенные для игры в теннис на кортах с искусственным газоном (Artificial Grass). Эти кроссовки сочетают в себе передовые инновации бренда Diadora для обеспечения оптимальной производительности, долговечности и стиля, чтобы спортсмен мог наслаждаться игрой, чувствуя уверенность в каждом своем движении.
Важные характеристики кроссовок Diadora B.ICON 2 AG:
1. Верхняя часть: Качественные материалы обеспечивают верху кроссовок превосходную прочность и износостойкость, сохраняя при этом дышащие свойства, нужные для комфорта во время многих часов на корте.
2. Подошва AG: Подошва специально разработана с учетом требований искусственного газона, обладая уникальной структурой и расположением шипов, которые гарантируют оптимальное сцепление, повышая устойчивость и контроль при боковом движении или полном рывке.
3. Система амортизации: Внедренная технология в подошве эффективно поглощает удары, снижая нагрузку на стопы, суставы и мышцы. Это повышает комфорт и предотвращает возможные травмы при длительных игровых сессиях.
4. Улучшенная посадка: Анатомически разработанная конструкция кроссовок и система шнуровки обеспечивают плотное и безопасное прилегание к ноге, сохраняя естественную гибкость и обеспечивая максимальный контроль.
5. Стильный дизайн: Diadora B.ICON 2 AG имеют современный и стильный дизайн, который сочетает яркие цветовые акценты и элегантные линии, подчеркивающие спортивный характер и заслуженную репутацию бренда Diadora.
6. Долговечность: Использование высококачественных материалов и профессиональной сборки делает эти кроссовки прочными и способными выдерживать регулярные нагрузки, свойственные теннису на профессиональном уровне.
Кроссовки Diadora B.ICON 2 AG станут отличным выбором для теннисистов, которые предпочитают искусственные газонные покрытия и нуждаются в обуви, которая может удовлетворить их потребности в скорости, комфорте и устойчивости, не жертвуя при этом стильным внешним видом.</t>
  </si>
  <si>
    <t>белый/зеленый</t>
  </si>
  <si>
    <t>115</t>
  </si>
  <si>
    <t>DR101179099D0272</t>
  </si>
  <si>
    <t>черный/красный</t>
  </si>
  <si>
    <t>DR101179106D0261</t>
  </si>
  <si>
    <t>DR101179106D0272</t>
  </si>
  <si>
    <t>Diadora B.ICON 2 CLAY - это специализированные кроссовки, предназначенные для тенниса на грунтовых кортах. Они сочетают в себе стиль, комфорт и технологическое превосходство.
В основе этих кроссовок лежит прочная, но лёгкая синтетическая верхняя часть, позволяющая ноге дышать. Благодаря прочному материалу, они устойчивы к потрясениям и износу, обеспечивая надёжность в течение долгого времени.
Внутри обуви есть подкладка из материала, который впитывает пот и обеспечивает комфортную посадку. Используемая в кроссовках система амортизации обеспечивает максимальный комфорт при беге по корту.
Обувь оснащена подошвой, специально разработанной для грунтовых кортов, обеспечивая превосходное сцепление и устойчивость на скользящих поверхностях. 
Наконец, элегантный дизайн и сочетание классических цветов делают кроссовки Diadora B.ICON 2 CLAY идеальными для любого спортсмена. 
Эта обувь - изящное дополнение к спортивному гардеробу любого любителя тенниса, внося элемент стиля и функциональности в комплект спортивной одежды.</t>
  </si>
  <si>
    <t>Low Cut Shoe GC INTERMEDIATE</t>
  </si>
  <si>
    <t>S11447-KK002</t>
  </si>
  <si>
    <t>Во время тренировок эти низкие кеды были специально разработаны для максимальной производительности. Они имеют специальную структуру с открытыми ячейками для отведения влаги.</t>
  </si>
  <si>
    <t>верх 65% полиуретан, 35% полиэстер, подкладка 100% полиэстер, подошва 100% резина</t>
  </si>
  <si>
    <t>37,5</t>
  </si>
  <si>
    <t>DYNAMITES</t>
  </si>
  <si>
    <t>101385978</t>
  </si>
  <si>
    <t>RAPTOR MID</t>
  </si>
  <si>
    <t>DR101177703C0657</t>
  </si>
  <si>
    <t>Спортивные высокие кеды унисекс Raptor от Diadora из высококачественной искусственной кожи. Минималистская модель с контрастными логотипами.
Высокий верх
Кружевная застежка
Перфорация пальцев
Текстильный элемент вокруг щиколотки
Контрастный логотип на пятке
Этикетка с логотипом на язычке</t>
  </si>
  <si>
    <t>полиэстер; иск.кожа</t>
  </si>
  <si>
    <t>CORVETTE 3PR</t>
  </si>
  <si>
    <t>101399653</t>
  </si>
  <si>
    <t>FREYA</t>
  </si>
  <si>
    <t>101679481</t>
  </si>
  <si>
    <t>синт.кожа</t>
  </si>
  <si>
    <t>Low Cut Shoe CORE ELEMENT</t>
  </si>
  <si>
    <t>S21790-BS501</t>
  </si>
  <si>
    <t>Хорошо для ваших ног, хорошо для окружающей среды. Эти кроссовки с низким верхом, вдохновленные бегом, изготовлены из экологически чистых материалов и имеют мягкую подошву для дополнительного комфорта. Подходят для мужчин и женщин.</t>
  </si>
  <si>
    <t>верх 100% полиэстер, подкладка 100% полиэстер, подошва 100% резина</t>
  </si>
  <si>
    <t>DIADORA RAPTOR LOW</t>
  </si>
  <si>
    <t>DR101177704C1931</t>
  </si>
  <si>
    <t>Тотально белые кроссовки, которые вы захотите для своей коллекции. Изготовлены из искусственной кожи, со шнуровкой и внутренней подкладкой из сетки. Перфорированные детали спереди и сверху, аппликация с логотипом Diadora сбоку, принт с логотипом сзади и бирка с логотипом на язычке. Идеально подходит для повседневного использования.
Верх из мягкой синтетической кожи 
Стелька, которая адаптируется к стопе для комфорта при каждом шаге
Резиновая нескользящая подошва</t>
  </si>
  <si>
    <t>Верх - 100% искусственная кожа(полиуретан), подкладка - 100% полиэстер, низ - 100% термопластичная резина</t>
  </si>
  <si>
    <t>ACELINE 96 124 1 SMA</t>
  </si>
  <si>
    <t>747SMA003618C</t>
  </si>
  <si>
    <t>Кеды</t>
  </si>
  <si>
    <t>Кроссовки Lacoste - это дань уважения спортивному прошлому бренда в сочетании с современными технологиями. Универсальность, удобство и практичность сделает их фаворитами вашего гардероба.
 Кроссовки Celine 96, созданные по мотивам архивов Lacoste, созданы с использованием аутентичного фирменного стиля и вспомогательных технических элементов. Подошва выполнена с использованием потертостей, что придает паре винтажный вид.
 Мягкая кожа премиум-класса
 Высокотехнологичные стельки Ortholite с антимикробным покрытием, оснащенные амортизацией и идеальной фиксацией стопы
 Сетчатый воротник и язычок
 Рельефная резиновая подошва</t>
  </si>
  <si>
    <t>белый/ белый</t>
  </si>
  <si>
    <t>Верх - 85% кожа, 15% переработанный полиэстер, подкладка - 100% переработанный полиэстер, низ - 100% резина</t>
  </si>
  <si>
    <t>N.92 L</t>
  </si>
  <si>
    <t>DR101173744C0200</t>
  </si>
  <si>
    <t>Кроссовки Diadora - культовая модель любимая некоторыми из лучших спортсменов в истории спорта, теперь доступна в casual версии. Спортивная и casual обувь, сочетает в себе спортивную ДНК с типичной для бренда элегантностью.</t>
  </si>
  <si>
    <t>DR101173744C0657</t>
  </si>
  <si>
    <t>Кроссовки Diadora N.92 L - это классическая модель, которая сочетает в себе стиль и функциональность. Идеальный выбор для тех, кто ищет удобную и модную обувь.
Верх кроссовок выполнен из синтетической кожи высокого качества, что обеспечивает прочность и долговечность. Эта модель также имеет детали из замши и сетчатой ткани, которые добавляют стильный акцент и обеспечивают улучшенную вентиляцию.
Кроссовки Diadora N.92 L оснащены средней подошвой EVA, которая обеспечивает амортизацию и комфорт при ходьбе или беге. Они также имеют подошву из резины с отличным сцеплением, что делает их идеальными для активных занятий на улице.
Дизайн кроссовок Diadora N.92 L олицетворяет истинный стиль и элегантность. Они оснащены шнуровкой для идеальной посадки и фирменной символикой Diadora на язычке и заднике кроссовок.
Кроссовки Diadora N.92 L гарантируют не только стильный внешний вид, но и комфорт во время носки. Они идеально подходят для повседневного использования и тренировок, а также для создания модного образа.
Не важно, куда вы направляетесь - на прогулку, в тренажерный зал или просто на прогулку по городу – кроссовки Diadora N.92 L будут надежным спутником, который подчеркнет ваш стиль и обеспечит комфорт на протяжении дня.</t>
  </si>
  <si>
    <t>FINALE W CLAY</t>
  </si>
  <si>
    <t>DR101179360D0252</t>
  </si>
  <si>
    <t>Женские кроссовки Diadora FINALE W CLAY специально разработаны для игры в теннис на грунтовых кортах. Уникальный дизайн идеально сочетается с высоким качеством материалов, используемых в обуви этого бренда.
Верхняя часть обуви изготовлена из дышащего материала, который позволяет поддерживать оптимальную температуру внутри кроссовка, даже во время интенсивных тренировок. Эта модель отличается повышенной износостойкостью, благодаря усиленному носку. Специальная система шнуровки обеспечивает плотную и комфортную посадку на стопе.
Промежуточная подошва из EVA-материала обеспечивает исключительную амортизацию и снижает нагрузку на стопу при каждом шаге. Внешняя подошва сглаживает любые неровности поверхности и обеспечивает отличное сцепление с грунтовым кортом, что делает движения более точными и контролируемыми.
Удобный язычок и мягкая внутренняя подкладка делают процесс надевания и снятия более комфортным и быстрым. 
Дизайн кроссовок в стиле минимализма подчеркнет ваш стильский образ на корте. 
Кроссовки FINALE W CLAY от Diadora - идеальный выбор для тех, кто стремится к высоким результатам и ценит качество.</t>
  </si>
  <si>
    <t>верх 71% искусственная кожа(полиуретан), 29% полиэстер, подкладка 100% полиэстер, низ 100% резина</t>
  </si>
  <si>
    <t>RAPTOR HIGH SL</t>
  </si>
  <si>
    <t>DR101178324D0314</t>
  </si>
  <si>
    <t>Обувь Diadora Insignia подходит для повседневного использования. Имеют отверстия для вентиляции</t>
  </si>
  <si>
    <t>Верх 75% искусственная кожа(полиуретан), 20% бычья кожа, 5% полиэстер , подкладка 100% полиэстер, низ 100% термопластичная резина</t>
  </si>
  <si>
    <t>LINESHOT 124 3 SMA</t>
  </si>
  <si>
    <t>747SMA01112R2</t>
  </si>
  <si>
    <t>Кеды - обязательный элемент гардероба. Четкие линии и сдержанный силуэт будет уместен как на деловой встрече, так и на прогулке с любимыми.
 Кроссовки Lineshot созданы по мотивам архива Lacoste 90-х годов прошлого века. Этот стиль с низким берцем является частью коллекции Light Cognac, в которой используется основа с накладками из мягкой кожи. В то же время сетчатый воротник обеспечивает воздухопроницаемость, а стелька Ortholite обеспечивает дополнительный комфорт. В сочетании с фирменным логотипом этот стиль придает повседневным образам неповторимый вид.
 Верх из кожи
 Сетчатый воротник
 Высокотехнологичные стельки Ortholite с антимикробным покрытием, оснащенные амортизацией и идеальной фиксацией стопы</t>
  </si>
  <si>
    <t>белый/коричневый</t>
  </si>
  <si>
    <t>Верх - 80% кожа, 12% замша, 8% переработанный полиэстер, подкладка - 100% переработанный полиэстер, низ - 100% резина</t>
  </si>
  <si>
    <t>FINSTER</t>
  </si>
  <si>
    <t>101188182</t>
  </si>
  <si>
    <t>синт.кожа, текстиль, пластик</t>
  </si>
  <si>
    <t>FASHION BOOT KOLITA</t>
  </si>
  <si>
    <t>101190043</t>
  </si>
  <si>
    <t>синт.кожа; текстиль; резина</t>
  </si>
  <si>
    <t>SNEAKER</t>
  </si>
  <si>
    <t>101232861</t>
  </si>
  <si>
    <t>CHARLIE</t>
  </si>
  <si>
    <t>101385943</t>
  </si>
  <si>
    <t>101385991</t>
  </si>
  <si>
    <t>MODESTAS</t>
  </si>
  <si>
    <t>101386047</t>
  </si>
  <si>
    <t>101396780</t>
  </si>
  <si>
    <t>TRANKO 4FX</t>
  </si>
  <si>
    <t>101498163</t>
  </si>
  <si>
    <t>BASIC CASUAL BOOTS KING</t>
  </si>
  <si>
    <t>101562112</t>
  </si>
  <si>
    <t>12,5</t>
  </si>
  <si>
    <t>13,5</t>
  </si>
  <si>
    <t>101562113</t>
  </si>
  <si>
    <t>BASIC CASUAL BOOTS LINE</t>
  </si>
  <si>
    <t>101562143</t>
  </si>
  <si>
    <t>SNEAKER WPF</t>
  </si>
  <si>
    <t>101681706</t>
  </si>
  <si>
    <t>101681955</t>
  </si>
  <si>
    <t>ANKLE BOOT</t>
  </si>
  <si>
    <t>101681961</t>
  </si>
  <si>
    <t>кожа, синт.кожа, резина</t>
  </si>
  <si>
    <t>RIVER 2 STYLE 4</t>
  </si>
  <si>
    <t>101906219</t>
  </si>
  <si>
    <t>MAGNUS</t>
  </si>
  <si>
    <t>101917348</t>
  </si>
  <si>
    <t>NOVO</t>
  </si>
  <si>
    <t>101917478</t>
  </si>
  <si>
    <t>101917480</t>
  </si>
  <si>
    <t>DERULO</t>
  </si>
  <si>
    <t>101917483</t>
  </si>
  <si>
    <t>BRISTOL</t>
  </si>
  <si>
    <t>101917534</t>
  </si>
  <si>
    <t>101917535</t>
  </si>
  <si>
    <t>101917554</t>
  </si>
  <si>
    <t>101917573</t>
  </si>
  <si>
    <t>NEWTON NEW</t>
  </si>
  <si>
    <t>101987916</t>
  </si>
  <si>
    <t>RIVER 2</t>
  </si>
  <si>
    <t>101987929</t>
  </si>
  <si>
    <t>101987933</t>
  </si>
  <si>
    <t>101987940</t>
  </si>
  <si>
    <t>101987941</t>
  </si>
  <si>
    <t>101987965</t>
  </si>
  <si>
    <t>WILFRED</t>
  </si>
  <si>
    <t>101987974</t>
  </si>
  <si>
    <t>кожа, синт.кожа, текстиль, резина, пластик</t>
  </si>
  <si>
    <t>101988074</t>
  </si>
  <si>
    <t>101988077</t>
  </si>
  <si>
    <t>101988078</t>
  </si>
  <si>
    <t>101988079</t>
  </si>
  <si>
    <t>101988080</t>
  </si>
  <si>
    <t>101988081</t>
  </si>
  <si>
    <t>FRIDY</t>
  </si>
  <si>
    <t>101988083</t>
  </si>
  <si>
    <t>EVRIL</t>
  </si>
  <si>
    <t>101988095</t>
  </si>
  <si>
    <t>101988097</t>
  </si>
  <si>
    <t>101988099</t>
  </si>
  <si>
    <t>серо-коричневый</t>
  </si>
  <si>
    <t>101988100</t>
  </si>
  <si>
    <t>101988102</t>
  </si>
  <si>
    <t>101988103</t>
  </si>
  <si>
    <t>101988105</t>
  </si>
  <si>
    <t>101988108</t>
  </si>
  <si>
    <t>CHARLOTTE</t>
  </si>
  <si>
    <t>101988113</t>
  </si>
  <si>
    <t>кожа, синт.кожа, текстиль, пластик, резина</t>
  </si>
  <si>
    <t>TECLA</t>
  </si>
  <si>
    <t>101988164</t>
  </si>
  <si>
    <t>синт.кожа, кожа, текстиль</t>
  </si>
  <si>
    <t>TECLA 1</t>
  </si>
  <si>
    <t>101988168</t>
  </si>
  <si>
    <t>Замша, текстиль, синтетика</t>
  </si>
  <si>
    <t>Lacoste CARNABY EVO</t>
  </si>
  <si>
    <t>743SUC0004092</t>
  </si>
  <si>
    <t>Кеды - обязательный элемент гардероба. Четкие линии и сдержанный силуэт будет уместен как на деловой встрече, так и на прогулке с любимыми.</t>
  </si>
  <si>
    <t>верх 100% полиуретан, подкладка 100% текстиль, низ 100% резина</t>
  </si>
  <si>
    <t>KING</t>
  </si>
  <si>
    <t>SB64601-005S03M0014</t>
  </si>
  <si>
    <t>Детские ботинки Lumberjack BASIC CASUAL BOOTS KING – это великолепный выбор для маленьких модников, которым важны комфорт и стиль.
Синтетическая кожа, использованная в моделях BASIC CASUAL BOOTS KING, обладает высокой устойчивостью к износу, что делает ботинки долговечными и практичными. Они разработаны так, чтобы выдержать любые испытания – от активных игр на детской площадке до долгих прогулок в парке. Резиновая подошва ботинок обеспечивает отличное сцепление с различными поверхностями, что особенно важно для активных детей. Ваш малыш сможет уверенно и безопасно передвигаться как по асфальту, так и по скользким или неровным поверхностям, тем самым избегая неприятных падений и травм. 
Дизайн ботинок BASIC CASUAL BOOTS KING сочетает в себе современные черты и классические элементы, что делает их универсальным дополнением к любому гардеробу. Стильные и одновременно удобные, эти ботинки легко комбинируются с разной одеждой – от джинсов и спортивных комплектов до школьной формы и нарядных ансамблей. Независимо от ситуации, ваш ребёнок всегда будет выглядеть модно и чувствовать себя комфортно.
Внутренняя часть ботинок выполнена из мягкого и приятного на ощупь текстиля, который обеспечивает дополнительное удобство и удержание тепла. Это делает модель BASIC CASUAL BOOTS KING идеальной для любого времени года, будь то прохладная осень или снежная зима. Благодаря продуманной конструкции и использованию качественных материалов, ботинки надёжно фиксируются на ноге и предотвращают проникновение холода и влаги.</t>
  </si>
  <si>
    <t>Полиуретан</t>
  </si>
  <si>
    <t>27</t>
  </si>
  <si>
    <t>Насос</t>
  </si>
  <si>
    <t>BF-P03</t>
  </si>
  <si>
    <t>пластик; метал</t>
  </si>
  <si>
    <t>OSZ</t>
  </si>
  <si>
    <t>Starfit</t>
  </si>
  <si>
    <t>STARFITFA-701</t>
  </si>
  <si>
    <t>УТ-00010044</t>
  </si>
  <si>
    <t>Петли тренировочные</t>
  </si>
  <si>
    <t>Тренировочные петли Starfit FA-701, черный/зеленый УТ-00010044 – аксессуар для занятий фитнесом и функциональным тренингом. Используются как инструмент для выполнения безопасных и эффективных упражнений на развитие мышц грудной клетки, спины, рук, пресса, ног. Подходят для кардиотренировок и растяжки. Так как во время тренировки задействован только собственный вес тела человека, минимизирован риск перегрузки позвоночника.
Легко и быстро закрепляются в дверном проеме, точке подвеса на потолке, на уличной спортивной площадке.
Прочные карабины и современные синтетические материалы обеспечивают надежность и комфорт тренировки.
Для предотвращения скольжения рукоятки петель выполнены из нескользящего материала.
Max нагрузка 200 кг.</t>
  </si>
  <si>
    <t>текстиль, полипропилен, TPR, сталь, оксфорд</t>
  </si>
  <si>
    <t>L.TRACKSUIT HD FZ CORE</t>
  </si>
  <si>
    <t>DR10217985080013</t>
  </si>
  <si>
    <t>Diadora L.TRACKSUIT HD FZ CORE - это женский спортивный костюм, который обеспечивает комфорт, стиль и функциональность во время любых занятий физическими упражнениями или просто для повседневного использования.
Костюм состоит из куртки с полной молнией и брюк подходящего размера. Изготовленный из качественного, дышащего материала, он обеспечивает удобную посадку и максимальный комфорт в течение дня. 
Куртка оснащена практичным капюшоном и манжетами на рукавах, обеспечивающими дополнительную защиту от ветра и холода. Брюки имеют эластичный пояс для удобной регулировки посадки, а прорезные карманы на куртке и брюках предлагают удобное хранение мелких вещей.
Дизайн костюма отличает классический стиль Diadora - минималистичный, но элегантный. Стильный логотип Diadora на куртке и брюках добавляет ноту спортивного шика.
Diadora L.TRACKSUIT HD FZ CORE - это идеальный выбор для женщин, которые хотят сохранить активный образ жизни и при этом выглядеть стильно. Он идеален для тренировок, прогулок на свежем воздухе или просто для отдыха дома.</t>
  </si>
  <si>
    <t>36-38</t>
  </si>
  <si>
    <t>Bilcee Women's Hoodie</t>
  </si>
  <si>
    <t>TB20WL11W8785-1-1672</t>
  </si>
  <si>
    <t>Толстовка утепленная</t>
  </si>
  <si>
    <t>Благодаря своей теплой и мягкой ткани эта худи станет одним из незаменимых предметов одежды. Для свободы движений на рукавах и подоле использована двухслойная ткань (кашорт). 
Идеально подходит для повседневного и спортивного образа. Вы можете использовать его в повседневной жизни. - Вы можете легко использовать его до/после занятий спортом. - Подходит для использования в течение 3 сезонов.  Гигиеничность благодаря хлопковой нити. Так как полиэстер при стирке впитывает очень мало воды, он быстро сохнет. Имеет мягкую текстуру , обладает свойством сохранять тепло. Держит баланс влаги pH вашего тела под контролем. Благодаря быстросохнущей ткани вы будете чувствовать себя комфортно.</t>
  </si>
  <si>
    <t>TB20WL11W8785-1-1359</t>
  </si>
  <si>
    <t>Женская худи с капюшоном - это универсальная одежда для всех случаев жизни. Ее можно носить как в повседневной жизни, так и для занятий спортом. Изготовлена из мягкого материала, который приятен к телу и обеспечивает комфортное ношение в любое время года. Капюшон обеспечивает дополнительную защиту от ветра и дождя. Карман кенгуру поможет сохранить важные мелочи рядом с собой. Эта худи - отличный вариант для активных и стильных женщин, которые стремятся выглядеть привлекательно и удобно в любой ситуации. Для свободы движений на рукавах и подоле использована двухслойная ткань. 
Благодаря быстросохнущей ткани вы будете чувствовать себя комфортно весь день.</t>
  </si>
  <si>
    <t>KELME Tight jacket</t>
  </si>
  <si>
    <t>6128TL2002-203</t>
  </si>
  <si>
    <t>Kelme представляет удобную и элегантную женскую толстовку без капюшона, которая идеально подходит для повседневной носки. Толстовка выполнена из мягкой и легкой ткани, которая приятна на ощупь и позволяет коже дышать. Оригинальный дизайн сочетает в себе минималистичность и элегантность, подчеркивая женственность и индивидуальность. Высококачественный материал не растягивается и не линяет, что обеспечивает стойкость цвета и формы. Такая толстовка будет отлично сочетаться с любыми вещами из вашего гардероба и станет незаменимой частью вашего повседневного образа.</t>
  </si>
  <si>
    <t>75% нейлон 25% спандекс</t>
  </si>
  <si>
    <t>Bilcee Men's Vest</t>
  </si>
  <si>
    <t>TB19MA17W1268-1-1005</t>
  </si>
  <si>
    <t>Мужской жилет на молнии. Прочная ткань, из которой изготовлен жилет, водонепроницаема и не деформируется благодаря своей прочной структуре. Жилет обеспечивает защиту от ветра, а водоотталкивающие свойства ткани защитят вас от намокания в дождливую погоду. 
Модель пухового жилета с воротником можно комбинировать с различными толстовками на ваш вкус. Набивка сохраняет тепло. Наслаждайтесь элегантностью и комфортом!</t>
  </si>
  <si>
    <t>TB19MA17W1268-1-1611</t>
  </si>
  <si>
    <t>SWEAT SHIRT</t>
  </si>
  <si>
    <t>TB23ML01W1533-1-1001</t>
  </si>
  <si>
    <t>Джемпер утепленный</t>
  </si>
  <si>
    <t>Представляем мужской утепленный джемпер Bilcee SWEAT SHIRT – идеальное сочетание стиля, тепла и непревзойденного комфорта. Этот джемпер создан для того, чтобы вы чувствовали себя уютно и уверенно в любую прохладную погоду.
### Основные характеристики:
- Материал и утепление: Джемпер изготовлен из высококачественного трикотажа, который обеспечивает оптимальную теплоизоляцию, при этом оставаясь мягким и приятным к телу. Внутренняя подкладка из флиса или другого утепляющего материала добавляет дополнительный слой тепла и комфорта, защищая от холода даже в самые морозные дни.
- Классический дизайн и крой: Джемпер имеет стильный и лаконичный дизайн, который легко впишется как в повседневный, так и в деловой гардероб. Классический крой обеспечивает свободную посадку, позволяя двигаться с абсолютной свободой и комфортом.
- Горловина, манжеты и подол: Эластичные манжеты на рукавах и по нижнему краю джемпера гарантируют плотное прилегание, а круглая горловина выполнена с дополнительной окантовкой для защиты от растягивания и износа. Это обеспечивает надежную фиксацию и долговечность изделия, а также помогает сохранить тепло.
- Функциональные детали: Джемпер может быть оснащен удобными боковыми карманами для хранения мелочей или согревания рук в холодную погоду. Дополнительные детали, такие как вышивка или логотип бренда Bilcee, подчеркивают высокое качество и стиль изделия.
- Воздухопроницаемость: Несмотря на хорошую теплоизоляцию, материал джемпера обеспечивает отличную воздухопроницаемость, предотвращая перегрев и обеспечивая комфорт при длительном ношении.
### Идеальный выбор для:
- Ежедневной носки в холодное время года
- Сочетания с джинсами, брюками или спортивными штанами
- Офисного стиля или неформальных встреч
- Активного отдыха и прогулок на свежем воздухе
Мужской утепленный джемпер Bilcee SWEAT SHIRT – это отличный выбор для тех, кто ценит высокое качество, стиль и комфорт. Он станет незаменимым элементом вашего гардероба, обеспечивая тепло и уют в любую погоду.</t>
  </si>
  <si>
    <t>TB20WL11W8785-1-1057</t>
  </si>
  <si>
    <t>Женская хлопковая толстовка с капюшоном и карманом кенгуру.  Так как полиэстер при стирке впитывает очень мало воды, он очень быстро сохнет, а так же обладает свойством отталкивания влаги. Имеет мягкую текстуру, обладает свойством сохранять тепло. Благодаря быстросохнущей ткани вы будете чувствовать себя комфортно. Худи можно комфортно использовать в повседневной жизни. 
Для свободы движений на рукавах и подоле использована двухслойная ткань (кашорт). 
Благодаря своей теплой и мягкой ткани толстовка станет одним из незаменимых предметов одежды.</t>
  </si>
  <si>
    <t>KELME Women's Hoodie</t>
  </si>
  <si>
    <t>6136TT2025-000</t>
  </si>
  <si>
    <t>Худи</t>
  </si>
  <si>
    <t>Худи Kelme с капюшоном для занятий спортом и отдыха. Премиальный хлопок, мягкий приятный к телу материал. Эластичные манжеты с полосками в ретро-стиле обеспечивают идеальную посадку. Стильный принт логотипа на груди.</t>
  </si>
  <si>
    <t>Softshell  Jacket</t>
  </si>
  <si>
    <t>TB21ML06W9343-1-1001</t>
  </si>
  <si>
    <t>Куртка softshell</t>
  </si>
  <si>
    <t>Спортивная мужская ветровка Bilcee на молнии с капюшоном - то, что нужно для бега. Толстовка имеет технологию Softshell. Боковые карманы на молнии, нагрудный карман.</t>
  </si>
  <si>
    <t>SWEATSHIRT</t>
  </si>
  <si>
    <t>215977-MS515</t>
  </si>
  <si>
    <t>Оригинальный крой, вставки из ткани контрастных цветов, ворот округлый, рукава на трикотажных манжетах, низ на трикотажном поясе в резинку.  Посадка "CS" custom (кАстом) - стильная, оригинальная, разработанная дизайнерами специально для этого сезона. Ткань Cotton Light Spring Terry gr.260, смесовая ткань на основе хлопка. Джемпер подойдет для повседневного и спортивного образа. Базовый элемент гардероба на каждый день. Вид материала: трикотаж. Стирать при температуре 30 градусов, следовать рекомендациям на этикетке.</t>
  </si>
  <si>
    <t>83% хлопок, 17% полиэстер</t>
  </si>
  <si>
    <t>6128TL2002-000</t>
  </si>
  <si>
    <t>HOODIE FZ CORE</t>
  </si>
  <si>
    <t>DR10217884380013</t>
  </si>
  <si>
    <t>Толстовка Diadora HOODIE FZ CORE - это универсальный гардеробный элемент, который объединяет комфорт, функциональность и стиль. Этот модный предмет одежды идеально подходит для повседневного ношения и спортивных мероприятий.
Moдель выполнена из высококачественного хлопка и полиэстера, обеспечивая мягкость и долговечность. Материалы обеспечивают отличную циркуляцию воздуха, сохраняя тепло в холодное время года и предотвращая перегрев в более теплую погоду.
Застежка-молния на всю длину предоставляет возможность регулировать уровень покрытия и вентиляцию в зависимости от погодных условий или целей вашей тренировки. Модель также оснащена удобным капюшоном и регулируемым шнурком для настраиваемого покрытия и тепла.
Большие карманы на линии талии идеально подходят для хранения мелких предметов или для тепла ваших рук в холодные дни.
Толстовка выдержана в классическом нейтральном цвете с контрастным логотипом Diadora, отражающим происхождение бренда и подчеркивающим простоту и качество этого предмета гардероба.
Diadora HOODIE FZ CORE - это идеальное дополнение к вашему спортивному образу жизни, обеспечивающее комфорт и стиль, вне зависимости от ваших активностей.</t>
  </si>
  <si>
    <t>214511-BS008</t>
  </si>
  <si>
    <t>Мужская олимпийка позволит вам тренироваться с комфортом.Она создана для тех, кто хочет быть в тренде и чувствовать себя комфортно благодаря ощущению второй кожи и гибкой структуре. Лазерная перфорация, использованная в модели, предотвращает потоотделение, позволяя коже соприкасаться с воздухом. Благодаря своей влагопоглощающей способности, ткань очень быстро сохнет.</t>
  </si>
  <si>
    <t>70% вискоза, 30% хлопок</t>
  </si>
  <si>
    <t>L.HOODIE SLIT</t>
  </si>
  <si>
    <t>DR10217985280013</t>
  </si>
  <si>
    <t>Diadora L.HOODIE SLIT - это стильная и функциональная худи, которая станет идеальным дополнением к спортивному или повседневному образу. 
Худи сделана из высококачественного материала, который обеспечивает непревзойденный комфорт и износостойкость. Ткань обладает хорошими вентиляционными свойствами, позволяя коже дышать и обеспечивая ощущение свежести в течение всего дня.
Дизайн включает в себя капюшон, что делает худи идеальной для защиты от холода или ветра. Кроме того, эластичные манжеты на рукавах и нижнем крае гарантируют снуг фит, оберегают от проникновения холода и сохраняют тепло.
Diadora L.HOODIE SLIT также имеет карман-кенгуру, который придает ей практическую ценность, предоставляя дополнительное пространство для хранения мелочей. 
Стильное оформление с легендарным логотипом Diadora на груди подчеркивает спортивный характер и заявляет о вашей приверженности знаменитому бренду. 
В общем, Diadora L.HOODIE SLIT - это стильная, функциональная и чрезвычайно комфортная худи, идеально подходящая как для тренировок, так и для повседневного ношения.</t>
  </si>
  <si>
    <t>TB20WL11W8785-1-1801</t>
  </si>
  <si>
    <t>HOODIE BOX LOGO</t>
  </si>
  <si>
    <t>101510960</t>
  </si>
  <si>
    <t>верх 80% хлопок, 20% полиэстер</t>
  </si>
  <si>
    <t>EAGLE CREWNECK</t>
  </si>
  <si>
    <t>101943613</t>
  </si>
  <si>
    <t>FUN  TARTAN HOODIE SHIRT</t>
  </si>
  <si>
    <t>101989884</t>
  </si>
  <si>
    <t>101989888</t>
  </si>
  <si>
    <t>CREWNECK BOX LOGO</t>
  </si>
  <si>
    <t>101989942</t>
  </si>
  <si>
    <t>101989997</t>
  </si>
  <si>
    <t>HOODIE FULL ZIP BOX LOGO</t>
  </si>
  <si>
    <t>101990002</t>
  </si>
  <si>
    <t>ACAI TARTAN HOODIE SHIRT</t>
  </si>
  <si>
    <t>101990036</t>
  </si>
  <si>
    <t>101990038</t>
  </si>
  <si>
    <t>KELME Men's Sweater</t>
  </si>
  <si>
    <t>6134TT1006-000</t>
  </si>
  <si>
    <t>Классический свитшот Kelme в стиле оверсайз. Круглый вырез горловины. Эластичные манжеты и нижний край в рубчик. Выполнен из мягкого приятного к телу материала. Масштабный принт из контурных линий, образующих логотип бренда. Безупречные швы.</t>
  </si>
  <si>
    <t>WOMEN KNITTING T-SHIRT</t>
  </si>
  <si>
    <t>TB24WL07S9735-1-1613</t>
  </si>
  <si>
    <t>Женская футболка Bilcee WOMEN KNITTING T-SHIRT с короткими рукавами и открытыми плечами изготовлена из высококачественного материала, состоящего из комбинации натурального хлопка и эластана. Хлопок обеспечивает мягкость и отличную воздухопроницаемость, что делает футболку идеальной для ношения в теплую погоду. Эластан добавляет эластичность и гибкость, что обеспечивает идеальное облегание и комфорт на протяжении всего дня.
Футболка выполнена в современном и элегантном дизайне, сочетающем в себе женственность и нотки кокетства. Открытые плечи придают образу романтичность и утонченность, выделяя вас из толпы. Короткие рукава и свободный крой обеспечивают свободу движений и комфорт, делая футболку подходящей как для повседневной носки, так и для особых случаев. Стильные цветовые решения и аккуратный логотип Bilcee добавляют изделию индивидуальности и премиальности.
Bilcee WOMEN KNITTING T-SHIRT продумана до мелочей для обеспечения максимального удобства. Открытые плечи фиксимируются эластичными вставками, которые предотвращают их сползание и обеспечивают комфортную посадку. Ткань эффективно отводит влагу, позволяя коже дышать и сохранять ощущение свежести на протяжении всего дня. Свободный крой и мягкий материал гарантируют отсутствие натираний и дискомфорта, даже при длительном ношении.
Эта футболка идеально подходит для различных ситуаций: прогулок по городу, встреч с друзьями, пляжных поездок, а также отдыха на природе. Её легко комбинировать с различными элементами гардероба, такими как джинсы, шорты, юбки и леггинсы, создавая стильные и современные образы. Открытые плечи привносят в ваш образ нотку романтики и легкости, акцентируя внимание на изящности и женственности.
Женская футболка Bilcee WOMEN KNITTING T-SHIRT с короткими рукавами и открытыми плечами – это идеальный выбор для тех, кто ценит стиль, комфорт и качество. Благодаря высококачественным материалам и продуманному дизайну, эта футболка станет незаменимым элементом вашего летнего гардероба, создавая неповторимые и привлекательные образы, подчеркивая вашу индивидуальность и вкус.</t>
  </si>
  <si>
    <t>93% хлопок, 7% эластана</t>
  </si>
  <si>
    <t>Kelme T-shirt</t>
  </si>
  <si>
    <t>6224TX1001-100</t>
  </si>
  <si>
    <t>Мужская футболка Kelme - это стильная и удобная вещь для вашего гардероба. Футболка прямого кроя выполнена из высококачественных материалов, обеспечивая максимальный комфорт и свободу движения. Принт на футболке придает ей уникальный и выразительный вид, который подчеркнет вашу индивидуальность и стиль. Футболка Kelme сочетается со многими другими предметами вашей одежды, что позволяет создавать с ней много различных образов. Не упустите возможность добавить в свой гардероб такую универсальную вещь. Обновите свой стиль с мужской футболкой Kelme.</t>
  </si>
  <si>
    <t>72% хлопок 28% полиэстер</t>
  </si>
  <si>
    <t>L. SS T-SHIRT</t>
  </si>
  <si>
    <t>DR10217911955050</t>
  </si>
  <si>
    <t>Diadora L. SS T-SHIRT представляет собой женскую спортивную футболку с коротким рукавом, предназначенную для занятий спортом и активного отдыха. Эта футболка сочетает в себе комфорт, функциональность и модный дизайн, что делает её подходящей для разнообразной спортивной деятельности. Вот некоторые ключевые характеристики женской футболки Diadora L. SS T-SHIRT:
1. Материал: Обычно изготовлена из легких и дышащих тканей, которые обеспечивают хороший отвод влаги, сохраняя ощущение свежести и сухости даже во время интенсивных тренировок.
2. Крой: Женственный и слегка зауженный крой подчеркивает фигуру, при этом не ограничивая движений, и обеспечивает высокий уровень комфорта при носке.
3. Дизайн: Diadora заботится о том, чтобы спортивная одежда также была стильной, поэтому футболка может иметь современный дизайн с яркими цветами и принтами, а также логотипом бренда, который придает узнаваемость и подчеркивает спортивный стиль.
4. Воротник: Круглый воротник обеспечивает классический внешний вид и удобство при носке.
5. Универсальность: Хоть и предназначена для спорта, благодаря своему дизайну и комфортности, футболку можно носить в повседневной жизни, сочетая с различными элементами одежды.
Для занятий спортом или просто комфортного времяпровождения в теплую погоду, женская футболка Diadora L. SS T-SHIRT является отличным выбором, сочетая в себе качество изготовления и эстетическую привлекательность.</t>
  </si>
  <si>
    <t>сиреневый</t>
  </si>
  <si>
    <t>6227TX2013-100</t>
  </si>
  <si>
    <t>Женская футболка Kelme - это стильная и комфортная футболка, созданная специально для активных женщин. Футболка выполнена из высококачественного материала, который обеспечивает отличную прочность и долговечность. Она также обладает отличной воздухопроницаемостью, что позволяет телу дышать даже во время интенсивных тренировок или активных занятий спортом. 
Футболка Kelme имеет стильный и современный дизайн, который подчеркивает вашу индивидуальность. Она идеально сочетается с различными спортивными и повседневными нарядами, позволяя создавать разнообразные образы. 
Важное преимущество этой футболки - это ее комфортный крой. Она обеспечивает свободу движений и максимальный комфорт во время активных занятий. Благодаря своей универсальности и высокому качеству, футболка Kelme станет незаменимой вещью в вашем гардеробе.</t>
  </si>
  <si>
    <t>MEN KNITTING T-SHIRT</t>
  </si>
  <si>
    <t>TB24ML07S1380-1-1002</t>
  </si>
  <si>
    <t>Мужская хлопковая футболка Bilcee MEN KNITTING T-SHIRT изготавливается из высококачественного 100% хлопка. Благодаря этому материалу футболка чрезвычайно мягкая на ощупь, обеспечивает отличную воздухопроницаемость и комфорт на протяжении всего дня. Хлопок также обладает хорошей гигроскопичностью, что позволяет коже дышать и предотвращает образование неприятного запаха.
Классический крой футболки идеально подходит для повседневной носки. Минималистичный дизайн сочетается с аккуратными и прочными швами, что придает изделию стильный и аккуратный вид. Нейтральные оттенки и лаконичный брендовый логотип делают эту футболку универсальным элементом гардероба, который легко комбинируется с различной одеждой – от спортивного костюма до джинсов и курток.
Футболка продумана до мелочей для максимального удобства. Круглый вырез горловины и свободный крой обеспечивают свободу движений, что делает эту модель идеальной для активного отдыха и спорта. При этом хлопковая ткань сохраняет свою форму и цвет даже после многочисленных стирок, что гарантирует долгий срок службы изделия.
Мужская футболка Bilcee MEN KNITTING T-SHIRT подходит для самых разных ситуаций. Вы можете надеть ее на тренировку, утреннюю пробежку, прогулку по городу или использовать в качестве домашней одежды. Универсальная и практичная, эта футболка станет незаменимым элементом вашего повседневного гардероба, обеспечивая комфорт и стиль в любое время года.
Мужская хлопковая футболка Bilcee MEN KNITTING T-SHIRT сочетает в себе высокое качество материалов, практичный дизайн и максимальный комфорт. Это идеальный выбор для тех, кто ценит надежность и удобство в повседневной одежде, не отказываясь при этом от элегантности и стиля.</t>
  </si>
  <si>
    <t>L. TANK CLAY</t>
  </si>
  <si>
    <t>DR10217411850122</t>
  </si>
  <si>
    <t>Женская теннисная майка. Не следует пренебрегать женственностью и на теннисном корте. Легкая эластичная полиэфирная ткань этой майки обеспечивает максимальный комфорт во время тренировок, не забывая при этом о женственности. Мягкий топ с V-образным вырезом из эластичной сетки с боковыми вставками с принтом и вырезанной лазером вставкой на плечах. Сотовая структура ткани, разработанная компанией Diadora. Эффективно впитывает и отводит влагу и пот. Плоские швы для максимального комфорта.</t>
  </si>
  <si>
    <t>88% полиэстер 12% эластан</t>
  </si>
  <si>
    <t>Legacy American Classics V-Neck T-Shirt</t>
  </si>
  <si>
    <t>113331-YS094</t>
  </si>
  <si>
    <t>Женская футболка Champion из коллекции Legacy - American Classics. Простой классический крой, V-образный ворот. Логотип маленький с одной стороны, принт. Посадка "R" Regular (регуляр) по фигуре. Ткань Light Cotton Jersey gr.150, хлопок. Футболка подойдет для повседневного и спортивного образа. Базовый элемент гардероба на каждый день. Вид материала: трикотаж. Стирать при температуре 30 градусов, следовать инструкциям на этикетке.</t>
  </si>
  <si>
    <t>SS CORE T-SHIRT T</t>
  </si>
  <si>
    <t>DR10217913020002</t>
  </si>
  <si>
    <t>Футболка Diadora SS CORE T-SHIRT T изготовлена из высококачественного полиэстера, обеспечивая комфорт и вентиляцию во время активной физической нагрузки. Эта футболка идеально подходит для занятий спортом или повседневного использования.
У нее есть прочные швы, что позволяет ей выдерживать интенсивные тренировки и повышает ее долговечность. Материал полиэстера способствует отводу влаги от тела, что помогает оставаться сухими и комфортными во время физической активности.
Дизайн этой футболки простой и стильный, с классическим округлым вырезом и короткими рукавами. Она доступна в различных цветах, чтобы соответствовать вашему стилю и предпочтениям.
Футболка Diadora SS CORE T-SHIRT T - отличный выбор для всех, кто хочет выглядеть стильно и чувствовать себя уверенно во время спортивных мероприятий или просто в повседневной жизни.</t>
  </si>
  <si>
    <t>60-62</t>
  </si>
  <si>
    <t>L. SS T-SHIRT WORKOUT</t>
  </si>
  <si>
    <t>DR10217421045054</t>
  </si>
  <si>
    <t>Футболка с короткими рукавами из тонкого и приятного на ощупь материала. Ткань движется и растягивается вместе с вами, а изящная драпировка на плечах придает изделию живую нотку. Ваши самые динамичные тренировки должны сопровождаться только удобной экипировкой: футболка из сверхлегкой ткани Diadry в сочетании с дышащей сеткой обеспечивает неограниченную производительность. Чтобы сделать образ еще привлекательнее, модель украшают две оборки. Верхний материал DIA DRY: очень легкая рубашка с оптимальным отводом влаги.</t>
  </si>
  <si>
    <t>красный/розовый</t>
  </si>
  <si>
    <t>L. TANK EASY TENNIS</t>
  </si>
  <si>
    <t>DR10217414020002</t>
  </si>
  <si>
    <t>Теннисная майка из эластичного полиэстера с широким вырезом горловины и лазерной отделкой сзади.
Спинка-борцовка и лазерное украшение на спине.
Деталь в виде логотипа Diadora.
Быстрое высыхание. 
Дышащая ткань</t>
  </si>
  <si>
    <t>88% полиэстер/12% эластан</t>
  </si>
  <si>
    <t>HERMAN</t>
  </si>
  <si>
    <t>HERMAN JUSTIN</t>
  </si>
  <si>
    <t>80-317-02-00</t>
  </si>
  <si>
    <t>Вязаная шапка с помпоном. Модель JUSTIN 8100 выполнена в бежевом цвете объемным плетеным узором. Сбоку головной убор украшает небольшой деревянный значок с логотипом бренда HERMAN.</t>
  </si>
  <si>
    <t>30% шерсть - 70% акрил</t>
  </si>
  <si>
    <t>ONE</t>
  </si>
  <si>
    <t>54-61 см</t>
  </si>
  <si>
    <t>Helly Hansen</t>
  </si>
  <si>
    <t>Headwear OUTLINE BEANIE</t>
  </si>
  <si>
    <t>67147-990</t>
  </si>
  <si>
    <t>Основная ткань: 100% полиэстер</t>
  </si>
  <si>
    <t>STD</t>
  </si>
  <si>
    <t>KELME shorts</t>
  </si>
  <si>
    <t>6227DK1009-432</t>
  </si>
  <si>
    <t>Шорты Kelme - это идеальный выбор для тех, кто ищет яркий и стильный наряд для повседневных занятий. Шорты изготовлены из легкой и прочной ткани, которая обеспечивает комфорт и свободу движения. Яркие и стильные узоры позволяют выделиться из толпы и добавить индивидуальность в ваше повседневное общение. Карманы на боковых швах предоставляют удобное место для хранения мелких вещей, таких как мобильный телефон или ключи. Эластичный пояс и удобный крой создают оптимальную посадку и обеспечивают комфорт в течение всего дня. Не упустите возможность приобрести шорты Kelme, которые станут незаменимой вещью в вашем гардеробе.</t>
  </si>
  <si>
    <t>SHORTS</t>
  </si>
  <si>
    <t>212969-RM005</t>
  </si>
  <si>
    <t>Мужские шорты на шнурке из дышащей ткани. Эта ткань, имеющая гибкую структуру, благодаря своей влагопоглощающей способности поддерживает баланс влаги в организме и не раздражает тело своей текстурой. Модель идеального кроя чрезвычайно стильная с регулируемой шнуровкой и резинкой на талии.Благодаря удобной и мягкой текстуре вы можете использовать их на спортивных тренировках.Спортивные шорты обеспечат легкость и подвижность во время занятий спортом, так как хорошо тянутся.</t>
  </si>
  <si>
    <t>114093-WW001</t>
  </si>
  <si>
    <t>Женские шорты на шнурке из дышащей ткани. Эта ткань, имеющая гибкую структуру, благодаря своей влагопоглощающей способности поддерживает баланс влаги в организме и не раздражает тело своей текстурой. Модель идеального кроя чрезвычайно стильная с регулируемой шнуровкой и резинкой на талии.Благодаря удобной и мягкой текстуре вы можете использовать их на спортивных тренировках.Спортивные шорты обеспечат легкость и подвижность во время занятий спортом, так как хорошо тянутся.</t>
  </si>
  <si>
    <t>111345-KK001</t>
  </si>
  <si>
    <t>Шорты женские бермуды это идеальный вариант одежды на лето для дома и спорта, пляжа и бега, офиса, школы и фитнеса, похудения и тренировок, с боковыми карманами и веревкой для затяжки.</t>
  </si>
  <si>
    <t>55% полиэстер, 45% хлопок</t>
  </si>
  <si>
    <t>Kelme Woven Shorts</t>
  </si>
  <si>
    <t>6223DK2011-000</t>
  </si>
  <si>
    <t>Шорты Kelme - это идеальный выбор для энергичных и динамичных женщин, которые ценят комфорт и функциональность во время занятий спортом. Изготовленные из высококачественных материалов, они обеспечивают максимальный комфорт и свободу движений во время тренировки.</t>
  </si>
  <si>
    <t>85% полиэстер, 15% спандекс</t>
  </si>
  <si>
    <t>TB22WL09S0115-1-1002</t>
  </si>
  <si>
    <t>Велосипедки</t>
  </si>
  <si>
    <t>Эти женские велосипедки изготовлены из мягкого и дышащего хлопка с добавлением эластана, что обеспечивает удобную посадку и свободу движений во время активного отдыха или тренировок. Высокая талия подчеркивает красивые формы тела, а также обеспечивает дополнительную поддержку живота. Сочетание качественных материалов и стильного дизайна делает эти велосипедки идеальным выбором для модных и активных девушек, которые ценят комфорт и красоту. Эти короткие леггинсы в разных цветовых вариациях станут для вас спутником спорта, такого как йога, фитнес, пилатес и танцы.</t>
  </si>
  <si>
    <t>90% хлопок, 10% эластан</t>
  </si>
  <si>
    <t>MEN WOVEN SHORTS</t>
  </si>
  <si>
    <t>TB23ML15S0631-1-1001</t>
  </si>
  <si>
    <t>Эти мужские тренировочные шорты свободного кроя -  отличное решение для тех, кто заботится о своей форме и комфорте во время занятий спортом. Изготовленные из быстросохнущего материала, они обеспечивают максимальный комфорт и управление влагой в течение всего времени занятий. Широкий свободный крой и карманы на молнии, которые удобны для хранения мелочей оставляют достаточно места, что обеспечивает свободу движения и позволяет сосредоточиться на выполнении упражнений. Эти тренировочные шорты также очень стильные и современные а также обладают практичными карманами на молнии, где можно хранить важные вещи, такие как смартфон, ключи или кошелек. Идеально подходят для различных видов спорта, таких как фитнес, бег или тренировки в зале, эти шорты дополнительно подчеркнут вашу уверенность и комфорт во время занятий.</t>
  </si>
  <si>
    <t>95% полиэстер, 5% эластан</t>
  </si>
  <si>
    <t>SKIRT</t>
  </si>
  <si>
    <t>112194-KK001</t>
  </si>
  <si>
    <t>Стильная юбка из эластичного хлопка идеально дополнит любой образ.</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</si>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</sst>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0.0"/>
    <numFmt numFmtId="165" formatCode="0&quot;E&quot;"/>
    <numFmt numFmtId="166" formatCode="0&quot;R&quot;"/>
    <numFmt numFmtId="167" formatCode="0&quot;A&quot;"/>
    <numFmt numFmtId="168" formatCode="0&quot;RS&quot;"/>
    <numFmt numFmtId="169" formatCode="0&quot;L&quot;"/>
    <numFmt numFmtId="170" formatCode="0&quot;C&quot;"/>
    <numFmt numFmtId="171" formatCode="0&quot;S&quot;"/>
    <numFmt numFmtId="172" formatCode="0&quot;B&quot;"/>
    <numFmt numFmtId="173" formatCode="0&quot;M&quot;"/>
    <numFmt numFmtId="174" formatCode="0&quot;P&quot;"/>
    <numFmt numFmtId="175" formatCode="0&quot;U&quot;"/>
    <numFmt numFmtId="176" formatCode="0&quot;%ПОЛИЭСТЕР&quot;"/>
    <numFmt numFmtId="177" formatCode="0&quot;%НЕЙЛОН&quot;"/>
    <numFmt numFmtId="178" formatCode="00"/>
    <numFmt numFmtId="179" formatCode="0&quot;F&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92">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2" fontId="1" fillId="0" borderId="3"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164" fontId="0" fillId="3" borderId="1" xfId="0" applyNumberFormat="1" applyFill="1" applyBorder="1" applyAlignment="1">
      <alignment horizontal="center" vertical="top"/>
    </xf>
    <xf numFmtId="0" fontId="1" fillId="3" borderId="3" xfId="0" applyFont="1" applyFill="1" applyBorder="1" applyAlignment="1">
      <alignment horizontal="center" vertical="top"/>
    </xf>
    <xf numFmtId="1" fontId="0" fillId="0" borderId="2" xfId="0" applyNumberFormat="1" applyBorder="1" applyAlignment="1">
      <alignment horizontal="center" vertical="top" wrapText="1"/>
    </xf>
    <xf numFmtId="1" fontId="0" fillId="0" borderId="6" xfId="0" applyNumberFormat="1" applyBorder="1" applyAlignment="1">
      <alignment horizontal="center" vertical="top" wrapText="1"/>
    </xf>
    <xf numFmtId="165" fontId="0" fillId="0" borderId="2" xfId="0" applyNumberFormat="1" applyBorder="1" applyAlignment="1">
      <alignment horizontal="center" vertical="top" wrapText="1"/>
    </xf>
    <xf numFmtId="165" fontId="0" fillId="0" borderId="6" xfId="0" applyNumberFormat="1" applyBorder="1" applyAlignment="1">
      <alignment horizontal="center" vertical="top" wrapText="1"/>
    </xf>
    <xf numFmtId="166" fontId="0" fillId="0" borderId="2" xfId="0" applyNumberFormat="1" applyBorder="1" applyAlignment="1">
      <alignment horizontal="center" vertical="top" wrapText="1"/>
    </xf>
    <xf numFmtId="166" fontId="0" fillId="0" borderId="6" xfId="0" applyNumberFormat="1" applyBorder="1" applyAlignment="1">
      <alignment horizontal="center" vertical="top" wrapText="1"/>
    </xf>
    <xf numFmtId="167" fontId="0" fillId="0" borderId="2" xfId="0" applyNumberFormat="1" applyBorder="1" applyAlignment="1">
      <alignment horizontal="center" vertical="top" wrapText="1"/>
    </xf>
    <xf numFmtId="167" fontId="0" fillId="0" borderId="6" xfId="0" applyNumberFormat="1" applyBorder="1" applyAlignment="1">
      <alignment horizontal="center" vertical="top" wrapText="1"/>
    </xf>
    <xf numFmtId="168" fontId="0" fillId="0" borderId="2" xfId="0" applyNumberFormat="1" applyBorder="1" applyAlignment="1">
      <alignment horizontal="center" vertical="top" wrapText="1"/>
    </xf>
    <xf numFmtId="168" fontId="0" fillId="0" borderId="6" xfId="0" applyNumberFormat="1" applyBorder="1" applyAlignment="1">
      <alignment horizontal="center" vertical="top" wrapText="1"/>
    </xf>
    <xf numFmtId="169" fontId="0" fillId="0" borderId="2" xfId="0" applyNumberFormat="1" applyBorder="1" applyAlignment="1">
      <alignment horizontal="center" vertical="top" wrapText="1"/>
    </xf>
    <xf numFmtId="169" fontId="0" fillId="0" borderId="6" xfId="0" applyNumberFormat="1" applyBorder="1" applyAlignment="1">
      <alignment horizontal="center" vertical="top" wrapText="1"/>
    </xf>
    <xf numFmtId="170" fontId="0" fillId="0" borderId="2" xfId="0" applyNumberFormat="1" applyBorder="1" applyAlignment="1">
      <alignment horizontal="center" vertical="top" wrapText="1"/>
    </xf>
    <xf numFmtId="171" fontId="0" fillId="0" borderId="2" xfId="0" applyNumberFormat="1" applyBorder="1" applyAlignment="1">
      <alignment horizontal="center" vertical="top" wrapText="1"/>
    </xf>
    <xf numFmtId="172" fontId="0" fillId="0" borderId="2" xfId="0" applyNumberFormat="1" applyBorder="1" applyAlignment="1">
      <alignment horizontal="center" vertical="top" wrapText="1"/>
    </xf>
    <xf numFmtId="173" fontId="0" fillId="0" borderId="2" xfId="0" applyNumberFormat="1" applyBorder="1" applyAlignment="1">
      <alignment horizontal="center" vertical="top" wrapText="1"/>
    </xf>
    <xf numFmtId="174" fontId="0" fillId="0" borderId="2" xfId="0" applyNumberFormat="1" applyBorder="1" applyAlignment="1">
      <alignment horizontal="center" vertical="top" wrapText="1"/>
    </xf>
    <xf numFmtId="174" fontId="0" fillId="0" borderId="6" xfId="0" applyNumberFormat="1" applyBorder="1" applyAlignment="1">
      <alignment horizontal="center" vertical="top" wrapText="1"/>
    </xf>
    <xf numFmtId="175" fontId="0" fillId="0" borderId="2" xfId="0" applyNumberFormat="1" applyBorder="1" applyAlignment="1">
      <alignment horizontal="center" vertical="top" wrapText="1"/>
    </xf>
    <xf numFmtId="175" fontId="0" fillId="0" borderId="6" xfId="0" applyNumberFormat="1" applyBorder="1" applyAlignment="1">
      <alignment horizontal="center" vertical="top" wrapText="1"/>
    </xf>
    <xf numFmtId="176" fontId="0" fillId="0" borderId="3" xfId="0" applyNumberFormat="1" applyBorder="1" applyAlignment="1">
      <alignment horizontal="center" vertical="top" wrapText="1"/>
    </xf>
    <xf numFmtId="177" fontId="0" fillId="0" borderId="3" xfId="0" applyNumberFormat="1" applyBorder="1" applyAlignment="1">
      <alignment horizontal="center" vertical="top" wrapText="1"/>
    </xf>
    <xf numFmtId="2" fontId="0" fillId="0" borderId="3" xfId="0" applyNumberFormat="1" applyBorder="1" applyAlignment="1">
      <alignment horizontal="center" vertical="top"/>
    </xf>
    <xf numFmtId="3" fontId="0" fillId="3" borderId="1" xfId="0" applyNumberFormat="1" applyFill="1" applyBorder="1" applyAlignment="1">
      <alignment horizontal="center" vertical="top"/>
    </xf>
    <xf numFmtId="0" fontId="4" fillId="0" borderId="2" xfId="0" applyFont="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1" xfId="0" applyFont="1" applyBorder="1" applyAlignment="1">
      <alignment horizontal="center" vertical="top"/>
    </xf>
    <xf numFmtId="178" fontId="0" fillId="3" borderId="1" xfId="0" applyNumberFormat="1" applyFill="1" applyBorder="1" applyAlignment="1">
      <alignment horizontal="center" vertical="top"/>
    </xf>
    <xf numFmtId="179" fontId="0" fillId="0" borderId="2" xfId="0" applyNumberFormat="1" applyBorder="1" applyAlignment="1">
      <alignment horizontal="center" vertical="top" wrapText="1"/>
    </xf>
    <xf numFmtId="179" fontId="0" fillId="0" borderId="6"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3038-4AB7-B836-FC305BEA9A4A}"/>
            </c:ext>
          </c:extLst>
        </c:ser>
        <c:dLbls>
          <c:dLblPos val="outEnd"/>
          <c:showLegendKey val="0"/>
          <c:showVal val="1"/>
          <c:showCatName val="0"/>
          <c:showSerName val="0"/>
          <c:showPercent val="0"/>
          <c:showBubbleSize val="0"/>
        </c:dLbls>
        <c:gapWidth val="100"/>
        <c:axId val="618254408"/>
        <c:axId val="618255064"/>
      </c:barChart>
      <c:catAx>
        <c:axId val="6182544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618255064"/>
        <c:crosses val="autoZero"/>
        <c:auto val="1"/>
        <c:lblAlgn val="ctr"/>
        <c:lblOffset val="100"/>
        <c:noMultiLvlLbl val="0"/>
      </c:catAx>
      <c:valAx>
        <c:axId val="61825506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61825440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4318-449C-BC7E-75BC20C32EED}"/>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4318-449C-BC7E-75BC20C32EED}"/>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4318-449C-BC7E-75BC20C32EED}"/>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4318-449C-BC7E-75BC20C32EED}"/>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BFE9-42BE-B443-0A3CCC388C7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92" Type="http://schemas.openxmlformats.org/officeDocument/2006/relationships/image" Target="../media/image192.png"/><Relationship Id="rId497" Type="http://schemas.openxmlformats.org/officeDocument/2006/relationships/image" Target="../media/image497.png"/><Relationship Id="rId357" Type="http://schemas.openxmlformats.org/officeDocument/2006/relationships/image" Target="../media/image357.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936" Type="http://schemas.openxmlformats.org/officeDocument/2006/relationships/image" Target="../media/image936.png"/><Relationship Id="rId65" Type="http://schemas.openxmlformats.org/officeDocument/2006/relationships/image" Target="../media/image65.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1003" Type="http://schemas.openxmlformats.org/officeDocument/2006/relationships/image" Target="../media/image1003.png"/><Relationship Id="rId1087" Type="http://schemas.openxmlformats.org/officeDocument/2006/relationships/image" Target="../media/image1087.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1014" Type="http://schemas.openxmlformats.org/officeDocument/2006/relationships/image" Target="../media/image1014.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1025" Type="http://schemas.openxmlformats.org/officeDocument/2006/relationships/image" Target="../media/image1025.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1007" Type="http://schemas.openxmlformats.org/officeDocument/2006/relationships/image" Target="../media/image1007.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1018" Type="http://schemas.openxmlformats.org/officeDocument/2006/relationships/image" Target="../media/image1018.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020" Type="http://schemas.openxmlformats.org/officeDocument/2006/relationships/image" Target="../media/image1020.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1002" Type="http://schemas.openxmlformats.org/officeDocument/2006/relationships/image" Target="../media/image1002.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1024" Type="http://schemas.openxmlformats.org/officeDocument/2006/relationships/image" Target="../media/image1024.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1102" Type="http://schemas.openxmlformats.org/officeDocument/2006/relationships/image" Target="../media/image1102.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1080" Type="http://schemas.openxmlformats.org/officeDocument/2006/relationships/image" Target="../media/image1080.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271" Type="http://schemas.openxmlformats.org/officeDocument/2006/relationships/image" Target="../media/image271.png"/><Relationship Id="rId937" Type="http://schemas.openxmlformats.org/officeDocument/2006/relationships/image" Target="../media/image93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850" Type="http://schemas.openxmlformats.org/officeDocument/2006/relationships/image" Target="../media/image850.png"/><Relationship Id="rId948" Type="http://schemas.openxmlformats.org/officeDocument/2006/relationships/image" Target="../media/image948.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264" Type="http://schemas.openxmlformats.org/officeDocument/2006/relationships/image" Target="../media/image264.png"/><Relationship Id="rId471" Type="http://schemas.openxmlformats.org/officeDocument/2006/relationships/image" Target="../media/image471.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843" Type="http://schemas.openxmlformats.org/officeDocument/2006/relationships/image" Target="../media/image843.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836" Type="http://schemas.openxmlformats.org/officeDocument/2006/relationships/image" Target="../media/image836.png"/><Relationship Id="rId1021" Type="http://schemas.openxmlformats.org/officeDocument/2006/relationships/image" Target="../media/image1021.png"/><Relationship Id="rId903" Type="http://schemas.openxmlformats.org/officeDocument/2006/relationships/image" Target="../media/image903.png"/><Relationship Id="rId32" Type="http://schemas.openxmlformats.org/officeDocument/2006/relationships/image" Target="../media/image32.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54" Type="http://schemas.openxmlformats.org/officeDocument/2006/relationships/image" Target="../media/image54.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502" Type="http://schemas.openxmlformats.org/officeDocument/2006/relationships/image" Target="../media/image502.png"/><Relationship Id="rId947" Type="http://schemas.openxmlformats.org/officeDocument/2006/relationships/image" Target="../media/image947.png"/><Relationship Id="rId76" Type="http://schemas.openxmlformats.org/officeDocument/2006/relationships/image" Target="../media/image76.png"/><Relationship Id="rId807" Type="http://schemas.openxmlformats.org/officeDocument/2006/relationships/image" Target="../media/image807.png"/><Relationship Id="rId292" Type="http://schemas.openxmlformats.org/officeDocument/2006/relationships/image" Target="../media/image292.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38100</xdr:rowOff>
    </xdr:from>
    <xdr:to>
      <xdr:col>3</xdr:col>
      <xdr:colOff>1552575</xdr:colOff>
      <xdr:row>5</xdr:row>
      <xdr:rowOff>638175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38100</xdr:rowOff>
    </xdr:from>
    <xdr:to>
      <xdr:col>3</xdr:col>
      <xdr:colOff>1552575</xdr:colOff>
      <xdr:row>7</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11</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12</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13</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14</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17</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18</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19</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23</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25</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26</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38100</xdr:rowOff>
    </xdr:from>
    <xdr:to>
      <xdr:col>3</xdr:col>
      <xdr:colOff>1552575</xdr:colOff>
      <xdr:row>32</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38100</xdr:rowOff>
    </xdr:from>
    <xdr:to>
      <xdr:col>3</xdr:col>
      <xdr:colOff>1552575</xdr:colOff>
      <xdr:row>34</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38100</xdr:rowOff>
    </xdr:from>
    <xdr:to>
      <xdr:col>3</xdr:col>
      <xdr:colOff>1552575</xdr:colOff>
      <xdr:row>37</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47</xdr:row>
      <xdr:rowOff>209550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38100</xdr:rowOff>
    </xdr:from>
    <xdr:to>
      <xdr:col>3</xdr:col>
      <xdr:colOff>1552575</xdr:colOff>
      <xdr:row>52</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38100</xdr:rowOff>
    </xdr:from>
    <xdr:to>
      <xdr:col>3</xdr:col>
      <xdr:colOff>1552575</xdr:colOff>
      <xdr:row>61</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64</xdr:row>
      <xdr:rowOff>419100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71</xdr:row>
      <xdr:rowOff>333375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38100</xdr:rowOff>
    </xdr:from>
    <xdr:to>
      <xdr:col>3</xdr:col>
      <xdr:colOff>1552575</xdr:colOff>
      <xdr:row>75</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38100</xdr:rowOff>
    </xdr:from>
    <xdr:to>
      <xdr:col>3</xdr:col>
      <xdr:colOff>1552575</xdr:colOff>
      <xdr:row>79</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82</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98</xdr:row>
      <xdr:rowOff>419100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100</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38100</xdr:rowOff>
    </xdr:from>
    <xdr:to>
      <xdr:col>3</xdr:col>
      <xdr:colOff>1552575</xdr:colOff>
      <xdr:row>102</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105</xdr:row>
      <xdr:rowOff>419100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109</xdr:row>
      <xdr:rowOff>209550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117</xdr:row>
      <xdr:rowOff>152400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38100</xdr:rowOff>
    </xdr:from>
    <xdr:to>
      <xdr:col>3</xdr:col>
      <xdr:colOff>1552575</xdr:colOff>
      <xdr:row>122</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123</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124</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128</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133</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136</xdr:row>
      <xdr:rowOff>419100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139</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38100</xdr:rowOff>
    </xdr:from>
    <xdr:to>
      <xdr:col>3</xdr:col>
      <xdr:colOff>1552575</xdr:colOff>
      <xdr:row>141</xdr:row>
      <xdr:rowOff>638175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144</xdr:row>
      <xdr:rowOff>419100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147</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38100</xdr:rowOff>
    </xdr:from>
    <xdr:to>
      <xdr:col>3</xdr:col>
      <xdr:colOff>1552575</xdr:colOff>
      <xdr:row>149</xdr:row>
      <xdr:rowOff>638175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153</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38100</xdr:rowOff>
    </xdr:from>
    <xdr:to>
      <xdr:col>3</xdr:col>
      <xdr:colOff>1552575</xdr:colOff>
      <xdr:row>156</xdr:row>
      <xdr:rowOff>638175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159</xdr:row>
      <xdr:rowOff>419100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38100</xdr:rowOff>
    </xdr:from>
    <xdr:to>
      <xdr:col>3</xdr:col>
      <xdr:colOff>1552575</xdr:colOff>
      <xdr:row>161</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166</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38100</xdr:rowOff>
    </xdr:from>
    <xdr:to>
      <xdr:col>3</xdr:col>
      <xdr:colOff>1552575</xdr:colOff>
      <xdr:row>169</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173</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38100</xdr:rowOff>
    </xdr:from>
    <xdr:to>
      <xdr:col>3</xdr:col>
      <xdr:colOff>1552575</xdr:colOff>
      <xdr:row>175</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178</xdr:row>
      <xdr:rowOff>419100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183</xdr:row>
      <xdr:rowOff>333375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187</xdr:row>
      <xdr:rowOff>209550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38100</xdr:rowOff>
    </xdr:from>
    <xdr:to>
      <xdr:col>3</xdr:col>
      <xdr:colOff>1552575</xdr:colOff>
      <xdr:row>189</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194</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195</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197</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38100</xdr:rowOff>
    </xdr:from>
    <xdr:to>
      <xdr:col>3</xdr:col>
      <xdr:colOff>1552575</xdr:colOff>
      <xdr:row>199</xdr:row>
      <xdr:rowOff>638175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202</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207</xdr:row>
      <xdr:rowOff>333375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213</xdr:row>
      <xdr:rowOff>209550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28575</xdr:rowOff>
    </xdr:from>
    <xdr:to>
      <xdr:col>3</xdr:col>
      <xdr:colOff>1552575</xdr:colOff>
      <xdr:row>219</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220</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221</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222</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225</xdr:row>
      <xdr:rowOff>419100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228</xdr:row>
      <xdr:rowOff>419100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231</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233</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234</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38100</xdr:rowOff>
    </xdr:from>
    <xdr:to>
      <xdr:col>3</xdr:col>
      <xdr:colOff>1552575</xdr:colOff>
      <xdr:row>236</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239</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243</xdr:row>
      <xdr:rowOff>209550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246</xdr:row>
      <xdr:rowOff>419100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247</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249</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252</xdr:row>
      <xdr:rowOff>419100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38100</xdr:rowOff>
    </xdr:from>
    <xdr:to>
      <xdr:col>3</xdr:col>
      <xdr:colOff>1552575</xdr:colOff>
      <xdr:row>254</xdr:row>
      <xdr:rowOff>638175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255</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256</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257</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38100</xdr:rowOff>
    </xdr:from>
    <xdr:to>
      <xdr:col>3</xdr:col>
      <xdr:colOff>1552575</xdr:colOff>
      <xdr:row>259</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28575</xdr:rowOff>
    </xdr:from>
    <xdr:to>
      <xdr:col>3</xdr:col>
      <xdr:colOff>1552575</xdr:colOff>
      <xdr:row>260</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261</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262</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38100</xdr:rowOff>
    </xdr:from>
    <xdr:to>
      <xdr:col>3</xdr:col>
      <xdr:colOff>1552575</xdr:colOff>
      <xdr:row>264</xdr:row>
      <xdr:rowOff>638175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265</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266</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267</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268</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269</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270</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271</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274</xdr:row>
      <xdr:rowOff>419100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38100</xdr:rowOff>
    </xdr:from>
    <xdr:to>
      <xdr:col>3</xdr:col>
      <xdr:colOff>1552575</xdr:colOff>
      <xdr:row>276</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279</xdr:row>
      <xdr:rowOff>419100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280</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38100</xdr:rowOff>
    </xdr:from>
    <xdr:to>
      <xdr:col>3</xdr:col>
      <xdr:colOff>1552575</xdr:colOff>
      <xdr:row>282</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285</xdr:row>
      <xdr:rowOff>419100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288</xdr:row>
      <xdr:rowOff>419100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289</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290</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291</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293</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294</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295</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306</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307</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309</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310</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311</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312</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313</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314</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315</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316</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319</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320</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322</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323</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325</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328</xdr:row>
      <xdr:rowOff>419100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329</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38100</xdr:rowOff>
    </xdr:from>
    <xdr:to>
      <xdr:col>3</xdr:col>
      <xdr:colOff>1552575</xdr:colOff>
      <xdr:row>331</xdr:row>
      <xdr:rowOff>638175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38100</xdr:rowOff>
    </xdr:from>
    <xdr:to>
      <xdr:col>3</xdr:col>
      <xdr:colOff>1552575</xdr:colOff>
      <xdr:row>333</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336</xdr:row>
      <xdr:rowOff>419100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38100</xdr:rowOff>
    </xdr:from>
    <xdr:to>
      <xdr:col>3</xdr:col>
      <xdr:colOff>1552575</xdr:colOff>
      <xdr:row>338</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344</xdr:row>
      <xdr:rowOff>419100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346</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347</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353</xdr:row>
      <xdr:rowOff>209550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354</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355</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356</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357</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358</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359</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360</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361</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38100</xdr:rowOff>
    </xdr:from>
    <xdr:to>
      <xdr:col>3</xdr:col>
      <xdr:colOff>1552575</xdr:colOff>
      <xdr:row>363</xdr:row>
      <xdr:rowOff>638175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364</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368</xdr:row>
      <xdr:rowOff>209550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377</xdr:row>
      <xdr:rowOff>133350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389</xdr:row>
      <xdr:rowOff>133350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397</xdr:row>
      <xdr:rowOff>209550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401</xdr:row>
      <xdr:rowOff>209550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38100</xdr:rowOff>
    </xdr:from>
    <xdr:to>
      <xdr:col>3</xdr:col>
      <xdr:colOff>1552575</xdr:colOff>
      <xdr:row>403</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412</xdr:row>
      <xdr:rowOff>133350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38100</xdr:rowOff>
    </xdr:from>
    <xdr:to>
      <xdr:col>3</xdr:col>
      <xdr:colOff>1552575</xdr:colOff>
      <xdr:row>418</xdr:row>
      <xdr:rowOff>638175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421</xdr:row>
      <xdr:rowOff>419100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424</xdr:row>
      <xdr:rowOff>419100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38100</xdr:rowOff>
    </xdr:from>
    <xdr:to>
      <xdr:col>3</xdr:col>
      <xdr:colOff>1552575</xdr:colOff>
      <xdr:row>426</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38100</xdr:rowOff>
    </xdr:from>
    <xdr:to>
      <xdr:col>3</xdr:col>
      <xdr:colOff>1552575</xdr:colOff>
      <xdr:row>428</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38100</xdr:rowOff>
    </xdr:from>
    <xdr:to>
      <xdr:col>3</xdr:col>
      <xdr:colOff>1552575</xdr:colOff>
      <xdr:row>430</xdr:row>
      <xdr:rowOff>638175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436</xdr:row>
      <xdr:rowOff>209550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38100</xdr:rowOff>
    </xdr:from>
    <xdr:to>
      <xdr:col>3</xdr:col>
      <xdr:colOff>1552575</xdr:colOff>
      <xdr:row>438</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38100</xdr:rowOff>
    </xdr:from>
    <xdr:to>
      <xdr:col>3</xdr:col>
      <xdr:colOff>1552575</xdr:colOff>
      <xdr:row>440</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444</xdr:row>
      <xdr:rowOff>209550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447</xdr:row>
      <xdr:rowOff>419100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38100</xdr:rowOff>
    </xdr:from>
    <xdr:to>
      <xdr:col>3</xdr:col>
      <xdr:colOff>1552575</xdr:colOff>
      <xdr:row>449</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458</xdr:row>
      <xdr:rowOff>133350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472</xdr:row>
      <xdr:rowOff>133350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481</xdr:row>
      <xdr:rowOff>133350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487</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496</xdr:row>
      <xdr:rowOff>133350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505</xdr:row>
      <xdr:rowOff>133350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511</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520</xdr:row>
      <xdr:rowOff>133350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529</xdr:row>
      <xdr:rowOff>133350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541</xdr:row>
      <xdr:rowOff>133350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550</xdr:row>
      <xdr:rowOff>133350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559</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560</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562</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563</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38100</xdr:rowOff>
    </xdr:from>
    <xdr:to>
      <xdr:col>3</xdr:col>
      <xdr:colOff>1552575</xdr:colOff>
      <xdr:row>565</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566</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567</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576</xdr:row>
      <xdr:rowOff>133350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585</xdr:row>
      <xdr:rowOff>133350</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595</xdr:row>
      <xdr:rowOff>152400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596</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597</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598</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602</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603</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604</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605</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606</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615</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616</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617</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28575</xdr:rowOff>
    </xdr:from>
    <xdr:to>
      <xdr:col>3</xdr:col>
      <xdr:colOff>1552575</xdr:colOff>
      <xdr:row>618</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619</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621</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622</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28575</xdr:rowOff>
    </xdr:from>
    <xdr:to>
      <xdr:col>3</xdr:col>
      <xdr:colOff>1552575</xdr:colOff>
      <xdr:row>623</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624</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625</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626</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627</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628</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629</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630</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631</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28575</xdr:rowOff>
    </xdr:from>
    <xdr:to>
      <xdr:col>3</xdr:col>
      <xdr:colOff>1552575</xdr:colOff>
      <xdr:row>632</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634</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637</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638</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639</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640</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28575</xdr:rowOff>
    </xdr:from>
    <xdr:to>
      <xdr:col>3</xdr:col>
      <xdr:colOff>1552575</xdr:colOff>
      <xdr:row>641</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642</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646</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647</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648</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649</xdr:row>
      <xdr:rowOff>1266825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652</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653</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657</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658</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659</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660</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664</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665</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666</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667</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668</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673</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674</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28575</xdr:rowOff>
    </xdr:from>
    <xdr:to>
      <xdr:col>3</xdr:col>
      <xdr:colOff>1552575</xdr:colOff>
      <xdr:row>675</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676</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677</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678</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679</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680</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681</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682</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683</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684</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688</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690</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691</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692</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693</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28575</xdr:rowOff>
    </xdr:from>
    <xdr:to>
      <xdr:col>3</xdr:col>
      <xdr:colOff>1552575</xdr:colOff>
      <xdr:row>694</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699</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700</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701</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702</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703</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704</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705</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707</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708</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709</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710</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711</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712</xdr:row>
      <xdr:rowOff>1266825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713</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28575</xdr:rowOff>
    </xdr:from>
    <xdr:to>
      <xdr:col>3</xdr:col>
      <xdr:colOff>1552575</xdr:colOff>
      <xdr:row>714</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716</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717</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718</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719</xdr:row>
      <xdr:rowOff>28575</xdr:rowOff>
    </xdr:from>
    <xdr:to>
      <xdr:col>3</xdr:col>
      <xdr:colOff>1552575</xdr:colOff>
      <xdr:row>719</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720</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721</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722</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723</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28575</xdr:rowOff>
    </xdr:from>
    <xdr:to>
      <xdr:col>3</xdr:col>
      <xdr:colOff>1552575</xdr:colOff>
      <xdr:row>724</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725</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726</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728</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729</xdr:row>
      <xdr:rowOff>1266825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730</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731</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732</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28575</xdr:rowOff>
    </xdr:from>
    <xdr:to>
      <xdr:col>3</xdr:col>
      <xdr:colOff>1552575</xdr:colOff>
      <xdr:row>733</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734</xdr:row>
      <xdr:rowOff>28575</xdr:rowOff>
    </xdr:from>
    <xdr:to>
      <xdr:col>3</xdr:col>
      <xdr:colOff>1552575</xdr:colOff>
      <xdr:row>734</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735</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736</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737</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738</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739</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740</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741</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742</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743</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28575</xdr:rowOff>
    </xdr:from>
    <xdr:to>
      <xdr:col>3</xdr:col>
      <xdr:colOff>1552575</xdr:colOff>
      <xdr:row>744</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745</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746</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28575</xdr:rowOff>
    </xdr:from>
    <xdr:to>
      <xdr:col>3</xdr:col>
      <xdr:colOff>1552575</xdr:colOff>
      <xdr:row>747</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748</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749</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750</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751</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752</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28575</xdr:rowOff>
    </xdr:from>
    <xdr:to>
      <xdr:col>3</xdr:col>
      <xdr:colOff>1552575</xdr:colOff>
      <xdr:row>753</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754</xdr:row>
      <xdr:rowOff>1266825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755</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28575</xdr:rowOff>
    </xdr:from>
    <xdr:to>
      <xdr:col>3</xdr:col>
      <xdr:colOff>1552575</xdr:colOff>
      <xdr:row>756</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757</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758</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28575</xdr:rowOff>
    </xdr:from>
    <xdr:to>
      <xdr:col>3</xdr:col>
      <xdr:colOff>1552575</xdr:colOff>
      <xdr:row>759</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760</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761</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762</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763</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764</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765</xdr:row>
      <xdr:rowOff>1266825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766</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28575</xdr:rowOff>
    </xdr:from>
    <xdr:to>
      <xdr:col>3</xdr:col>
      <xdr:colOff>1552575</xdr:colOff>
      <xdr:row>767</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768</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769</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770</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771</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28575</xdr:rowOff>
    </xdr:from>
    <xdr:to>
      <xdr:col>3</xdr:col>
      <xdr:colOff>1552575</xdr:colOff>
      <xdr:row>772</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773</xdr:row>
      <xdr:rowOff>28575</xdr:rowOff>
    </xdr:from>
    <xdr:to>
      <xdr:col>3</xdr:col>
      <xdr:colOff>1552575</xdr:colOff>
      <xdr:row>773</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774</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775</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776</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777</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778</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28575</xdr:rowOff>
    </xdr:from>
    <xdr:to>
      <xdr:col>3</xdr:col>
      <xdr:colOff>1552575</xdr:colOff>
      <xdr:row>779</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780</xdr:row>
      <xdr:rowOff>28575</xdr:rowOff>
    </xdr:from>
    <xdr:to>
      <xdr:col>3</xdr:col>
      <xdr:colOff>1552575</xdr:colOff>
      <xdr:row>780</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781</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782</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783</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784</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785</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786</xdr:row>
      <xdr:rowOff>28575</xdr:rowOff>
    </xdr:from>
    <xdr:to>
      <xdr:col>3</xdr:col>
      <xdr:colOff>1552575</xdr:colOff>
      <xdr:row>786</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787</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788</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789</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790</xdr:row>
      <xdr:rowOff>1266825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791</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28575</xdr:rowOff>
    </xdr:from>
    <xdr:to>
      <xdr:col>3</xdr:col>
      <xdr:colOff>1552575</xdr:colOff>
      <xdr:row>792</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793</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794</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795</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796</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28575</xdr:rowOff>
    </xdr:from>
    <xdr:to>
      <xdr:col>3</xdr:col>
      <xdr:colOff>1552575</xdr:colOff>
      <xdr:row>797</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798</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800</xdr:row>
      <xdr:rowOff>1266825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801</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802</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804</xdr:row>
      <xdr:rowOff>1266825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805</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806</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807</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808</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809</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812</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813</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815</xdr:row>
      <xdr:rowOff>1266825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816</xdr:row>
      <xdr:rowOff>1266825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28575</xdr:rowOff>
    </xdr:from>
    <xdr:to>
      <xdr:col>3</xdr:col>
      <xdr:colOff>1552575</xdr:colOff>
      <xdr:row>817</xdr:row>
      <xdr:rowOff>1266825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818</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819</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820</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821</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822</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824</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825</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830</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831</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832</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28575</xdr:rowOff>
    </xdr:from>
    <xdr:to>
      <xdr:col>3</xdr:col>
      <xdr:colOff>1552575</xdr:colOff>
      <xdr:row>833</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834</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835</xdr:row>
      <xdr:rowOff>1266825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836</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28575</xdr:rowOff>
    </xdr:from>
    <xdr:to>
      <xdr:col>3</xdr:col>
      <xdr:colOff>1552575</xdr:colOff>
      <xdr:row>837</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838</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839</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841</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842</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843</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844</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847</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848</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849</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850</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851</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852</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28575</xdr:rowOff>
    </xdr:from>
    <xdr:to>
      <xdr:col>3</xdr:col>
      <xdr:colOff>1552575</xdr:colOff>
      <xdr:row>853</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854</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855</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856</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857</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858</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859</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860</xdr:row>
      <xdr:rowOff>28575</xdr:rowOff>
    </xdr:from>
    <xdr:to>
      <xdr:col>3</xdr:col>
      <xdr:colOff>1552575</xdr:colOff>
      <xdr:row>860</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861</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862</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866</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867</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869</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870</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871</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872</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877</xdr:row>
      <xdr:rowOff>209550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878</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38100</xdr:rowOff>
    </xdr:from>
    <xdr:to>
      <xdr:col>3</xdr:col>
      <xdr:colOff>1552575</xdr:colOff>
      <xdr:row>880</xdr:row>
      <xdr:rowOff>638175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885</xdr:row>
      <xdr:rowOff>333375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889</xdr:row>
      <xdr:rowOff>209550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892</xdr:row>
      <xdr:rowOff>419100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38100</xdr:rowOff>
    </xdr:from>
    <xdr:to>
      <xdr:col>3</xdr:col>
      <xdr:colOff>1552575</xdr:colOff>
      <xdr:row>894</xdr:row>
      <xdr:rowOff>638175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898</xdr:row>
      <xdr:rowOff>209550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902</xdr:row>
      <xdr:rowOff>209550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906</xdr:row>
      <xdr:rowOff>209550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910</xdr:row>
      <xdr:rowOff>209550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914</xdr:row>
      <xdr:rowOff>209550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28575</xdr:rowOff>
    </xdr:from>
    <xdr:to>
      <xdr:col>3</xdr:col>
      <xdr:colOff>1552575</xdr:colOff>
      <xdr:row>918</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28575</xdr:rowOff>
    </xdr:from>
    <xdr:to>
      <xdr:col>3</xdr:col>
      <xdr:colOff>1552575</xdr:colOff>
      <xdr:row>922</xdr:row>
      <xdr:rowOff>209550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927</xdr:row>
      <xdr:rowOff>333375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930</xdr:row>
      <xdr:rowOff>419100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934</xdr:row>
      <xdr:rowOff>209550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937</xdr:row>
      <xdr:rowOff>419100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941</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942</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28575</xdr:rowOff>
    </xdr:from>
    <xdr:to>
      <xdr:col>3</xdr:col>
      <xdr:colOff>1552575</xdr:colOff>
      <xdr:row>945</xdr:row>
      <xdr:rowOff>419100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950</xdr:row>
      <xdr:rowOff>333375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954</xdr:row>
      <xdr:rowOff>209550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28575</xdr:rowOff>
    </xdr:from>
    <xdr:to>
      <xdr:col>3</xdr:col>
      <xdr:colOff>1552575</xdr:colOff>
      <xdr:row>958</xdr:row>
      <xdr:rowOff>209550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959</xdr:row>
      <xdr:rowOff>28575</xdr:rowOff>
    </xdr:from>
    <xdr:to>
      <xdr:col>3</xdr:col>
      <xdr:colOff>1552575</xdr:colOff>
      <xdr:row>961</xdr:row>
      <xdr:rowOff>419100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28575</xdr:rowOff>
    </xdr:from>
    <xdr:to>
      <xdr:col>3</xdr:col>
      <xdr:colOff>1552575</xdr:colOff>
      <xdr:row>966</xdr:row>
      <xdr:rowOff>333375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970</xdr:row>
      <xdr:rowOff>209550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971</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972</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28575</xdr:rowOff>
    </xdr:from>
    <xdr:to>
      <xdr:col>3</xdr:col>
      <xdr:colOff>1552575</xdr:colOff>
      <xdr:row>973</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974</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975</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976</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28575</xdr:rowOff>
    </xdr:from>
    <xdr:to>
      <xdr:col>3</xdr:col>
      <xdr:colOff>1552575</xdr:colOff>
      <xdr:row>977</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978</xdr:row>
      <xdr:rowOff>28575</xdr:rowOff>
    </xdr:from>
    <xdr:to>
      <xdr:col>3</xdr:col>
      <xdr:colOff>1552575</xdr:colOff>
      <xdr:row>978</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979</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980</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981</xdr:row>
      <xdr:rowOff>28575</xdr:rowOff>
    </xdr:from>
    <xdr:to>
      <xdr:col>3</xdr:col>
      <xdr:colOff>1552575</xdr:colOff>
      <xdr:row>984</xdr:row>
      <xdr:rowOff>209550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28575</xdr:rowOff>
    </xdr:from>
    <xdr:to>
      <xdr:col>3</xdr:col>
      <xdr:colOff>1552575</xdr:colOff>
      <xdr:row>988</xdr:row>
      <xdr:rowOff>209550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992</xdr:row>
      <xdr:rowOff>209550</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996</xdr:row>
      <xdr:rowOff>209550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997</xdr:row>
      <xdr:rowOff>28575</xdr:rowOff>
    </xdr:from>
    <xdr:to>
      <xdr:col>3</xdr:col>
      <xdr:colOff>1552575</xdr:colOff>
      <xdr:row>1000</xdr:row>
      <xdr:rowOff>209550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38100</xdr:rowOff>
    </xdr:from>
    <xdr:to>
      <xdr:col>3</xdr:col>
      <xdr:colOff>1552575</xdr:colOff>
      <xdr:row>1002</xdr:row>
      <xdr:rowOff>638175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38100</xdr:rowOff>
    </xdr:from>
    <xdr:to>
      <xdr:col>3</xdr:col>
      <xdr:colOff>1552575</xdr:colOff>
      <xdr:row>1004</xdr:row>
      <xdr:rowOff>638175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38100</xdr:rowOff>
    </xdr:from>
    <xdr:to>
      <xdr:col>3</xdr:col>
      <xdr:colOff>1552575</xdr:colOff>
      <xdr:row>1006</xdr:row>
      <xdr:rowOff>638175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1011</xdr:row>
      <xdr:rowOff>333375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1015</xdr:row>
      <xdr:rowOff>209550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28575</xdr:rowOff>
    </xdr:from>
    <xdr:to>
      <xdr:col>3</xdr:col>
      <xdr:colOff>1552575</xdr:colOff>
      <xdr:row>1019</xdr:row>
      <xdr:rowOff>209550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1024</xdr:row>
      <xdr:rowOff>333375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1027</xdr:row>
      <xdr:rowOff>419100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1028</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1029</xdr:row>
      <xdr:rowOff>28575</xdr:rowOff>
    </xdr:from>
    <xdr:to>
      <xdr:col>3</xdr:col>
      <xdr:colOff>1552575</xdr:colOff>
      <xdr:row>1031</xdr:row>
      <xdr:rowOff>419100</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1032</xdr:row>
      <xdr:rowOff>28575</xdr:rowOff>
    </xdr:from>
    <xdr:to>
      <xdr:col>3</xdr:col>
      <xdr:colOff>1552575</xdr:colOff>
      <xdr:row>1034</xdr:row>
      <xdr:rowOff>419100</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38100</xdr:rowOff>
    </xdr:from>
    <xdr:to>
      <xdr:col>3</xdr:col>
      <xdr:colOff>1552575</xdr:colOff>
      <xdr:row>1036</xdr:row>
      <xdr:rowOff>638175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1037</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1042</xdr:row>
      <xdr:rowOff>333375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28575</xdr:rowOff>
    </xdr:from>
    <xdr:to>
      <xdr:col>3</xdr:col>
      <xdr:colOff>1552575</xdr:colOff>
      <xdr:row>1046</xdr:row>
      <xdr:rowOff>209550</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28575</xdr:rowOff>
    </xdr:from>
    <xdr:to>
      <xdr:col>3</xdr:col>
      <xdr:colOff>1552575</xdr:colOff>
      <xdr:row>1051</xdr:row>
      <xdr:rowOff>333375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1052</xdr:row>
      <xdr:rowOff>28575</xdr:rowOff>
    </xdr:from>
    <xdr:to>
      <xdr:col>3</xdr:col>
      <xdr:colOff>1552575</xdr:colOff>
      <xdr:row>1055</xdr:row>
      <xdr:rowOff>209550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38100</xdr:rowOff>
    </xdr:from>
    <xdr:to>
      <xdr:col>3</xdr:col>
      <xdr:colOff>1552575</xdr:colOff>
      <xdr:row>1057</xdr:row>
      <xdr:rowOff>638175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38100</xdr:rowOff>
    </xdr:from>
    <xdr:to>
      <xdr:col>3</xdr:col>
      <xdr:colOff>1552575</xdr:colOff>
      <xdr:row>1059</xdr:row>
      <xdr:rowOff>638175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1060</xdr:row>
      <xdr:rowOff>38100</xdr:rowOff>
    </xdr:from>
    <xdr:to>
      <xdr:col>3</xdr:col>
      <xdr:colOff>1552575</xdr:colOff>
      <xdr:row>1061</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1062</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28575</xdr:rowOff>
    </xdr:from>
    <xdr:to>
      <xdr:col>3</xdr:col>
      <xdr:colOff>1552575</xdr:colOff>
      <xdr:row>1063</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1064</xdr:row>
      <xdr:rowOff>28575</xdr:rowOff>
    </xdr:from>
    <xdr:to>
      <xdr:col>3</xdr:col>
      <xdr:colOff>1552575</xdr:colOff>
      <xdr:row>1067</xdr:row>
      <xdr:rowOff>209550</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1071</xdr:row>
      <xdr:rowOff>209550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1072</xdr:row>
      <xdr:rowOff>28575</xdr:rowOff>
    </xdr:from>
    <xdr:to>
      <xdr:col>3</xdr:col>
      <xdr:colOff>1552575</xdr:colOff>
      <xdr:row>1075</xdr:row>
      <xdr:rowOff>209550</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1079</xdr:row>
      <xdr:rowOff>209550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1083</xdr:row>
      <xdr:rowOff>209550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1086</xdr:row>
      <xdr:rowOff>419100</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1087</xdr:row>
      <xdr:rowOff>28575</xdr:rowOff>
    </xdr:from>
    <xdr:to>
      <xdr:col>3</xdr:col>
      <xdr:colOff>1552575</xdr:colOff>
      <xdr:row>1089</xdr:row>
      <xdr:rowOff>419100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1092</xdr:row>
      <xdr:rowOff>419100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1097</xdr:row>
      <xdr:rowOff>333375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38100</xdr:rowOff>
    </xdr:from>
    <xdr:to>
      <xdr:col>3</xdr:col>
      <xdr:colOff>1552575</xdr:colOff>
      <xdr:row>1099</xdr:row>
      <xdr:rowOff>638175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1102</xdr:row>
      <xdr:rowOff>419100</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1105</xdr:row>
      <xdr:rowOff>419100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1109</xdr:row>
      <xdr:rowOff>209550</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1113</xdr:row>
      <xdr:rowOff>209550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1118</xdr:row>
      <xdr:rowOff>333375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28575</xdr:rowOff>
    </xdr:from>
    <xdr:to>
      <xdr:col>3</xdr:col>
      <xdr:colOff>1552575</xdr:colOff>
      <xdr:row>1122</xdr:row>
      <xdr:rowOff>209550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38100</xdr:rowOff>
    </xdr:from>
    <xdr:to>
      <xdr:col>3</xdr:col>
      <xdr:colOff>1552575</xdr:colOff>
      <xdr:row>1124</xdr:row>
      <xdr:rowOff>638175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28575</xdr:rowOff>
    </xdr:from>
    <xdr:to>
      <xdr:col>3</xdr:col>
      <xdr:colOff>1552575</xdr:colOff>
      <xdr:row>1125</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1126</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1127</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1128</xdr:row>
      <xdr:rowOff>28575</xdr:rowOff>
    </xdr:from>
    <xdr:to>
      <xdr:col>3</xdr:col>
      <xdr:colOff>1552575</xdr:colOff>
      <xdr:row>1128</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28575</xdr:rowOff>
    </xdr:from>
    <xdr:to>
      <xdr:col>3</xdr:col>
      <xdr:colOff>1552575</xdr:colOff>
      <xdr:row>1131</xdr:row>
      <xdr:rowOff>419100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1136</xdr:row>
      <xdr:rowOff>333375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1137</xdr:row>
      <xdr:rowOff>28575</xdr:rowOff>
    </xdr:from>
    <xdr:to>
      <xdr:col>3</xdr:col>
      <xdr:colOff>1552575</xdr:colOff>
      <xdr:row>1140</xdr:row>
      <xdr:rowOff>209550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1146</xdr:row>
      <xdr:rowOff>209550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1147</xdr:row>
      <xdr:rowOff>28575</xdr:rowOff>
    </xdr:from>
    <xdr:to>
      <xdr:col>3</xdr:col>
      <xdr:colOff>1552575</xdr:colOff>
      <xdr:row>1151</xdr:row>
      <xdr:rowOff>333375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28575</xdr:rowOff>
    </xdr:from>
    <xdr:to>
      <xdr:col>3</xdr:col>
      <xdr:colOff>1552575</xdr:colOff>
      <xdr:row>1156</xdr:row>
      <xdr:rowOff>333375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1161</xdr:row>
      <xdr:rowOff>333375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1166</xdr:row>
      <xdr:rowOff>333375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1167</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28575</xdr:rowOff>
    </xdr:from>
    <xdr:to>
      <xdr:col>3</xdr:col>
      <xdr:colOff>1552575</xdr:colOff>
      <xdr:row>1171</xdr:row>
      <xdr:rowOff>209550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28575</xdr:rowOff>
    </xdr:from>
    <xdr:to>
      <xdr:col>3</xdr:col>
      <xdr:colOff>1552575</xdr:colOff>
      <xdr:row>1174</xdr:row>
      <xdr:rowOff>419100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38100</xdr:rowOff>
    </xdr:from>
    <xdr:to>
      <xdr:col>3</xdr:col>
      <xdr:colOff>1552575</xdr:colOff>
      <xdr:row>1176</xdr:row>
      <xdr:rowOff>638175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38100</xdr:rowOff>
    </xdr:from>
    <xdr:to>
      <xdr:col>3</xdr:col>
      <xdr:colOff>1552575</xdr:colOff>
      <xdr:row>1178</xdr:row>
      <xdr:rowOff>638175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38100</xdr:rowOff>
    </xdr:from>
    <xdr:to>
      <xdr:col>3</xdr:col>
      <xdr:colOff>1552575</xdr:colOff>
      <xdr:row>1180</xdr:row>
      <xdr:rowOff>638175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1185</xdr:row>
      <xdr:rowOff>333375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38100</xdr:rowOff>
    </xdr:from>
    <xdr:to>
      <xdr:col>3</xdr:col>
      <xdr:colOff>1552575</xdr:colOff>
      <xdr:row>1187</xdr:row>
      <xdr:rowOff>638175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1188</xdr:row>
      <xdr:rowOff>28575</xdr:rowOff>
    </xdr:from>
    <xdr:to>
      <xdr:col>3</xdr:col>
      <xdr:colOff>1552575</xdr:colOff>
      <xdr:row>1190</xdr:row>
      <xdr:rowOff>419100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1195</xdr:row>
      <xdr:rowOff>333375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1196</xdr:row>
      <xdr:rowOff>28575</xdr:rowOff>
    </xdr:from>
    <xdr:to>
      <xdr:col>3</xdr:col>
      <xdr:colOff>1552575</xdr:colOff>
      <xdr:row>1199</xdr:row>
      <xdr:rowOff>209550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1203</xdr:row>
      <xdr:rowOff>209550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1204</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1205</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1206</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1211</xdr:row>
      <xdr:rowOff>333375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1216</xdr:row>
      <xdr:rowOff>333375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1217</xdr:row>
      <xdr:rowOff>28575</xdr:rowOff>
    </xdr:from>
    <xdr:to>
      <xdr:col>3</xdr:col>
      <xdr:colOff>1552575</xdr:colOff>
      <xdr:row>1221</xdr:row>
      <xdr:rowOff>333375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1225</xdr:row>
      <xdr:rowOff>209550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1230</xdr:row>
      <xdr:rowOff>333375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1235</xdr:row>
      <xdr:rowOff>333375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28575</xdr:rowOff>
    </xdr:from>
    <xdr:to>
      <xdr:col>3</xdr:col>
      <xdr:colOff>1552575</xdr:colOff>
      <xdr:row>1240</xdr:row>
      <xdr:rowOff>333375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1245</xdr:row>
      <xdr:rowOff>333375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1246</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1251</xdr:row>
      <xdr:rowOff>333375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1252</xdr:row>
      <xdr:rowOff>28575</xdr:rowOff>
    </xdr:from>
    <xdr:to>
      <xdr:col>3</xdr:col>
      <xdr:colOff>1552575</xdr:colOff>
      <xdr:row>1252</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1255</xdr:row>
      <xdr:rowOff>419100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38100</xdr:rowOff>
    </xdr:from>
    <xdr:to>
      <xdr:col>3</xdr:col>
      <xdr:colOff>1552575</xdr:colOff>
      <xdr:row>1257</xdr:row>
      <xdr:rowOff>638175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1258</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28575</xdr:rowOff>
    </xdr:from>
    <xdr:to>
      <xdr:col>3</xdr:col>
      <xdr:colOff>1552575</xdr:colOff>
      <xdr:row>1259</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28575</xdr:rowOff>
    </xdr:from>
    <xdr:to>
      <xdr:col>3</xdr:col>
      <xdr:colOff>1552575</xdr:colOff>
      <xdr:row>1260</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38100</xdr:rowOff>
    </xdr:from>
    <xdr:to>
      <xdr:col>3</xdr:col>
      <xdr:colOff>1552575</xdr:colOff>
      <xdr:row>1262</xdr:row>
      <xdr:rowOff>638175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1263</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1267</xdr:row>
      <xdr:rowOff>209550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38100</xdr:rowOff>
    </xdr:from>
    <xdr:to>
      <xdr:col>3</xdr:col>
      <xdr:colOff>1552575</xdr:colOff>
      <xdr:row>1269</xdr:row>
      <xdr:rowOff>638175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1270</xdr:row>
      <xdr:rowOff>28575</xdr:rowOff>
    </xdr:from>
    <xdr:to>
      <xdr:col>3</xdr:col>
      <xdr:colOff>1552575</xdr:colOff>
      <xdr:row>1270</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38100</xdr:rowOff>
    </xdr:from>
    <xdr:to>
      <xdr:col>3</xdr:col>
      <xdr:colOff>1552575</xdr:colOff>
      <xdr:row>1272</xdr:row>
      <xdr:rowOff>638175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28575</xdr:rowOff>
    </xdr:from>
    <xdr:to>
      <xdr:col>3</xdr:col>
      <xdr:colOff>1552575</xdr:colOff>
      <xdr:row>1273</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1274</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1275</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1279</xdr:row>
      <xdr:rowOff>419100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1280</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1281</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1282</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1283</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1287</xdr:row>
      <xdr:rowOff>419100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1290</xdr:row>
      <xdr:rowOff>419100</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38100</xdr:rowOff>
    </xdr:from>
    <xdr:to>
      <xdr:col>3</xdr:col>
      <xdr:colOff>1552575</xdr:colOff>
      <xdr:row>1292</xdr:row>
      <xdr:rowOff>638175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1293</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1294</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1295</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1296</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28575</xdr:rowOff>
    </xdr:from>
    <xdr:to>
      <xdr:col>3</xdr:col>
      <xdr:colOff>1552575</xdr:colOff>
      <xdr:row>1297</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1298</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1299</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28575</xdr:rowOff>
    </xdr:from>
    <xdr:to>
      <xdr:col>3</xdr:col>
      <xdr:colOff>1552575</xdr:colOff>
      <xdr:row>1300</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28575</xdr:rowOff>
    </xdr:from>
    <xdr:to>
      <xdr:col>3</xdr:col>
      <xdr:colOff>1552575</xdr:colOff>
      <xdr:row>1301</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1302</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28575</xdr:rowOff>
    </xdr:from>
    <xdr:to>
      <xdr:col>3</xdr:col>
      <xdr:colOff>1552575</xdr:colOff>
      <xdr:row>1303</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38100</xdr:rowOff>
    </xdr:from>
    <xdr:to>
      <xdr:col>3</xdr:col>
      <xdr:colOff>1552575</xdr:colOff>
      <xdr:row>1305</xdr:row>
      <xdr:rowOff>638175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38100</xdr:rowOff>
    </xdr:from>
    <xdr:to>
      <xdr:col>3</xdr:col>
      <xdr:colOff>1552575</xdr:colOff>
      <xdr:row>1307</xdr:row>
      <xdr:rowOff>638175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28575</xdr:rowOff>
    </xdr:from>
    <xdr:to>
      <xdr:col>3</xdr:col>
      <xdr:colOff>1552575</xdr:colOff>
      <xdr:row>1310</xdr:row>
      <xdr:rowOff>419100</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38100</xdr:rowOff>
    </xdr:from>
    <xdr:to>
      <xdr:col>3</xdr:col>
      <xdr:colOff>1552575</xdr:colOff>
      <xdr:row>1312</xdr:row>
      <xdr:rowOff>638175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28575</xdr:rowOff>
    </xdr:from>
    <xdr:to>
      <xdr:col>3</xdr:col>
      <xdr:colOff>1552575</xdr:colOff>
      <xdr:row>1315</xdr:row>
      <xdr:rowOff>419100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1318</xdr:row>
      <xdr:rowOff>419100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1319</xdr:row>
      <xdr:rowOff>28575</xdr:rowOff>
    </xdr:from>
    <xdr:to>
      <xdr:col>3</xdr:col>
      <xdr:colOff>1552575</xdr:colOff>
      <xdr:row>1321</xdr:row>
      <xdr:rowOff>419100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1324</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1327</xdr:row>
      <xdr:rowOff>419100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1328</xdr:row>
      <xdr:rowOff>28575</xdr:rowOff>
    </xdr:from>
    <xdr:to>
      <xdr:col>3</xdr:col>
      <xdr:colOff>1552575</xdr:colOff>
      <xdr:row>1330</xdr:row>
      <xdr:rowOff>419100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38100</xdr:rowOff>
    </xdr:from>
    <xdr:to>
      <xdr:col>3</xdr:col>
      <xdr:colOff>1552575</xdr:colOff>
      <xdr:row>1332</xdr:row>
      <xdr:rowOff>638175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1335</xdr:row>
      <xdr:rowOff>419100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38100</xdr:rowOff>
    </xdr:from>
    <xdr:to>
      <xdr:col>3</xdr:col>
      <xdr:colOff>1552575</xdr:colOff>
      <xdr:row>1337</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1340</xdr:row>
      <xdr:rowOff>419100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1343</xdr:row>
      <xdr:rowOff>419100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1346</xdr:row>
      <xdr:rowOff>419100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1349</xdr:row>
      <xdr:rowOff>419100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1352</xdr:row>
      <xdr:rowOff>419100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1355</xdr:row>
      <xdr:rowOff>419100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1358</xdr:row>
      <xdr:rowOff>419100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38100</xdr:rowOff>
    </xdr:from>
    <xdr:to>
      <xdr:col>3</xdr:col>
      <xdr:colOff>1552575</xdr:colOff>
      <xdr:row>1360</xdr:row>
      <xdr:rowOff>638175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38100</xdr:rowOff>
    </xdr:from>
    <xdr:to>
      <xdr:col>3</xdr:col>
      <xdr:colOff>1552575</xdr:colOff>
      <xdr:row>1362</xdr:row>
      <xdr:rowOff>638175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1365</xdr:row>
      <xdr:rowOff>419100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1368</xdr:row>
      <xdr:rowOff>419100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38100</xdr:rowOff>
    </xdr:from>
    <xdr:to>
      <xdr:col>3</xdr:col>
      <xdr:colOff>1552575</xdr:colOff>
      <xdr:row>1370</xdr:row>
      <xdr:rowOff>638175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1371</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1374</xdr:row>
      <xdr:rowOff>419100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1377</xdr:row>
      <xdr:rowOff>419100</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1380</xdr:row>
      <xdr:rowOff>419100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1383</xdr:row>
      <xdr:rowOff>419100</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1386</xdr:row>
      <xdr:rowOff>419100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1389</xdr:row>
      <xdr:rowOff>419100</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1390</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1393</xdr:row>
      <xdr:rowOff>419100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38100</xdr:rowOff>
    </xdr:from>
    <xdr:to>
      <xdr:col>3</xdr:col>
      <xdr:colOff>1552575</xdr:colOff>
      <xdr:row>1395</xdr:row>
      <xdr:rowOff>638175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1398</xdr:row>
      <xdr:rowOff>419100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1401</xdr:row>
      <xdr:rowOff>419100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38100</xdr:rowOff>
    </xdr:from>
    <xdr:to>
      <xdr:col>3</xdr:col>
      <xdr:colOff>1552575</xdr:colOff>
      <xdr:row>1403</xdr:row>
      <xdr:rowOff>638175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38100</xdr:rowOff>
    </xdr:from>
    <xdr:to>
      <xdr:col>3</xdr:col>
      <xdr:colOff>1552575</xdr:colOff>
      <xdr:row>1405</xdr:row>
      <xdr:rowOff>638175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28575</xdr:rowOff>
    </xdr:from>
    <xdr:to>
      <xdr:col>3</xdr:col>
      <xdr:colOff>1552575</xdr:colOff>
      <xdr:row>1408</xdr:row>
      <xdr:rowOff>419100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38100</xdr:rowOff>
    </xdr:from>
    <xdr:to>
      <xdr:col>3</xdr:col>
      <xdr:colOff>1552575</xdr:colOff>
      <xdr:row>1410</xdr:row>
      <xdr:rowOff>638175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1413</xdr:row>
      <xdr:rowOff>419100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1416</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1419</xdr:row>
      <xdr:rowOff>419100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1422</xdr:row>
      <xdr:rowOff>419100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1425</xdr:row>
      <xdr:rowOff>419100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1428</xdr:row>
      <xdr:rowOff>419100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1431</xdr:row>
      <xdr:rowOff>419100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28575</xdr:rowOff>
    </xdr:from>
    <xdr:to>
      <xdr:col>3</xdr:col>
      <xdr:colOff>1552575</xdr:colOff>
      <xdr:row>1434</xdr:row>
      <xdr:rowOff>419100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1437</xdr:row>
      <xdr:rowOff>419100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1440</xdr:row>
      <xdr:rowOff>419100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1441</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1442</xdr:row>
      <xdr:rowOff>28575</xdr:rowOff>
    </xdr:from>
    <xdr:to>
      <xdr:col>3</xdr:col>
      <xdr:colOff>1552575</xdr:colOff>
      <xdr:row>1442</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1443</xdr:row>
      <xdr:rowOff>1266825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1444</xdr:row>
      <xdr:rowOff>1266825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1447</xdr:row>
      <xdr:rowOff>419100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1450</xdr:row>
      <xdr:rowOff>419100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38100</xdr:rowOff>
    </xdr:from>
    <xdr:to>
      <xdr:col>3</xdr:col>
      <xdr:colOff>1552575</xdr:colOff>
      <xdr:row>1452</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1455</xdr:row>
      <xdr:rowOff>419100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1458</xdr:row>
      <xdr:rowOff>419100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1461</xdr:row>
      <xdr:rowOff>419100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1464</xdr:row>
      <xdr:rowOff>419100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1467</xdr:row>
      <xdr:rowOff>419100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28575</xdr:rowOff>
    </xdr:from>
    <xdr:to>
      <xdr:col>3</xdr:col>
      <xdr:colOff>1552575</xdr:colOff>
      <xdr:row>1470</xdr:row>
      <xdr:rowOff>419100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1473</xdr:row>
      <xdr:rowOff>419100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38100</xdr:rowOff>
    </xdr:from>
    <xdr:to>
      <xdr:col>3</xdr:col>
      <xdr:colOff>1552575</xdr:colOff>
      <xdr:row>1475</xdr:row>
      <xdr:rowOff>638175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1476</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38100</xdr:rowOff>
    </xdr:from>
    <xdr:to>
      <xdr:col>3</xdr:col>
      <xdr:colOff>1552575</xdr:colOff>
      <xdr:row>1478</xdr:row>
      <xdr:rowOff>638175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1479</xdr:row>
      <xdr:rowOff>1266825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1480</xdr:row>
      <xdr:rowOff>28575</xdr:rowOff>
    </xdr:from>
    <xdr:to>
      <xdr:col>3</xdr:col>
      <xdr:colOff>1552575</xdr:colOff>
      <xdr:row>1480</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1481</xdr:row>
      <xdr:rowOff>1266825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1482</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1485</xdr:row>
      <xdr:rowOff>419100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1486</xdr:row>
      <xdr:rowOff>1266825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1487</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38100</xdr:rowOff>
    </xdr:from>
    <xdr:to>
      <xdr:col>3</xdr:col>
      <xdr:colOff>1552575</xdr:colOff>
      <xdr:row>1489</xdr:row>
      <xdr:rowOff>638175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1490</xdr:row>
      <xdr:rowOff>1266825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1491</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38100</xdr:rowOff>
    </xdr:from>
    <xdr:to>
      <xdr:col>3</xdr:col>
      <xdr:colOff>1552575</xdr:colOff>
      <xdr:row>1493</xdr:row>
      <xdr:rowOff>638175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1496</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1499</xdr:row>
      <xdr:rowOff>419100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1500</xdr:row>
      <xdr:rowOff>38100</xdr:rowOff>
    </xdr:from>
    <xdr:to>
      <xdr:col>3</xdr:col>
      <xdr:colOff>1552575</xdr:colOff>
      <xdr:row>1501</xdr:row>
      <xdr:rowOff>638175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1504</xdr:row>
      <xdr:rowOff>419100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28575</xdr:rowOff>
    </xdr:from>
    <xdr:to>
      <xdr:col>3</xdr:col>
      <xdr:colOff>1552575</xdr:colOff>
      <xdr:row>1505</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1506</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38100</xdr:rowOff>
    </xdr:from>
    <xdr:to>
      <xdr:col>3</xdr:col>
      <xdr:colOff>1552575</xdr:colOff>
      <xdr:row>1508</xdr:row>
      <xdr:rowOff>638175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1509</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28575</xdr:rowOff>
    </xdr:from>
    <xdr:to>
      <xdr:col>3</xdr:col>
      <xdr:colOff>1552575</xdr:colOff>
      <xdr:row>1510</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1513</xdr:row>
      <xdr:rowOff>419100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38100</xdr:rowOff>
    </xdr:from>
    <xdr:to>
      <xdr:col>3</xdr:col>
      <xdr:colOff>1552575</xdr:colOff>
      <xdr:row>1515</xdr:row>
      <xdr:rowOff>638175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1518</xdr:row>
      <xdr:rowOff>419100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38100</xdr:rowOff>
    </xdr:from>
    <xdr:to>
      <xdr:col>3</xdr:col>
      <xdr:colOff>1552575</xdr:colOff>
      <xdr:row>1520</xdr:row>
      <xdr:rowOff>638175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38100</xdr:rowOff>
    </xdr:from>
    <xdr:to>
      <xdr:col>3</xdr:col>
      <xdr:colOff>1552575</xdr:colOff>
      <xdr:row>1522</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1525</xdr:row>
      <xdr:rowOff>419100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1526</xdr:row>
      <xdr:rowOff>28575</xdr:rowOff>
    </xdr:from>
    <xdr:to>
      <xdr:col>3</xdr:col>
      <xdr:colOff>1552575</xdr:colOff>
      <xdr:row>1528</xdr:row>
      <xdr:rowOff>419100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1531</xdr:row>
      <xdr:rowOff>419100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38100</xdr:rowOff>
    </xdr:from>
    <xdr:to>
      <xdr:col>3</xdr:col>
      <xdr:colOff>1552575</xdr:colOff>
      <xdr:row>1533</xdr:row>
      <xdr:rowOff>638175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38100</xdr:rowOff>
    </xdr:from>
    <xdr:to>
      <xdr:col>3</xdr:col>
      <xdr:colOff>1552575</xdr:colOff>
      <xdr:row>1535</xdr:row>
      <xdr:rowOff>638175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1538</xdr:row>
      <xdr:rowOff>419100</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1539</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1540</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38100</xdr:rowOff>
    </xdr:from>
    <xdr:to>
      <xdr:col>3</xdr:col>
      <xdr:colOff>1552575</xdr:colOff>
      <xdr:row>1542</xdr:row>
      <xdr:rowOff>638175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1543</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1544</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1545</xdr:row>
      <xdr:rowOff>28575</xdr:rowOff>
    </xdr:from>
    <xdr:to>
      <xdr:col>3</xdr:col>
      <xdr:colOff>1552575</xdr:colOff>
      <xdr:row>1545</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38100</xdr:rowOff>
    </xdr:from>
    <xdr:to>
      <xdr:col>3</xdr:col>
      <xdr:colOff>1552575</xdr:colOff>
      <xdr:row>1547</xdr:row>
      <xdr:rowOff>638175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1550</xdr:row>
      <xdr:rowOff>419100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1551</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38100</xdr:rowOff>
    </xdr:from>
    <xdr:to>
      <xdr:col>3</xdr:col>
      <xdr:colOff>1552575</xdr:colOff>
      <xdr:row>1554</xdr:row>
      <xdr:rowOff>638175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1555</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38100</xdr:rowOff>
    </xdr:from>
    <xdr:to>
      <xdr:col>3</xdr:col>
      <xdr:colOff>1552575</xdr:colOff>
      <xdr:row>1557</xdr:row>
      <xdr:rowOff>638175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28575</xdr:rowOff>
    </xdr:from>
    <xdr:to>
      <xdr:col>3</xdr:col>
      <xdr:colOff>1552575</xdr:colOff>
      <xdr:row>1560</xdr:row>
      <xdr:rowOff>419100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1563</xdr:row>
      <xdr:rowOff>419100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1564</xdr:row>
      <xdr:rowOff>38100</xdr:rowOff>
    </xdr:from>
    <xdr:to>
      <xdr:col>3</xdr:col>
      <xdr:colOff>1552575</xdr:colOff>
      <xdr:row>1565</xdr:row>
      <xdr:rowOff>638175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1568</xdr:row>
      <xdr:rowOff>419100</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1569</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1572</xdr:row>
      <xdr:rowOff>419100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38100</xdr:rowOff>
    </xdr:from>
    <xdr:to>
      <xdr:col>3</xdr:col>
      <xdr:colOff>1552575</xdr:colOff>
      <xdr:row>1574</xdr:row>
      <xdr:rowOff>638175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1578</xdr:row>
      <xdr:rowOff>419100</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1581</xdr:row>
      <xdr:rowOff>419100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1584</xdr:row>
      <xdr:rowOff>419100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38100</xdr:rowOff>
    </xdr:from>
    <xdr:to>
      <xdr:col>3</xdr:col>
      <xdr:colOff>1552575</xdr:colOff>
      <xdr:row>1587</xdr:row>
      <xdr:rowOff>638175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38100</xdr:rowOff>
    </xdr:from>
    <xdr:to>
      <xdr:col>3</xdr:col>
      <xdr:colOff>1552575</xdr:colOff>
      <xdr:row>1590</xdr:row>
      <xdr:rowOff>638175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1591</xdr:row>
      <xdr:rowOff>38100</xdr:rowOff>
    </xdr:from>
    <xdr:to>
      <xdr:col>3</xdr:col>
      <xdr:colOff>1552575</xdr:colOff>
      <xdr:row>1592</xdr:row>
      <xdr:rowOff>638175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38100</xdr:rowOff>
    </xdr:from>
    <xdr:to>
      <xdr:col>3</xdr:col>
      <xdr:colOff>1552575</xdr:colOff>
      <xdr:row>1594</xdr:row>
      <xdr:rowOff>638175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38100</xdr:rowOff>
    </xdr:from>
    <xdr:to>
      <xdr:col>3</xdr:col>
      <xdr:colOff>1552575</xdr:colOff>
      <xdr:row>1596</xdr:row>
      <xdr:rowOff>638175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38100</xdr:rowOff>
    </xdr:from>
    <xdr:to>
      <xdr:col>3</xdr:col>
      <xdr:colOff>1552575</xdr:colOff>
      <xdr:row>1598</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1601</xdr:row>
      <xdr:rowOff>419100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1604</xdr:row>
      <xdr:rowOff>419100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1607</xdr:row>
      <xdr:rowOff>419100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1608</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1612</xdr:row>
      <xdr:rowOff>209550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38100</xdr:rowOff>
    </xdr:from>
    <xdr:to>
      <xdr:col>3</xdr:col>
      <xdr:colOff>1552575</xdr:colOff>
      <xdr:row>1614</xdr:row>
      <xdr:rowOff>638175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38100</xdr:rowOff>
    </xdr:from>
    <xdr:to>
      <xdr:col>3</xdr:col>
      <xdr:colOff>1552575</xdr:colOff>
      <xdr:row>1616</xdr:row>
      <xdr:rowOff>638175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1621</xdr:row>
      <xdr:rowOff>209550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1624</xdr:row>
      <xdr:rowOff>419100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28575</xdr:rowOff>
    </xdr:from>
    <xdr:to>
      <xdr:col>3</xdr:col>
      <xdr:colOff>1552575</xdr:colOff>
      <xdr:row>1625</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28575</xdr:rowOff>
    </xdr:from>
    <xdr:to>
      <xdr:col>3</xdr:col>
      <xdr:colOff>1552575</xdr:colOff>
      <xdr:row>1626</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1627</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28575</xdr:rowOff>
    </xdr:from>
    <xdr:to>
      <xdr:col>3</xdr:col>
      <xdr:colOff>1552575</xdr:colOff>
      <xdr:row>1628</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28575</xdr:rowOff>
    </xdr:from>
    <xdr:to>
      <xdr:col>3</xdr:col>
      <xdr:colOff>1552575</xdr:colOff>
      <xdr:row>1632</xdr:row>
      <xdr:rowOff>209550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1633</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1634</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1635</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1636</xdr:row>
      <xdr:rowOff>1266825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1637</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1638</xdr:row>
      <xdr:rowOff>1266825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1644</xdr:row>
      <xdr:rowOff>333375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38100</xdr:rowOff>
    </xdr:from>
    <xdr:to>
      <xdr:col>3</xdr:col>
      <xdr:colOff>1552575</xdr:colOff>
      <xdr:row>1646</xdr:row>
      <xdr:rowOff>638175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1647</xdr:row>
      <xdr:rowOff>28575</xdr:rowOff>
    </xdr:from>
    <xdr:to>
      <xdr:col>3</xdr:col>
      <xdr:colOff>1552575</xdr:colOff>
      <xdr:row>1651</xdr:row>
      <xdr:rowOff>333375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1652</xdr:row>
      <xdr:rowOff>1266825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1657</xdr:row>
      <xdr:rowOff>333375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1661</xdr:row>
      <xdr:rowOff>209550</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1662</xdr:row>
      <xdr:rowOff>1266825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1663</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1664</xdr:row>
      <xdr:rowOff>1266825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1665</xdr:row>
      <xdr:rowOff>1266825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28575</xdr:rowOff>
    </xdr:from>
    <xdr:to>
      <xdr:col>3</xdr:col>
      <xdr:colOff>1552575</xdr:colOff>
      <xdr:row>1666</xdr:row>
      <xdr:rowOff>1266825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1667</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1673</xdr:row>
      <xdr:rowOff>209550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1677</xdr:row>
      <xdr:rowOff>209550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1681</xdr:row>
      <xdr:rowOff>209550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1685</xdr:row>
      <xdr:rowOff>209550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1689</xdr:row>
      <xdr:rowOff>209550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38100</xdr:rowOff>
    </xdr:from>
    <xdr:to>
      <xdr:col>3</xdr:col>
      <xdr:colOff>1552575</xdr:colOff>
      <xdr:row>1691</xdr:row>
      <xdr:rowOff>638175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1695</xdr:row>
      <xdr:rowOff>209550</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1698</xdr:row>
      <xdr:rowOff>419100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1704</xdr:row>
      <xdr:rowOff>209550</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28575</xdr:rowOff>
    </xdr:from>
    <xdr:to>
      <xdr:col>3</xdr:col>
      <xdr:colOff>1552575</xdr:colOff>
      <xdr:row>1707</xdr:row>
      <xdr:rowOff>419100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28575</xdr:rowOff>
    </xdr:from>
    <xdr:to>
      <xdr:col>3</xdr:col>
      <xdr:colOff>1552575</xdr:colOff>
      <xdr:row>1708</xdr:row>
      <xdr:rowOff>1266825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28575</xdr:rowOff>
    </xdr:from>
    <xdr:to>
      <xdr:col>3</xdr:col>
      <xdr:colOff>1552575</xdr:colOff>
      <xdr:row>1714</xdr:row>
      <xdr:rowOff>209550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28575</xdr:rowOff>
    </xdr:from>
    <xdr:to>
      <xdr:col>3</xdr:col>
      <xdr:colOff>1552575</xdr:colOff>
      <xdr:row>1717</xdr:row>
      <xdr:rowOff>419100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1720</xdr:row>
      <xdr:rowOff>419100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1724</xdr:row>
      <xdr:rowOff>209550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1728</xdr:row>
      <xdr:rowOff>209550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1732</xdr:row>
      <xdr:rowOff>209550</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38100</xdr:rowOff>
    </xdr:from>
    <xdr:to>
      <xdr:col>3</xdr:col>
      <xdr:colOff>1552575</xdr:colOff>
      <xdr:row>1734</xdr:row>
      <xdr:rowOff>638175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1735</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38100</xdr:rowOff>
    </xdr:from>
    <xdr:to>
      <xdr:col>3</xdr:col>
      <xdr:colOff>1552575</xdr:colOff>
      <xdr:row>1737</xdr:row>
      <xdr:rowOff>638175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1741</xdr:row>
      <xdr:rowOff>209550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1742</xdr:row>
      <xdr:rowOff>28575</xdr:rowOff>
    </xdr:from>
    <xdr:to>
      <xdr:col>3</xdr:col>
      <xdr:colOff>1552575</xdr:colOff>
      <xdr:row>1744</xdr:row>
      <xdr:rowOff>419100</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1745</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1750</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1751</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1756</xdr:row>
      <xdr:rowOff>209550</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38100</xdr:rowOff>
    </xdr:from>
    <xdr:to>
      <xdr:col>3</xdr:col>
      <xdr:colOff>1552575</xdr:colOff>
      <xdr:row>1758</xdr:row>
      <xdr:rowOff>638175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1759</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1760</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1764</xdr:row>
      <xdr:rowOff>209550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1769</xdr:row>
      <xdr:rowOff>333375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1770</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1771</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1775</xdr:row>
      <xdr:rowOff>209550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1776</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1777</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38100</xdr:rowOff>
    </xdr:from>
    <xdr:to>
      <xdr:col>3</xdr:col>
      <xdr:colOff>1552575</xdr:colOff>
      <xdr:row>1779</xdr:row>
      <xdr:rowOff>638175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28575</xdr:rowOff>
    </xdr:from>
    <xdr:to>
      <xdr:col>3</xdr:col>
      <xdr:colOff>1552575</xdr:colOff>
      <xdr:row>1780</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1781</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1782</xdr:row>
      <xdr:rowOff>28575</xdr:rowOff>
    </xdr:from>
    <xdr:to>
      <xdr:col>3</xdr:col>
      <xdr:colOff>1552575</xdr:colOff>
      <xdr:row>1785</xdr:row>
      <xdr:rowOff>209550</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28575</xdr:rowOff>
    </xdr:from>
    <xdr:to>
      <xdr:col>3</xdr:col>
      <xdr:colOff>1552575</xdr:colOff>
      <xdr:row>1786</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38100</xdr:rowOff>
    </xdr:from>
    <xdr:to>
      <xdr:col>3</xdr:col>
      <xdr:colOff>1552575</xdr:colOff>
      <xdr:row>1788</xdr:row>
      <xdr:rowOff>638175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1789</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28575</xdr:rowOff>
    </xdr:from>
    <xdr:to>
      <xdr:col>3</xdr:col>
      <xdr:colOff>1552575</xdr:colOff>
      <xdr:row>1790</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1791</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1792</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28575</xdr:rowOff>
    </xdr:from>
    <xdr:to>
      <xdr:col>3</xdr:col>
      <xdr:colOff>1552575</xdr:colOff>
      <xdr:row>1793</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1794</xdr:row>
      <xdr:rowOff>28575</xdr:rowOff>
    </xdr:from>
    <xdr:to>
      <xdr:col>3</xdr:col>
      <xdr:colOff>1552575</xdr:colOff>
      <xdr:row>1794</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1795</xdr:row>
      <xdr:rowOff>1266825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1798</xdr:row>
      <xdr:rowOff>419100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1799</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1800</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38100</xdr:rowOff>
    </xdr:from>
    <xdr:to>
      <xdr:col>3</xdr:col>
      <xdr:colOff>1552575</xdr:colOff>
      <xdr:row>1802</xdr:row>
      <xdr:rowOff>638175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28575</xdr:rowOff>
    </xdr:from>
    <xdr:to>
      <xdr:col>3</xdr:col>
      <xdr:colOff>1552575</xdr:colOff>
      <xdr:row>1803</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1804</xdr:row>
      <xdr:rowOff>28575</xdr:rowOff>
    </xdr:from>
    <xdr:to>
      <xdr:col>3</xdr:col>
      <xdr:colOff>1552575</xdr:colOff>
      <xdr:row>1804</xdr:row>
      <xdr:rowOff>1266825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38100</xdr:rowOff>
    </xdr:from>
    <xdr:to>
      <xdr:col>3</xdr:col>
      <xdr:colOff>1552575</xdr:colOff>
      <xdr:row>1806</xdr:row>
      <xdr:rowOff>638175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1807</xdr:row>
      <xdr:rowOff>28575</xdr:rowOff>
    </xdr:from>
    <xdr:to>
      <xdr:col>3</xdr:col>
      <xdr:colOff>1552575</xdr:colOff>
      <xdr:row>1807</xdr:row>
      <xdr:rowOff>1266825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1808</xdr:row>
      <xdr:rowOff>1266825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28575</xdr:rowOff>
    </xdr:from>
    <xdr:to>
      <xdr:col>3</xdr:col>
      <xdr:colOff>1552575</xdr:colOff>
      <xdr:row>1809</xdr:row>
      <xdr:rowOff>1266825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38100</xdr:rowOff>
    </xdr:from>
    <xdr:to>
      <xdr:col>3</xdr:col>
      <xdr:colOff>1552575</xdr:colOff>
      <xdr:row>1811</xdr:row>
      <xdr:rowOff>638175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1812</xdr:row>
      <xdr:rowOff>1266825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1813</xdr:row>
      <xdr:rowOff>28575</xdr:rowOff>
    </xdr:from>
    <xdr:to>
      <xdr:col>3</xdr:col>
      <xdr:colOff>1552575</xdr:colOff>
      <xdr:row>1813</xdr:row>
      <xdr:rowOff>1266825</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1814</xdr:row>
      <xdr:rowOff>28575</xdr:rowOff>
    </xdr:from>
    <xdr:to>
      <xdr:col>3</xdr:col>
      <xdr:colOff>1552575</xdr:colOff>
      <xdr:row>1814</xdr:row>
      <xdr:rowOff>1266825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1815</xdr:row>
      <xdr:rowOff>1266825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1816</xdr:row>
      <xdr:rowOff>28575</xdr:rowOff>
    </xdr:from>
    <xdr:to>
      <xdr:col>3</xdr:col>
      <xdr:colOff>1552575</xdr:colOff>
      <xdr:row>1816</xdr:row>
      <xdr:rowOff>1266825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1817</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1818</xdr:row>
      <xdr:rowOff>28575</xdr:rowOff>
    </xdr:from>
    <xdr:to>
      <xdr:col>3</xdr:col>
      <xdr:colOff>1552575</xdr:colOff>
      <xdr:row>1818</xdr:row>
      <xdr:rowOff>1266825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1819</xdr:row>
      <xdr:rowOff>1266825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1820</xdr:row>
      <xdr:rowOff>1266825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1824</xdr:row>
      <xdr:rowOff>209550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28575</xdr:rowOff>
    </xdr:from>
    <xdr:to>
      <xdr:col>3</xdr:col>
      <xdr:colOff>1552575</xdr:colOff>
      <xdr:row>1828</xdr:row>
      <xdr:rowOff>209550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38100</xdr:rowOff>
    </xdr:from>
    <xdr:to>
      <xdr:col>3</xdr:col>
      <xdr:colOff>1552575</xdr:colOff>
      <xdr:row>1830</xdr:row>
      <xdr:rowOff>638175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1834</xdr:row>
      <xdr:rowOff>209550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1835</xdr:row>
      <xdr:rowOff>28575</xdr:rowOff>
    </xdr:from>
    <xdr:to>
      <xdr:col>3</xdr:col>
      <xdr:colOff>1552575</xdr:colOff>
      <xdr:row>1835</xdr:row>
      <xdr:rowOff>1266825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1836</xdr:row>
      <xdr:rowOff>1266825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1837</xdr:row>
      <xdr:rowOff>28575</xdr:rowOff>
    </xdr:from>
    <xdr:to>
      <xdr:col>3</xdr:col>
      <xdr:colOff>1552575</xdr:colOff>
      <xdr:row>1837</xdr:row>
      <xdr:rowOff>1266825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1840</xdr:row>
      <xdr:rowOff>419100</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28575</xdr:rowOff>
    </xdr:from>
    <xdr:to>
      <xdr:col>3</xdr:col>
      <xdr:colOff>1552575</xdr:colOff>
      <xdr:row>1841</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1842</xdr:row>
      <xdr:rowOff>1266825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1843</xdr:row>
      <xdr:rowOff>38100</xdr:rowOff>
    </xdr:from>
    <xdr:to>
      <xdr:col>3</xdr:col>
      <xdr:colOff>1552575</xdr:colOff>
      <xdr:row>1844</xdr:row>
      <xdr:rowOff>638175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1845</xdr:row>
      <xdr:rowOff>28575</xdr:rowOff>
    </xdr:from>
    <xdr:to>
      <xdr:col>3</xdr:col>
      <xdr:colOff>1552575</xdr:colOff>
      <xdr:row>1845</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1846</xdr:row>
      <xdr:rowOff>28575</xdr:rowOff>
    </xdr:from>
    <xdr:to>
      <xdr:col>3</xdr:col>
      <xdr:colOff>1552575</xdr:colOff>
      <xdr:row>1849</xdr:row>
      <xdr:rowOff>209550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1852</xdr:row>
      <xdr:rowOff>419100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1853</xdr:row>
      <xdr:rowOff>28575</xdr:rowOff>
    </xdr:from>
    <xdr:to>
      <xdr:col>3</xdr:col>
      <xdr:colOff>1552575</xdr:colOff>
      <xdr:row>1853</xdr:row>
      <xdr:rowOff>1266825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1856</xdr:row>
      <xdr:rowOff>419100</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1857</xdr:row>
      <xdr:rowOff>1266825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1858</xdr:row>
      <xdr:rowOff>28575</xdr:rowOff>
    </xdr:from>
    <xdr:to>
      <xdr:col>3</xdr:col>
      <xdr:colOff>1552575</xdr:colOff>
      <xdr:row>1858</xdr:row>
      <xdr:rowOff>1266825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28575</xdr:rowOff>
    </xdr:from>
    <xdr:to>
      <xdr:col>3</xdr:col>
      <xdr:colOff>1552575</xdr:colOff>
      <xdr:row>1859</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1860</xdr:row>
      <xdr:rowOff>28575</xdr:rowOff>
    </xdr:from>
    <xdr:to>
      <xdr:col>3</xdr:col>
      <xdr:colOff>1552575</xdr:colOff>
      <xdr:row>1860</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1861</xdr:row>
      <xdr:rowOff>1266825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1862</xdr:row>
      <xdr:rowOff>28575</xdr:rowOff>
    </xdr:from>
    <xdr:to>
      <xdr:col>3</xdr:col>
      <xdr:colOff>1552575</xdr:colOff>
      <xdr:row>1862</xdr:row>
      <xdr:rowOff>1266825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1863</xdr:row>
      <xdr:rowOff>28575</xdr:rowOff>
    </xdr:from>
    <xdr:to>
      <xdr:col>3</xdr:col>
      <xdr:colOff>1552575</xdr:colOff>
      <xdr:row>1863</xdr:row>
      <xdr:rowOff>1266825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1864</xdr:row>
      <xdr:rowOff>1266825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1865</xdr:row>
      <xdr:rowOff>1266825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28575</xdr:rowOff>
    </xdr:from>
    <xdr:to>
      <xdr:col>3</xdr:col>
      <xdr:colOff>1552575</xdr:colOff>
      <xdr:row>1872</xdr:row>
      <xdr:rowOff>171450</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1878</xdr:row>
      <xdr:rowOff>209550</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1879</xdr:row>
      <xdr:rowOff>28575</xdr:rowOff>
    </xdr:from>
    <xdr:to>
      <xdr:col>3</xdr:col>
      <xdr:colOff>1552575</xdr:colOff>
      <xdr:row>1885</xdr:row>
      <xdr:rowOff>171450</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1891</xdr:row>
      <xdr:rowOff>209550</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1892</xdr:row>
      <xdr:rowOff>28575</xdr:rowOff>
    </xdr:from>
    <xdr:to>
      <xdr:col>3</xdr:col>
      <xdr:colOff>1552575</xdr:colOff>
      <xdr:row>1896</xdr:row>
      <xdr:rowOff>333375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1900</xdr:row>
      <xdr:rowOff>209550</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1903</xdr:row>
      <xdr:rowOff>419100</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1906</xdr:row>
      <xdr:rowOff>419100</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38100</xdr:rowOff>
    </xdr:from>
    <xdr:to>
      <xdr:col>3</xdr:col>
      <xdr:colOff>1552575</xdr:colOff>
      <xdr:row>1908</xdr:row>
      <xdr:rowOff>638175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38100</xdr:rowOff>
    </xdr:from>
    <xdr:to>
      <xdr:col>3</xdr:col>
      <xdr:colOff>1552575</xdr:colOff>
      <xdr:row>1910</xdr:row>
      <xdr:rowOff>638175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1911</xdr:row>
      <xdr:rowOff>38100</xdr:rowOff>
    </xdr:from>
    <xdr:to>
      <xdr:col>3</xdr:col>
      <xdr:colOff>1552575</xdr:colOff>
      <xdr:row>1912</xdr:row>
      <xdr:rowOff>638175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1915</xdr:row>
      <xdr:rowOff>419100</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28575</xdr:rowOff>
    </xdr:from>
    <xdr:to>
      <xdr:col>3</xdr:col>
      <xdr:colOff>1552575</xdr:colOff>
      <xdr:row>1918</xdr:row>
      <xdr:rowOff>419100</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1919</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38100</xdr:rowOff>
    </xdr:from>
    <xdr:to>
      <xdr:col>3</xdr:col>
      <xdr:colOff>1552575</xdr:colOff>
      <xdr:row>1921</xdr:row>
      <xdr:rowOff>638175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1922</xdr:row>
      <xdr:rowOff>28575</xdr:rowOff>
    </xdr:from>
    <xdr:to>
      <xdr:col>3</xdr:col>
      <xdr:colOff>1552575</xdr:colOff>
      <xdr:row>1925</xdr:row>
      <xdr:rowOff>209550</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1926</xdr:row>
      <xdr:rowOff>1266825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1931</xdr:row>
      <xdr:rowOff>333375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1935</xdr:row>
      <xdr:rowOff>209550</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1936</xdr:row>
      <xdr:rowOff>28575</xdr:rowOff>
    </xdr:from>
    <xdr:to>
      <xdr:col>3</xdr:col>
      <xdr:colOff>1552575</xdr:colOff>
      <xdr:row>1938</xdr:row>
      <xdr:rowOff>419100</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1944</xdr:row>
      <xdr:rowOff>209550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1950</xdr:row>
      <xdr:rowOff>209550</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28575</xdr:rowOff>
    </xdr:from>
    <xdr:to>
      <xdr:col>3</xdr:col>
      <xdr:colOff>1552575</xdr:colOff>
      <xdr:row>1955</xdr:row>
      <xdr:rowOff>333375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1960</xdr:row>
      <xdr:rowOff>333375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1963</xdr:row>
      <xdr:rowOff>419100</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1967</xdr:row>
      <xdr:rowOff>209550</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1970</xdr:row>
      <xdr:rowOff>419100</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1973</xdr:row>
      <xdr:rowOff>419100</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1974</xdr:row>
      <xdr:rowOff>1266825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1975</xdr:row>
      <xdr:rowOff>1266825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1978</xdr:row>
      <xdr:rowOff>419100</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38100</xdr:rowOff>
    </xdr:from>
    <xdr:to>
      <xdr:col>3</xdr:col>
      <xdr:colOff>1552575</xdr:colOff>
      <xdr:row>1980</xdr:row>
      <xdr:rowOff>638175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1984</xdr:row>
      <xdr:rowOff>209550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38100</xdr:rowOff>
    </xdr:from>
    <xdr:to>
      <xdr:col>3</xdr:col>
      <xdr:colOff>1552575</xdr:colOff>
      <xdr:row>1986</xdr:row>
      <xdr:rowOff>638175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38100</xdr:rowOff>
    </xdr:from>
    <xdr:to>
      <xdr:col>3</xdr:col>
      <xdr:colOff>1552575</xdr:colOff>
      <xdr:row>1988</xdr:row>
      <xdr:rowOff>638175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38100</xdr:rowOff>
    </xdr:from>
    <xdr:to>
      <xdr:col>3</xdr:col>
      <xdr:colOff>1552575</xdr:colOff>
      <xdr:row>1990</xdr:row>
      <xdr:rowOff>638175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1991</xdr:row>
      <xdr:rowOff>1266825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38100</xdr:rowOff>
    </xdr:from>
    <xdr:to>
      <xdr:col>3</xdr:col>
      <xdr:colOff>1552575</xdr:colOff>
      <xdr:row>1993</xdr:row>
      <xdr:rowOff>638175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1994</xdr:row>
      <xdr:rowOff>1266825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38100</xdr:rowOff>
    </xdr:from>
    <xdr:to>
      <xdr:col>3</xdr:col>
      <xdr:colOff>1552575</xdr:colOff>
      <xdr:row>1996</xdr:row>
      <xdr:rowOff>638175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28575</xdr:rowOff>
    </xdr:from>
    <xdr:to>
      <xdr:col>3</xdr:col>
      <xdr:colOff>1552575</xdr:colOff>
      <xdr:row>2002</xdr:row>
      <xdr:rowOff>209550</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38100</xdr:rowOff>
    </xdr:from>
    <xdr:to>
      <xdr:col>3</xdr:col>
      <xdr:colOff>1552575</xdr:colOff>
      <xdr:row>2004</xdr:row>
      <xdr:rowOff>638175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2009</xdr:row>
      <xdr:rowOff>333375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2010</xdr:row>
      <xdr:rowOff>1266825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2011</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38100</xdr:rowOff>
    </xdr:from>
    <xdr:to>
      <xdr:col>3</xdr:col>
      <xdr:colOff>1552575</xdr:colOff>
      <xdr:row>2013</xdr:row>
      <xdr:rowOff>638175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2014</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38100</xdr:rowOff>
    </xdr:from>
    <xdr:to>
      <xdr:col>3</xdr:col>
      <xdr:colOff>1552575</xdr:colOff>
      <xdr:row>2016</xdr:row>
      <xdr:rowOff>638175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2017</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2018</xdr:row>
      <xdr:rowOff>28575</xdr:rowOff>
    </xdr:from>
    <xdr:to>
      <xdr:col>3</xdr:col>
      <xdr:colOff>1552575</xdr:colOff>
      <xdr:row>2018</xdr:row>
      <xdr:rowOff>1266825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2019</xdr:row>
      <xdr:rowOff>1266825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28575</xdr:rowOff>
    </xdr:from>
    <xdr:to>
      <xdr:col>3</xdr:col>
      <xdr:colOff>1552575</xdr:colOff>
      <xdr:row>2020</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2024</xdr:row>
      <xdr:rowOff>209550</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2025</xdr:row>
      <xdr:rowOff>1266825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2028</xdr:row>
      <xdr:rowOff>419100</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2029</xdr:row>
      <xdr:rowOff>28575</xdr:rowOff>
    </xdr:from>
    <xdr:to>
      <xdr:col>3</xdr:col>
      <xdr:colOff>1552575</xdr:colOff>
      <xdr:row>2029</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2030</xdr:row>
      <xdr:rowOff>28575</xdr:rowOff>
    </xdr:from>
    <xdr:to>
      <xdr:col>3</xdr:col>
      <xdr:colOff>1552575</xdr:colOff>
      <xdr:row>2033</xdr:row>
      <xdr:rowOff>209550</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2034</xdr:row>
      <xdr:rowOff>28575</xdr:rowOff>
    </xdr:from>
    <xdr:to>
      <xdr:col>3</xdr:col>
      <xdr:colOff>1552575</xdr:colOff>
      <xdr:row>2039</xdr:row>
      <xdr:rowOff>209550</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2045</xdr:row>
      <xdr:rowOff>209550</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2048</xdr:row>
      <xdr:rowOff>419100</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2053</xdr:row>
      <xdr:rowOff>333375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2058</xdr:row>
      <xdr:rowOff>333375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2059</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2060</xdr:row>
      <xdr:rowOff>28575</xdr:rowOff>
    </xdr:from>
    <xdr:to>
      <xdr:col>3</xdr:col>
      <xdr:colOff>1552575</xdr:colOff>
      <xdr:row>2060</xdr:row>
      <xdr:rowOff>1266825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2063</xdr:row>
      <xdr:rowOff>419100</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28575</xdr:rowOff>
    </xdr:from>
    <xdr:to>
      <xdr:col>3</xdr:col>
      <xdr:colOff>1552575</xdr:colOff>
      <xdr:row>2064</xdr:row>
      <xdr:rowOff>1266825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2070</xdr:row>
      <xdr:rowOff>209550</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2071</xdr:row>
      <xdr:rowOff>1266825</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2072</xdr:row>
      <xdr:rowOff>1266825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2073</xdr:row>
      <xdr:rowOff>1266825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38100</xdr:rowOff>
    </xdr:from>
    <xdr:to>
      <xdr:col>3</xdr:col>
      <xdr:colOff>1552575</xdr:colOff>
      <xdr:row>2075</xdr:row>
      <xdr:rowOff>638175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38100</xdr:rowOff>
    </xdr:from>
    <xdr:to>
      <xdr:col>3</xdr:col>
      <xdr:colOff>1552575</xdr:colOff>
      <xdr:row>2077</xdr:row>
      <xdr:rowOff>638175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2078</xdr:row>
      <xdr:rowOff>1266825</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38100</xdr:rowOff>
    </xdr:from>
    <xdr:to>
      <xdr:col>3</xdr:col>
      <xdr:colOff>1552575</xdr:colOff>
      <xdr:row>2080</xdr:row>
      <xdr:rowOff>638175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2086</xdr:row>
      <xdr:rowOff>333375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2087</xdr:row>
      <xdr:rowOff>1266825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2088</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2089</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38100</xdr:rowOff>
    </xdr:from>
    <xdr:to>
      <xdr:col>3</xdr:col>
      <xdr:colOff>1552575</xdr:colOff>
      <xdr:row>2091</xdr:row>
      <xdr:rowOff>638175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38100</xdr:rowOff>
    </xdr:from>
    <xdr:to>
      <xdr:col>3</xdr:col>
      <xdr:colOff>1552575</xdr:colOff>
      <xdr:row>2093</xdr:row>
      <xdr:rowOff>638175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2099</xdr:row>
      <xdr:rowOff>209550</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2100</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2106</xdr:row>
      <xdr:rowOff>209550</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2115</xdr:row>
      <xdr:rowOff>152400</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2116</xdr:row>
      <xdr:rowOff>1266825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38100</xdr:rowOff>
    </xdr:from>
    <xdr:to>
      <xdr:col>3</xdr:col>
      <xdr:colOff>1552575</xdr:colOff>
      <xdr:row>2118</xdr:row>
      <xdr:rowOff>638175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2124</xdr:row>
      <xdr:rowOff>209550</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2128</xdr:row>
      <xdr:rowOff>209550</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28575</xdr:rowOff>
    </xdr:from>
    <xdr:to>
      <xdr:col>3</xdr:col>
      <xdr:colOff>1552575</xdr:colOff>
      <xdr:row>2129</xdr:row>
      <xdr:rowOff>1266825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2130</xdr:row>
      <xdr:rowOff>1266825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38100</xdr:rowOff>
    </xdr:from>
    <xdr:to>
      <xdr:col>3</xdr:col>
      <xdr:colOff>1552575</xdr:colOff>
      <xdr:row>2132</xdr:row>
      <xdr:rowOff>638175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2133</xdr:row>
      <xdr:rowOff>1266825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28575</xdr:rowOff>
    </xdr:from>
    <xdr:to>
      <xdr:col>3</xdr:col>
      <xdr:colOff>1552575</xdr:colOff>
      <xdr:row>2136</xdr:row>
      <xdr:rowOff>419100</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28575</xdr:rowOff>
    </xdr:from>
    <xdr:to>
      <xdr:col>3</xdr:col>
      <xdr:colOff>1552575</xdr:colOff>
      <xdr:row>2139</xdr:row>
      <xdr:rowOff>419100</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2145</xdr:row>
      <xdr:rowOff>209550</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2151</xdr:row>
      <xdr:rowOff>209550</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2152</xdr:row>
      <xdr:rowOff>1266825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28575</xdr:rowOff>
    </xdr:from>
    <xdr:to>
      <xdr:col>3</xdr:col>
      <xdr:colOff>1552575</xdr:colOff>
      <xdr:row>2156</xdr:row>
      <xdr:rowOff>209550</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2157</xdr:row>
      <xdr:rowOff>28575</xdr:rowOff>
    </xdr:from>
    <xdr:to>
      <xdr:col>3</xdr:col>
      <xdr:colOff>1552575</xdr:colOff>
      <xdr:row>2160</xdr:row>
      <xdr:rowOff>209550</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28575</xdr:rowOff>
    </xdr:from>
    <xdr:to>
      <xdr:col>3</xdr:col>
      <xdr:colOff>1552575</xdr:colOff>
      <xdr:row>2164</xdr:row>
      <xdr:rowOff>209550</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2165</xdr:row>
      <xdr:rowOff>28575</xdr:rowOff>
    </xdr:from>
    <xdr:to>
      <xdr:col>3</xdr:col>
      <xdr:colOff>1552575</xdr:colOff>
      <xdr:row>2169</xdr:row>
      <xdr:rowOff>333375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2170</xdr:row>
      <xdr:rowOff>28575</xdr:rowOff>
    </xdr:from>
    <xdr:to>
      <xdr:col>3</xdr:col>
      <xdr:colOff>1552575</xdr:colOff>
      <xdr:row>2172</xdr:row>
      <xdr:rowOff>419100</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28575</xdr:rowOff>
    </xdr:from>
    <xdr:to>
      <xdr:col>3</xdr:col>
      <xdr:colOff>1552575</xdr:colOff>
      <xdr:row>2173</xdr:row>
      <xdr:rowOff>1266825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28575</xdr:rowOff>
    </xdr:from>
    <xdr:to>
      <xdr:col>3</xdr:col>
      <xdr:colOff>1552575</xdr:colOff>
      <xdr:row>2176</xdr:row>
      <xdr:rowOff>419100</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2179</xdr:row>
      <xdr:rowOff>419100</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2185</xdr:row>
      <xdr:rowOff>209550</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2186</xdr:row>
      <xdr:rowOff>28575</xdr:rowOff>
    </xdr:from>
    <xdr:to>
      <xdr:col>3</xdr:col>
      <xdr:colOff>1552575</xdr:colOff>
      <xdr:row>2191</xdr:row>
      <xdr:rowOff>209550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2197</xdr:row>
      <xdr:rowOff>209550</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28575</xdr:rowOff>
    </xdr:from>
    <xdr:to>
      <xdr:col>3</xdr:col>
      <xdr:colOff>1552575</xdr:colOff>
      <xdr:row>2203</xdr:row>
      <xdr:rowOff>209550</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2204</xdr:row>
      <xdr:rowOff>28575</xdr:rowOff>
    </xdr:from>
    <xdr:to>
      <xdr:col>3</xdr:col>
      <xdr:colOff>1552575</xdr:colOff>
      <xdr:row>2207</xdr:row>
      <xdr:rowOff>209550</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28575</xdr:rowOff>
    </xdr:from>
    <xdr:to>
      <xdr:col>3</xdr:col>
      <xdr:colOff>1552575</xdr:colOff>
      <xdr:row>2213</xdr:row>
      <xdr:rowOff>209550</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2214</xdr:row>
      <xdr:rowOff>28575</xdr:rowOff>
    </xdr:from>
    <xdr:to>
      <xdr:col>3</xdr:col>
      <xdr:colOff>1552575</xdr:colOff>
      <xdr:row>2219</xdr:row>
      <xdr:rowOff>209550</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2220</xdr:row>
      <xdr:rowOff>28575</xdr:rowOff>
    </xdr:from>
    <xdr:to>
      <xdr:col>3</xdr:col>
      <xdr:colOff>1552575</xdr:colOff>
      <xdr:row>2225</xdr:row>
      <xdr:rowOff>209550</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28575</xdr:rowOff>
    </xdr:from>
    <xdr:to>
      <xdr:col>3</xdr:col>
      <xdr:colOff>1552575</xdr:colOff>
      <xdr:row>2230</xdr:row>
      <xdr:rowOff>333375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28575</xdr:rowOff>
    </xdr:from>
    <xdr:to>
      <xdr:col>3</xdr:col>
      <xdr:colOff>1552575</xdr:colOff>
      <xdr:row>2236</xdr:row>
      <xdr:rowOff>209550</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2242</xdr:row>
      <xdr:rowOff>209550</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2247</xdr:row>
      <xdr:rowOff>333375</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2253</xdr:row>
      <xdr:rowOff>209550</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2257</xdr:row>
      <xdr:rowOff>209550</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28575</xdr:rowOff>
    </xdr:from>
    <xdr:to>
      <xdr:col>3</xdr:col>
      <xdr:colOff>1552575</xdr:colOff>
      <xdr:row>2258</xdr:row>
      <xdr:rowOff>1266825</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28575</xdr:rowOff>
    </xdr:from>
    <xdr:to>
      <xdr:col>3</xdr:col>
      <xdr:colOff>1552575</xdr:colOff>
      <xdr:row>2262</xdr:row>
      <xdr:rowOff>209550</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2263</xdr:row>
      <xdr:rowOff>1266825</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28575</xdr:rowOff>
    </xdr:from>
    <xdr:to>
      <xdr:col>3</xdr:col>
      <xdr:colOff>1552575</xdr:colOff>
      <xdr:row>2264</xdr:row>
      <xdr:rowOff>1266825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2265</xdr:row>
      <xdr:rowOff>28575</xdr:rowOff>
    </xdr:from>
    <xdr:to>
      <xdr:col>3</xdr:col>
      <xdr:colOff>1552575</xdr:colOff>
      <xdr:row>2265</xdr:row>
      <xdr:rowOff>1266825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2266</xdr:row>
      <xdr:rowOff>1266825</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2267</xdr:row>
      <xdr:rowOff>1266825</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38100</xdr:rowOff>
    </xdr:from>
    <xdr:to>
      <xdr:col>3</xdr:col>
      <xdr:colOff>1552575</xdr:colOff>
      <xdr:row>2269</xdr:row>
      <xdr:rowOff>638175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28575</xdr:rowOff>
    </xdr:from>
    <xdr:to>
      <xdr:col>3</xdr:col>
      <xdr:colOff>1552575</xdr:colOff>
      <xdr:row>2270</xdr:row>
      <xdr:rowOff>1266825</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2273</xdr:row>
      <xdr:rowOff>419100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2274</xdr:row>
      <xdr:rowOff>38100</xdr:rowOff>
    </xdr:from>
    <xdr:to>
      <xdr:col>3</xdr:col>
      <xdr:colOff>1552575</xdr:colOff>
      <xdr:row>2275</xdr:row>
      <xdr:rowOff>638175</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28575</xdr:rowOff>
    </xdr:from>
    <xdr:to>
      <xdr:col>3</xdr:col>
      <xdr:colOff>1552575</xdr:colOff>
      <xdr:row>2276</xdr:row>
      <xdr:rowOff>1266825</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2280</xdr:row>
      <xdr:rowOff>209550</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2281</xdr:row>
      <xdr:rowOff>28575</xdr:rowOff>
    </xdr:from>
    <xdr:to>
      <xdr:col>3</xdr:col>
      <xdr:colOff>1552575</xdr:colOff>
      <xdr:row>2281</xdr:row>
      <xdr:rowOff>1266825</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2282</xdr:row>
      <xdr:rowOff>1266825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28575</xdr:rowOff>
    </xdr:from>
    <xdr:to>
      <xdr:col>3</xdr:col>
      <xdr:colOff>1552575</xdr:colOff>
      <xdr:row>2283</xdr:row>
      <xdr:rowOff>1266825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28575</xdr:rowOff>
    </xdr:from>
    <xdr:to>
      <xdr:col>3</xdr:col>
      <xdr:colOff>1552575</xdr:colOff>
      <xdr:row>2284</xdr:row>
      <xdr:rowOff>1266825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38100</xdr:rowOff>
    </xdr:from>
    <xdr:to>
      <xdr:col>3</xdr:col>
      <xdr:colOff>1552575</xdr:colOff>
      <xdr:row>2286</xdr:row>
      <xdr:rowOff>638175</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2287</xdr:row>
      <xdr:rowOff>1266825</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2290</xdr:row>
      <xdr:rowOff>419100</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28575</xdr:rowOff>
    </xdr:from>
    <xdr:to>
      <xdr:col>3</xdr:col>
      <xdr:colOff>1552575</xdr:colOff>
      <xdr:row>2291</xdr:row>
      <xdr:rowOff>1266825</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2293</xdr:row>
      <xdr:rowOff>1266825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28575</xdr:rowOff>
    </xdr:from>
    <xdr:to>
      <xdr:col>3</xdr:col>
      <xdr:colOff>1552575</xdr:colOff>
      <xdr:row>2294</xdr:row>
      <xdr:rowOff>1266825</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28575</xdr:rowOff>
    </xdr:from>
    <xdr:to>
      <xdr:col>3</xdr:col>
      <xdr:colOff>1552575</xdr:colOff>
      <xdr:row>2297</xdr:row>
      <xdr:rowOff>419100</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28575</xdr:rowOff>
    </xdr:from>
    <xdr:to>
      <xdr:col>3</xdr:col>
      <xdr:colOff>1552575</xdr:colOff>
      <xdr:row>2298</xdr:row>
      <xdr:rowOff>1266825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28575</xdr:rowOff>
    </xdr:from>
    <xdr:to>
      <xdr:col>3</xdr:col>
      <xdr:colOff>1552575</xdr:colOff>
      <xdr:row>2301</xdr:row>
      <xdr:rowOff>419100</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38100</xdr:rowOff>
    </xdr:from>
    <xdr:to>
      <xdr:col>3</xdr:col>
      <xdr:colOff>1552575</xdr:colOff>
      <xdr:row>2303</xdr:row>
      <xdr:rowOff>638175</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38100</xdr:rowOff>
    </xdr:from>
    <xdr:to>
      <xdr:col>3</xdr:col>
      <xdr:colOff>1552575</xdr:colOff>
      <xdr:row>2305</xdr:row>
      <xdr:rowOff>638175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38100</xdr:rowOff>
    </xdr:from>
    <xdr:to>
      <xdr:col>3</xdr:col>
      <xdr:colOff>1552575</xdr:colOff>
      <xdr:row>2307</xdr:row>
      <xdr:rowOff>638175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38100</xdr:rowOff>
    </xdr:from>
    <xdr:to>
      <xdr:col>3</xdr:col>
      <xdr:colOff>1552575</xdr:colOff>
      <xdr:row>2309</xdr:row>
      <xdr:rowOff>638175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2310</xdr:row>
      <xdr:rowOff>1266825</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2311</xdr:row>
      <xdr:rowOff>1266825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2312</xdr:row>
      <xdr:rowOff>1266825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2313</xdr:row>
      <xdr:rowOff>38100</xdr:rowOff>
    </xdr:from>
    <xdr:to>
      <xdr:col>3</xdr:col>
      <xdr:colOff>1552575</xdr:colOff>
      <xdr:row>2314</xdr:row>
      <xdr:rowOff>638175</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28575</xdr:rowOff>
    </xdr:from>
    <xdr:to>
      <xdr:col>3</xdr:col>
      <xdr:colOff>1552575</xdr:colOff>
      <xdr:row>2315</xdr:row>
      <xdr:rowOff>1266825</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2316</xdr:row>
      <xdr:rowOff>1266825</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2317</xdr:row>
      <xdr:rowOff>28575</xdr:rowOff>
    </xdr:from>
    <xdr:to>
      <xdr:col>3</xdr:col>
      <xdr:colOff>1552575</xdr:colOff>
      <xdr:row>2317</xdr:row>
      <xdr:rowOff>1266825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2318</xdr:row>
      <xdr:rowOff>1266825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2319</xdr:row>
      <xdr:rowOff>28575</xdr:rowOff>
    </xdr:from>
    <xdr:to>
      <xdr:col>3</xdr:col>
      <xdr:colOff>1552575</xdr:colOff>
      <xdr:row>2319</xdr:row>
      <xdr:rowOff>1266825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2320</xdr:row>
      <xdr:rowOff>1266825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2321</xdr:row>
      <xdr:rowOff>1266825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2322</xdr:row>
      <xdr:rowOff>1266825</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2323</xdr:row>
      <xdr:rowOff>1266825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38100</xdr:rowOff>
    </xdr:from>
    <xdr:to>
      <xdr:col>3</xdr:col>
      <xdr:colOff>1552575</xdr:colOff>
      <xdr:row>2325</xdr:row>
      <xdr:rowOff>638175</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38100</xdr:rowOff>
    </xdr:from>
    <xdr:to>
      <xdr:col>3</xdr:col>
      <xdr:colOff>1552575</xdr:colOff>
      <xdr:row>2327</xdr:row>
      <xdr:rowOff>638175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2331</xdr:row>
      <xdr:rowOff>209550</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2332</xdr:row>
      <xdr:rowOff>1266825</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2333</xdr:row>
      <xdr:rowOff>1266825</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2334</xdr:row>
      <xdr:rowOff>1266825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2335</xdr:row>
      <xdr:rowOff>28575</xdr:rowOff>
    </xdr:from>
    <xdr:to>
      <xdr:col>3</xdr:col>
      <xdr:colOff>1552575</xdr:colOff>
      <xdr:row>2335</xdr:row>
      <xdr:rowOff>1266825</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38100</xdr:rowOff>
    </xdr:from>
    <xdr:to>
      <xdr:col>3</xdr:col>
      <xdr:colOff>1552575</xdr:colOff>
      <xdr:row>2337</xdr:row>
      <xdr:rowOff>638175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4</xdr:row>
      <xdr:rowOff>17780</xdr:rowOff>
    </xdr:from>
    <xdr:to>
      <xdr:col>8</xdr:col>
      <xdr:colOff>477520</xdr:colOff>
      <xdr:row>19</xdr:row>
      <xdr:rowOff>17780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4</xdr:row>
      <xdr:rowOff>17780</xdr:rowOff>
    </xdr:from>
    <xdr:to>
      <xdr:col>12</xdr:col>
      <xdr:colOff>447040</xdr:colOff>
      <xdr:row>19</xdr:row>
      <xdr:rowOff>17780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338"/>
  <sheetViews>
    <sheetView tabSelected="1" workbookViewId="0">
      <pane xSplit="4" ySplit="3" topLeftCell="E4" activePane="bottomRight" state="frozen"/>
      <selection pane="topRight" activeCell="G1" sqref="G1"/>
      <selection pane="bottomLeft" activeCell="A6" sqref="A6"/>
      <selection pane="bottomRight" activeCell="G2" sqref="G2:H2"/>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64"/>
      <c r="B2" s="64"/>
      <c r="C2" s="64"/>
      <c r="D2" s="64"/>
      <c r="E2" s="64"/>
      <c r="F2" s="64"/>
      <c r="G2" s="64"/>
      <c r="H2" s="64"/>
      <c r="I2" s="64"/>
      <c r="J2" s="65"/>
      <c r="K2" s="64"/>
      <c r="L2" s="64"/>
      <c r="M2" s="64"/>
      <c r="N2" s="64"/>
      <c r="O2" s="64"/>
      <c r="P2" s="64"/>
      <c r="Q2" s="64"/>
      <c r="R2" s="66"/>
      <c r="S2" s="64"/>
      <c r="T2" s="64"/>
      <c r="U2" s="64"/>
      <c r="V2" s="64"/>
      <c r="W2" s="64"/>
      <c r="X2" s="64"/>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3249</v>
      </c>
      <c r="T3" s="10" t="s">
        <v>18</v>
      </c>
      <c r="U3" s="10" t="s">
        <v>19</v>
      </c>
      <c r="V3" s="7" t="s">
        <v>20</v>
      </c>
      <c r="W3" s="7" t="s">
        <v>21</v>
      </c>
      <c r="X3" s="5" t="s">
        <v>22</v>
      </c>
    </row>
    <row r="4" spans="1:24" s="1" customFormat="1" ht="108" customHeight="1" x14ac:dyDescent="0.3">
      <c r="A4" s="11" t="s">
        <v>23</v>
      </c>
      <c r="B4" s="11" t="s">
        <v>24</v>
      </c>
      <c r="C4" s="12" t="s">
        <v>25</v>
      </c>
      <c r="D4" s="13"/>
      <c r="E4" s="67" t="str">
        <f>HYPERLINK("https://www.google.ru/search?q=FW3231162-PUCB&amp;newwindow=1&amp;tbm=isch","Еще фото")</f>
        <v>Еще фото</v>
      </c>
      <c r="F4" s="14"/>
      <c r="G4" s="11" t="s">
        <v>26</v>
      </c>
      <c r="H4" s="11" t="s">
        <v>27</v>
      </c>
      <c r="I4" s="15" t="s">
        <v>26</v>
      </c>
      <c r="J4" s="15" t="s">
        <v>28</v>
      </c>
      <c r="K4" s="16" t="s">
        <v>29</v>
      </c>
      <c r="L4" s="15" t="s">
        <v>30</v>
      </c>
      <c r="M4" s="15"/>
      <c r="N4" s="15" t="s">
        <v>31</v>
      </c>
      <c r="O4" s="15"/>
      <c r="P4" s="16" t="s">
        <v>32</v>
      </c>
      <c r="Q4" s="17">
        <v>6800</v>
      </c>
      <c r="R4" s="18">
        <v>58.56</v>
      </c>
      <c r="S4" s="19">
        <v>3240.4354999999996</v>
      </c>
      <c r="T4" s="20" t="s">
        <v>33</v>
      </c>
      <c r="U4" s="21" t="s">
        <v>34</v>
      </c>
      <c r="V4" s="22" t="s">
        <v>35</v>
      </c>
      <c r="W4" s="23">
        <v>1</v>
      </c>
      <c r="X4" s="24"/>
    </row>
    <row r="5" spans="1:24" s="1" customFormat="1" ht="52.05" customHeight="1" x14ac:dyDescent="0.3">
      <c r="A5" s="11" t="s">
        <v>23</v>
      </c>
      <c r="B5" s="11" t="s">
        <v>24</v>
      </c>
      <c r="C5" s="12" t="s">
        <v>36</v>
      </c>
      <c r="D5" s="81"/>
      <c r="E5" s="67" t="str">
        <f>HYPERLINK("https://www.google.ru/search?q=FW3231008-BLK&amp;newwindow=1&amp;tbm=isch","Еще фото")</f>
        <v>Еще фото</v>
      </c>
      <c r="F5" s="14"/>
      <c r="G5" s="11" t="s">
        <v>26</v>
      </c>
      <c r="H5" s="11" t="s">
        <v>27</v>
      </c>
      <c r="I5" s="15" t="s">
        <v>26</v>
      </c>
      <c r="J5" s="15" t="s">
        <v>28</v>
      </c>
      <c r="K5" s="16" t="s">
        <v>29</v>
      </c>
      <c r="L5" s="83" t="s">
        <v>37</v>
      </c>
      <c r="M5" s="15"/>
      <c r="N5" s="15" t="s">
        <v>38</v>
      </c>
      <c r="O5" s="15"/>
      <c r="P5" s="16" t="s">
        <v>39</v>
      </c>
      <c r="Q5" s="17">
        <v>6800</v>
      </c>
      <c r="R5" s="18">
        <v>58.12</v>
      </c>
      <c r="S5" s="19">
        <v>3274.9354999999996</v>
      </c>
      <c r="T5" s="20" t="s">
        <v>33</v>
      </c>
      <c r="U5" s="21" t="s">
        <v>40</v>
      </c>
      <c r="V5" s="22" t="s">
        <v>41</v>
      </c>
      <c r="W5" s="23">
        <v>1</v>
      </c>
      <c r="X5" s="24"/>
    </row>
    <row r="6" spans="1:24" s="1" customFormat="1" ht="61.05" customHeight="1" x14ac:dyDescent="0.3">
      <c r="A6" s="25" t="s">
        <v>23</v>
      </c>
      <c r="B6" s="25" t="s">
        <v>24</v>
      </c>
      <c r="C6" s="12" t="s">
        <v>36</v>
      </c>
      <c r="D6" s="82"/>
      <c r="E6" s="67" t="str">
        <f>HYPERLINK("https://www.google.ru/search?q=FW3231008-BLK&amp;newwindow=1&amp;tbm=isch","Еще фото")</f>
        <v>Еще фото</v>
      </c>
      <c r="F6" s="14"/>
      <c r="G6" s="25" t="s">
        <v>26</v>
      </c>
      <c r="H6" s="25" t="s">
        <v>27</v>
      </c>
      <c r="I6" s="25" t="s">
        <v>26</v>
      </c>
      <c r="J6" s="15" t="s">
        <v>28</v>
      </c>
      <c r="K6" s="16" t="s">
        <v>29</v>
      </c>
      <c r="L6" s="84"/>
      <c r="M6" s="15"/>
      <c r="N6" s="15" t="s">
        <v>38</v>
      </c>
      <c r="O6" s="15"/>
      <c r="P6" s="16" t="s">
        <v>39</v>
      </c>
      <c r="Q6" s="17">
        <v>6800</v>
      </c>
      <c r="R6" s="18">
        <v>58.12</v>
      </c>
      <c r="S6" s="19">
        <v>3274.9354999999996</v>
      </c>
      <c r="T6" s="20" t="s">
        <v>33</v>
      </c>
      <c r="U6" s="21" t="s">
        <v>42</v>
      </c>
      <c r="V6" s="22" t="s">
        <v>43</v>
      </c>
      <c r="W6" s="23">
        <v>4</v>
      </c>
      <c r="X6" s="24"/>
    </row>
    <row r="7" spans="1:24" s="1" customFormat="1" ht="52.05" customHeight="1" x14ac:dyDescent="0.3">
      <c r="A7" s="11" t="s">
        <v>23</v>
      </c>
      <c r="B7" s="11" t="s">
        <v>24</v>
      </c>
      <c r="C7" s="12" t="s">
        <v>44</v>
      </c>
      <c r="D7" s="81"/>
      <c r="E7" s="67" t="str">
        <f>HYPERLINK("https://www.google.ru/search?q=FW3231291-BLK&amp;newwindow=1&amp;tbm=isch","Еще фото")</f>
        <v>Еще фото</v>
      </c>
      <c r="F7" s="14"/>
      <c r="G7" s="11" t="s">
        <v>26</v>
      </c>
      <c r="H7" s="11" t="s">
        <v>27</v>
      </c>
      <c r="I7" s="15" t="s">
        <v>26</v>
      </c>
      <c r="J7" s="15" t="s">
        <v>28</v>
      </c>
      <c r="K7" s="16" t="s">
        <v>45</v>
      </c>
      <c r="L7" s="83" t="s">
        <v>46</v>
      </c>
      <c r="M7" s="15"/>
      <c r="N7" s="15" t="s">
        <v>38</v>
      </c>
      <c r="O7" s="15"/>
      <c r="P7" s="16" t="s">
        <v>47</v>
      </c>
      <c r="Q7" s="17">
        <v>6800</v>
      </c>
      <c r="R7" s="18">
        <v>58.12</v>
      </c>
      <c r="S7" s="19">
        <v>3274.9354999999996</v>
      </c>
      <c r="T7" s="20" t="s">
        <v>33</v>
      </c>
      <c r="U7" s="21" t="s">
        <v>40</v>
      </c>
      <c r="V7" s="22" t="s">
        <v>48</v>
      </c>
      <c r="W7" s="23">
        <v>4</v>
      </c>
      <c r="X7" s="24"/>
    </row>
    <row r="8" spans="1:24" s="1" customFormat="1" ht="61.05" customHeight="1" x14ac:dyDescent="0.3">
      <c r="A8" s="25" t="s">
        <v>23</v>
      </c>
      <c r="B8" s="25" t="s">
        <v>24</v>
      </c>
      <c r="C8" s="12" t="s">
        <v>44</v>
      </c>
      <c r="D8" s="82"/>
      <c r="E8" s="67" t="str">
        <f>HYPERLINK("https://www.google.ru/search?q=FW3231291-BLK&amp;newwindow=1&amp;tbm=isch","Еще фото")</f>
        <v>Еще фото</v>
      </c>
      <c r="F8" s="14"/>
      <c r="G8" s="25" t="s">
        <v>26</v>
      </c>
      <c r="H8" s="25" t="s">
        <v>27</v>
      </c>
      <c r="I8" s="25" t="s">
        <v>26</v>
      </c>
      <c r="J8" s="15" t="s">
        <v>28</v>
      </c>
      <c r="K8" s="16" t="s">
        <v>45</v>
      </c>
      <c r="L8" s="84"/>
      <c r="M8" s="15"/>
      <c r="N8" s="15" t="s">
        <v>38</v>
      </c>
      <c r="O8" s="15"/>
      <c r="P8" s="16" t="s">
        <v>47</v>
      </c>
      <c r="Q8" s="17">
        <v>6800</v>
      </c>
      <c r="R8" s="18">
        <v>58.12</v>
      </c>
      <c r="S8" s="19">
        <v>3274.9354999999996</v>
      </c>
      <c r="T8" s="20" t="s">
        <v>33</v>
      </c>
      <c r="U8" s="21" t="s">
        <v>42</v>
      </c>
      <c r="V8" s="22" t="s">
        <v>49</v>
      </c>
      <c r="W8" s="23">
        <v>5</v>
      </c>
      <c r="X8" s="24"/>
    </row>
    <row r="9" spans="1:24" s="1" customFormat="1" ht="26" customHeight="1" x14ac:dyDescent="0.3">
      <c r="A9" s="11" t="s">
        <v>23</v>
      </c>
      <c r="B9" s="11" t="s">
        <v>24</v>
      </c>
      <c r="C9" s="12" t="s">
        <v>50</v>
      </c>
      <c r="D9" s="85"/>
      <c r="E9" s="67" t="str">
        <f>HYPERLINK("https://www.google.ru/search?q=FW3231172-BLK&amp;newwindow=1&amp;tbm=isch","Еще фото")</f>
        <v>Еще фото</v>
      </c>
      <c r="F9" s="14"/>
      <c r="G9" s="11" t="s">
        <v>26</v>
      </c>
      <c r="H9" s="11" t="s">
        <v>27</v>
      </c>
      <c r="I9" s="15" t="s">
        <v>26</v>
      </c>
      <c r="J9" s="15" t="s">
        <v>28</v>
      </c>
      <c r="K9" s="16" t="s">
        <v>29</v>
      </c>
      <c r="L9" s="83" t="s">
        <v>30</v>
      </c>
      <c r="M9" s="15"/>
      <c r="N9" s="15" t="s">
        <v>38</v>
      </c>
      <c r="O9" s="15"/>
      <c r="P9" s="16" t="s">
        <v>51</v>
      </c>
      <c r="Q9" s="17">
        <v>7300</v>
      </c>
      <c r="R9" s="18">
        <v>57.98</v>
      </c>
      <c r="S9" s="19">
        <v>3527.9354999999996</v>
      </c>
      <c r="T9" s="20" t="s">
        <v>33</v>
      </c>
      <c r="U9" s="21" t="s">
        <v>34</v>
      </c>
      <c r="V9" s="22" t="s">
        <v>35</v>
      </c>
      <c r="W9" s="23">
        <v>2</v>
      </c>
      <c r="X9" s="24"/>
    </row>
    <row r="10" spans="1:24" s="1" customFormat="1" ht="26" customHeight="1" x14ac:dyDescent="0.3">
      <c r="A10" s="25" t="s">
        <v>23</v>
      </c>
      <c r="B10" s="25" t="s">
        <v>24</v>
      </c>
      <c r="C10" s="12" t="s">
        <v>50</v>
      </c>
      <c r="D10" s="86"/>
      <c r="E10" s="67" t="str">
        <f>HYPERLINK("https://www.google.ru/search?q=FW3231172-BLK&amp;newwindow=1&amp;tbm=isch","Еще фото")</f>
        <v>Еще фото</v>
      </c>
      <c r="F10" s="14"/>
      <c r="G10" s="25" t="s">
        <v>26</v>
      </c>
      <c r="H10" s="25" t="s">
        <v>27</v>
      </c>
      <c r="I10" s="25" t="s">
        <v>26</v>
      </c>
      <c r="J10" s="15" t="s">
        <v>28</v>
      </c>
      <c r="K10" s="16" t="s">
        <v>29</v>
      </c>
      <c r="L10" s="88"/>
      <c r="M10" s="15"/>
      <c r="N10" s="15" t="s">
        <v>38</v>
      </c>
      <c r="O10" s="15"/>
      <c r="P10" s="16" t="s">
        <v>51</v>
      </c>
      <c r="Q10" s="17">
        <v>7300</v>
      </c>
      <c r="R10" s="18">
        <v>57.98</v>
      </c>
      <c r="S10" s="19">
        <v>3527.9354999999996</v>
      </c>
      <c r="T10" s="20" t="s">
        <v>33</v>
      </c>
      <c r="U10" s="21" t="s">
        <v>52</v>
      </c>
      <c r="V10" s="22" t="s">
        <v>53</v>
      </c>
      <c r="W10" s="23">
        <v>3</v>
      </c>
      <c r="X10" s="24"/>
    </row>
    <row r="11" spans="1:24" s="1" customFormat="1" ht="26" customHeight="1" x14ac:dyDescent="0.3">
      <c r="A11" s="25" t="s">
        <v>23</v>
      </c>
      <c r="B11" s="25" t="s">
        <v>24</v>
      </c>
      <c r="C11" s="12" t="s">
        <v>50</v>
      </c>
      <c r="D11" s="86"/>
      <c r="E11" s="67" t="str">
        <f>HYPERLINK("https://www.google.ru/search?q=FW3231172-BLK&amp;newwindow=1&amp;tbm=isch","Еще фото")</f>
        <v>Еще фото</v>
      </c>
      <c r="F11" s="14"/>
      <c r="G11" s="25" t="s">
        <v>26</v>
      </c>
      <c r="H11" s="25" t="s">
        <v>27</v>
      </c>
      <c r="I11" s="25" t="s">
        <v>26</v>
      </c>
      <c r="J11" s="15" t="s">
        <v>28</v>
      </c>
      <c r="K11" s="16" t="s">
        <v>29</v>
      </c>
      <c r="L11" s="88"/>
      <c r="M11" s="15"/>
      <c r="N11" s="15" t="s">
        <v>38</v>
      </c>
      <c r="O11" s="15"/>
      <c r="P11" s="16" t="s">
        <v>51</v>
      </c>
      <c r="Q11" s="17">
        <v>7300</v>
      </c>
      <c r="R11" s="18">
        <v>57.98</v>
      </c>
      <c r="S11" s="19">
        <v>3527.9354999999996</v>
      </c>
      <c r="T11" s="20" t="s">
        <v>33</v>
      </c>
      <c r="U11" s="21" t="s">
        <v>40</v>
      </c>
      <c r="V11" s="22" t="s">
        <v>41</v>
      </c>
      <c r="W11" s="23">
        <v>5</v>
      </c>
      <c r="X11" s="24"/>
    </row>
    <row r="12" spans="1:24" s="1" customFormat="1" ht="26" customHeight="1" x14ac:dyDescent="0.3">
      <c r="A12" s="25" t="s">
        <v>23</v>
      </c>
      <c r="B12" s="25" t="s">
        <v>24</v>
      </c>
      <c r="C12" s="12" t="s">
        <v>50</v>
      </c>
      <c r="D12" s="87"/>
      <c r="E12" s="67" t="str">
        <f>HYPERLINK("https://www.google.ru/search?q=FW3231172-BLK&amp;newwindow=1&amp;tbm=isch","Еще фото")</f>
        <v>Еще фото</v>
      </c>
      <c r="F12" s="14"/>
      <c r="G12" s="25" t="s">
        <v>26</v>
      </c>
      <c r="H12" s="25" t="s">
        <v>27</v>
      </c>
      <c r="I12" s="25" t="s">
        <v>26</v>
      </c>
      <c r="J12" s="15" t="s">
        <v>28</v>
      </c>
      <c r="K12" s="16" t="s">
        <v>29</v>
      </c>
      <c r="L12" s="84"/>
      <c r="M12" s="15"/>
      <c r="N12" s="15" t="s">
        <v>38</v>
      </c>
      <c r="O12" s="15"/>
      <c r="P12" s="16" t="s">
        <v>51</v>
      </c>
      <c r="Q12" s="17">
        <v>7300</v>
      </c>
      <c r="R12" s="18">
        <v>57.98</v>
      </c>
      <c r="S12" s="19">
        <v>3527.9354999999996</v>
      </c>
      <c r="T12" s="20" t="s">
        <v>33</v>
      </c>
      <c r="U12" s="21" t="s">
        <v>42</v>
      </c>
      <c r="V12" s="22" t="s">
        <v>43</v>
      </c>
      <c r="W12" s="23">
        <v>2</v>
      </c>
      <c r="X12" s="24"/>
    </row>
    <row r="13" spans="1:24" s="1" customFormat="1" ht="108" customHeight="1" x14ac:dyDescent="0.3">
      <c r="A13" s="11" t="s">
        <v>23</v>
      </c>
      <c r="B13" s="11" t="s">
        <v>24</v>
      </c>
      <c r="C13" s="12" t="s">
        <v>54</v>
      </c>
      <c r="D13" s="13"/>
      <c r="E13" s="67" t="str">
        <f>HYPERLINK("https://www.google.ru/search?q=FW3231162-KHK&amp;newwindow=1&amp;tbm=isch","Еще фото")</f>
        <v>Еще фото</v>
      </c>
      <c r="F13" s="14"/>
      <c r="G13" s="11" t="s">
        <v>26</v>
      </c>
      <c r="H13" s="11" t="s">
        <v>27</v>
      </c>
      <c r="I13" s="15" t="s">
        <v>26</v>
      </c>
      <c r="J13" s="15" t="s">
        <v>28</v>
      </c>
      <c r="K13" s="16" t="s">
        <v>29</v>
      </c>
      <c r="L13" s="15" t="s">
        <v>30</v>
      </c>
      <c r="M13" s="15"/>
      <c r="N13" s="15" t="s">
        <v>55</v>
      </c>
      <c r="O13" s="15"/>
      <c r="P13" s="16" t="s">
        <v>32</v>
      </c>
      <c r="Q13" s="17">
        <v>6800</v>
      </c>
      <c r="R13" s="18">
        <v>48</v>
      </c>
      <c r="S13" s="19">
        <v>4066.3999999999996</v>
      </c>
      <c r="T13" s="20" t="s">
        <v>33</v>
      </c>
      <c r="U13" s="21" t="s">
        <v>40</v>
      </c>
      <c r="V13" s="22" t="s">
        <v>41</v>
      </c>
      <c r="W13" s="23">
        <v>1</v>
      </c>
      <c r="X13" s="24"/>
    </row>
    <row r="14" spans="1:24" s="1" customFormat="1" ht="108" customHeight="1" x14ac:dyDescent="0.3">
      <c r="A14" s="11" t="s">
        <v>56</v>
      </c>
      <c r="B14" s="11" t="s">
        <v>57</v>
      </c>
      <c r="C14" s="12" t="s">
        <v>58</v>
      </c>
      <c r="D14" s="13"/>
      <c r="E14" s="67" t="str">
        <f>HYPERLINK("https://www.google.ru/search?q=JP738110-NV&amp;newwindow=1&amp;tbm=isch","Еще фото")</f>
        <v>Еще фото</v>
      </c>
      <c r="F14" s="14"/>
      <c r="G14" s="11" t="s">
        <v>26</v>
      </c>
      <c r="H14" s="11" t="s">
        <v>27</v>
      </c>
      <c r="I14" s="15" t="s">
        <v>26</v>
      </c>
      <c r="J14" s="15" t="s">
        <v>28</v>
      </c>
      <c r="K14" s="16" t="s">
        <v>59</v>
      </c>
      <c r="L14" s="15" t="s">
        <v>60</v>
      </c>
      <c r="M14" s="15" t="s">
        <v>61</v>
      </c>
      <c r="N14" s="15" t="s">
        <v>31</v>
      </c>
      <c r="O14" s="15"/>
      <c r="P14" s="16" t="s">
        <v>62</v>
      </c>
      <c r="Q14" s="17">
        <v>3999</v>
      </c>
      <c r="R14" s="18">
        <v>30</v>
      </c>
      <c r="S14" s="19">
        <v>3219.1950000000002</v>
      </c>
      <c r="T14" s="20" t="s">
        <v>63</v>
      </c>
      <c r="U14" s="21" t="s">
        <v>64</v>
      </c>
      <c r="V14" s="22" t="s">
        <v>65</v>
      </c>
      <c r="W14" s="23">
        <v>1</v>
      </c>
      <c r="X14" s="24"/>
    </row>
    <row r="15" spans="1:24" s="1" customFormat="1" ht="108" customHeight="1" x14ac:dyDescent="0.3">
      <c r="A15" s="11" t="s">
        <v>23</v>
      </c>
      <c r="B15" s="11" t="s">
        <v>66</v>
      </c>
      <c r="C15" s="12" t="s">
        <v>67</v>
      </c>
      <c r="D15" s="13"/>
      <c r="E15" s="67" t="str">
        <f>HYPERLINK("https://www.google.ru/search?q=M7231010-RED&amp;newwindow=1&amp;tbm=isch","Еще фото")</f>
        <v>Еще фото</v>
      </c>
      <c r="F15" s="14"/>
      <c r="G15" s="11" t="s">
        <v>68</v>
      </c>
      <c r="H15" s="11" t="s">
        <v>69</v>
      </c>
      <c r="I15" s="15" t="s">
        <v>70</v>
      </c>
      <c r="J15" s="15" t="s">
        <v>28</v>
      </c>
      <c r="K15" s="16" t="s">
        <v>71</v>
      </c>
      <c r="L15" s="15" t="s">
        <v>72</v>
      </c>
      <c r="M15" s="15"/>
      <c r="N15" s="15" t="s">
        <v>73</v>
      </c>
      <c r="O15" s="15"/>
      <c r="P15" s="16" t="s">
        <v>74</v>
      </c>
      <c r="Q15" s="17">
        <v>2899</v>
      </c>
      <c r="R15" s="18">
        <v>51</v>
      </c>
      <c r="S15" s="19">
        <v>1633.5864999999999</v>
      </c>
      <c r="T15" s="20" t="s">
        <v>75</v>
      </c>
      <c r="U15" s="21" t="s">
        <v>76</v>
      </c>
      <c r="V15" s="22" t="s">
        <v>77</v>
      </c>
      <c r="W15" s="23">
        <v>3</v>
      </c>
      <c r="X15" s="24"/>
    </row>
    <row r="16" spans="1:24" s="1" customFormat="1" ht="35" customHeight="1" x14ac:dyDescent="0.3">
      <c r="A16" s="11" t="s">
        <v>78</v>
      </c>
      <c r="B16" s="11" t="s">
        <v>79</v>
      </c>
      <c r="C16" s="12" t="s">
        <v>80</v>
      </c>
      <c r="D16" s="85"/>
      <c r="E16" s="67" t="str">
        <f>HYPERLINK("https://www.google.ru/search?q=MT4B116877AS2LC1-DW&amp;newwindow=1&amp;tbm=isch","Еще фото")</f>
        <v>Еще фото</v>
      </c>
      <c r="F16" s="14"/>
      <c r="G16" s="11" t="s">
        <v>81</v>
      </c>
      <c r="H16" s="11" t="s">
        <v>27</v>
      </c>
      <c r="I16" s="15" t="s">
        <v>81</v>
      </c>
      <c r="J16" s="15" t="s">
        <v>82</v>
      </c>
      <c r="K16" s="16" t="s">
        <v>29</v>
      </c>
      <c r="L16" s="83" t="s">
        <v>83</v>
      </c>
      <c r="M16" s="15" t="s">
        <v>61</v>
      </c>
      <c r="N16" s="15" t="s">
        <v>84</v>
      </c>
      <c r="O16" s="15"/>
      <c r="P16" s="16" t="s">
        <v>85</v>
      </c>
      <c r="Q16" s="17">
        <v>9990</v>
      </c>
      <c r="R16" s="18">
        <v>53.48</v>
      </c>
      <c r="S16" s="19">
        <v>5344.9355000000005</v>
      </c>
      <c r="T16" s="20" t="s">
        <v>63</v>
      </c>
      <c r="U16" s="21" t="s">
        <v>86</v>
      </c>
      <c r="V16" s="23">
        <v>44</v>
      </c>
      <c r="W16" s="23">
        <v>1</v>
      </c>
      <c r="X16" s="24"/>
    </row>
    <row r="17" spans="1:24" s="1" customFormat="1" ht="35" customHeight="1" x14ac:dyDescent="0.3">
      <c r="A17" s="25" t="s">
        <v>78</v>
      </c>
      <c r="B17" s="25" t="s">
        <v>79</v>
      </c>
      <c r="C17" s="12" t="s">
        <v>80</v>
      </c>
      <c r="D17" s="86"/>
      <c r="E17" s="67" t="str">
        <f>HYPERLINK("https://www.google.ru/search?q=MT4B116877AS2LC1-DW&amp;newwindow=1&amp;tbm=isch","Еще фото")</f>
        <v>Еще фото</v>
      </c>
      <c r="F17" s="14"/>
      <c r="G17" s="25" t="s">
        <v>81</v>
      </c>
      <c r="H17" s="25" t="s">
        <v>27</v>
      </c>
      <c r="I17" s="25" t="s">
        <v>81</v>
      </c>
      <c r="J17" s="15" t="s">
        <v>82</v>
      </c>
      <c r="K17" s="16" t="s">
        <v>29</v>
      </c>
      <c r="L17" s="88"/>
      <c r="M17" s="15" t="s">
        <v>61</v>
      </c>
      <c r="N17" s="15" t="s">
        <v>84</v>
      </c>
      <c r="O17" s="15"/>
      <c r="P17" s="16" t="s">
        <v>85</v>
      </c>
      <c r="Q17" s="17">
        <v>9990</v>
      </c>
      <c r="R17" s="18">
        <v>53.48</v>
      </c>
      <c r="S17" s="19">
        <v>5344.9355000000005</v>
      </c>
      <c r="T17" s="20" t="s">
        <v>63</v>
      </c>
      <c r="U17" s="21" t="s">
        <v>87</v>
      </c>
      <c r="V17" s="22" t="s">
        <v>53</v>
      </c>
      <c r="W17" s="23">
        <v>1</v>
      </c>
      <c r="X17" s="24"/>
    </row>
    <row r="18" spans="1:24" s="1" customFormat="1" ht="37.049999999999997" customHeight="1" x14ac:dyDescent="0.3">
      <c r="A18" s="25" t="s">
        <v>78</v>
      </c>
      <c r="B18" s="25" t="s">
        <v>79</v>
      </c>
      <c r="C18" s="12" t="s">
        <v>80</v>
      </c>
      <c r="D18" s="87"/>
      <c r="E18" s="67" t="str">
        <f>HYPERLINK("https://www.google.ru/search?q=MT4B116877AS2LC1-DW&amp;newwindow=1&amp;tbm=isch","Еще фото")</f>
        <v>Еще фото</v>
      </c>
      <c r="F18" s="14"/>
      <c r="G18" s="25" t="s">
        <v>81</v>
      </c>
      <c r="H18" s="25" t="s">
        <v>27</v>
      </c>
      <c r="I18" s="25" t="s">
        <v>81</v>
      </c>
      <c r="J18" s="15" t="s">
        <v>82</v>
      </c>
      <c r="K18" s="16" t="s">
        <v>29</v>
      </c>
      <c r="L18" s="84"/>
      <c r="M18" s="15" t="s">
        <v>61</v>
      </c>
      <c r="N18" s="15" t="s">
        <v>84</v>
      </c>
      <c r="O18" s="15"/>
      <c r="P18" s="16" t="s">
        <v>85</v>
      </c>
      <c r="Q18" s="17">
        <v>9990</v>
      </c>
      <c r="R18" s="18">
        <v>53.48</v>
      </c>
      <c r="S18" s="19">
        <v>5344.9355000000005</v>
      </c>
      <c r="T18" s="20" t="s">
        <v>63</v>
      </c>
      <c r="U18" s="21" t="s">
        <v>88</v>
      </c>
      <c r="V18" s="23">
        <v>46</v>
      </c>
      <c r="W18" s="23">
        <v>1</v>
      </c>
      <c r="X18" s="24"/>
    </row>
    <row r="19" spans="1:24" s="1" customFormat="1" ht="108" customHeight="1" x14ac:dyDescent="0.3">
      <c r="A19" s="11" t="s">
        <v>89</v>
      </c>
      <c r="B19" s="11" t="s">
        <v>90</v>
      </c>
      <c r="C19" s="12" t="s">
        <v>91</v>
      </c>
      <c r="D19" s="13"/>
      <c r="E19" s="67" t="str">
        <f>HYPERLINK("https://www.google.ru/search?q=835344-01001&amp;newwindow=1&amp;tbm=isch","Еще фото")</f>
        <v>Еще фото</v>
      </c>
      <c r="F19" s="14"/>
      <c r="G19" s="11" t="s">
        <v>92</v>
      </c>
      <c r="H19" s="11" t="s">
        <v>93</v>
      </c>
      <c r="I19" s="15" t="s">
        <v>94</v>
      </c>
      <c r="J19" s="15" t="s">
        <v>28</v>
      </c>
      <c r="K19" s="16" t="s">
        <v>45</v>
      </c>
      <c r="L19" s="15" t="s">
        <v>95</v>
      </c>
      <c r="M19" s="15" t="s">
        <v>96</v>
      </c>
      <c r="N19" s="15" t="s">
        <v>38</v>
      </c>
      <c r="O19" s="15" t="s">
        <v>97</v>
      </c>
      <c r="P19" s="16" t="s">
        <v>98</v>
      </c>
      <c r="Q19" s="17">
        <v>21799</v>
      </c>
      <c r="R19" s="18">
        <v>45.41</v>
      </c>
      <c r="S19" s="19">
        <v>13684.988499999999</v>
      </c>
      <c r="T19" s="20" t="s">
        <v>99</v>
      </c>
      <c r="U19" s="21" t="s">
        <v>100</v>
      </c>
      <c r="V19" s="23">
        <v>40</v>
      </c>
      <c r="W19" s="23">
        <v>1</v>
      </c>
      <c r="X19" s="24"/>
    </row>
    <row r="20" spans="1:24" s="1" customFormat="1" ht="108" customHeight="1" x14ac:dyDescent="0.3">
      <c r="A20" s="11" t="s">
        <v>101</v>
      </c>
      <c r="B20" s="11" t="s">
        <v>102</v>
      </c>
      <c r="C20" s="12" t="s">
        <v>103</v>
      </c>
      <c r="D20" s="13"/>
      <c r="E20" s="67" t="str">
        <f>HYPERLINK("https://www.google.ru/search?q=W5CT01BIP1-0019&amp;newwindow=1&amp;tbm=isch","Еще фото")</f>
        <v>Еще фото</v>
      </c>
      <c r="F20" s="14"/>
      <c r="G20" s="11" t="s">
        <v>104</v>
      </c>
      <c r="H20" s="11" t="s">
        <v>69</v>
      </c>
      <c r="I20" s="15" t="s">
        <v>105</v>
      </c>
      <c r="J20" s="15" t="s">
        <v>28</v>
      </c>
      <c r="K20" s="16" t="s">
        <v>45</v>
      </c>
      <c r="L20" s="15"/>
      <c r="M20" s="15"/>
      <c r="N20" s="15" t="s">
        <v>38</v>
      </c>
      <c r="O20" s="15"/>
      <c r="P20" s="16" t="s">
        <v>106</v>
      </c>
      <c r="Q20" s="17">
        <v>3399</v>
      </c>
      <c r="R20" s="18">
        <v>63.29</v>
      </c>
      <c r="S20" s="19">
        <v>1434.9354999999998</v>
      </c>
      <c r="T20" s="20" t="s">
        <v>75</v>
      </c>
      <c r="U20" s="21" t="s">
        <v>107</v>
      </c>
      <c r="V20" s="22" t="s">
        <v>77</v>
      </c>
      <c r="W20" s="23">
        <v>3</v>
      </c>
      <c r="X20" s="24"/>
    </row>
    <row r="21" spans="1:24" s="1" customFormat="1" ht="26" customHeight="1" x14ac:dyDescent="0.3">
      <c r="A21" s="11" t="s">
        <v>101</v>
      </c>
      <c r="B21" s="11" t="s">
        <v>108</v>
      </c>
      <c r="C21" s="12" t="s">
        <v>109</v>
      </c>
      <c r="D21" s="85"/>
      <c r="E21" s="67" t="str">
        <f>HYPERLINK("https://www.google.ru/search?q=EBJWR03026-BQT0&amp;newwindow=1&amp;tbm=isch","Еще фото")</f>
        <v>Еще фото</v>
      </c>
      <c r="F21" s="14"/>
      <c r="G21" s="11" t="s">
        <v>110</v>
      </c>
      <c r="H21" s="11" t="s">
        <v>27</v>
      </c>
      <c r="I21" s="15" t="s">
        <v>111</v>
      </c>
      <c r="J21" s="15" t="s">
        <v>112</v>
      </c>
      <c r="K21" s="16" t="s">
        <v>29</v>
      </c>
      <c r="L21" s="83"/>
      <c r="M21" s="15"/>
      <c r="N21" s="15" t="s">
        <v>31</v>
      </c>
      <c r="O21" s="15"/>
      <c r="P21" s="16" t="s">
        <v>113</v>
      </c>
      <c r="Q21" s="17">
        <v>5699</v>
      </c>
      <c r="R21" s="18">
        <v>63.54</v>
      </c>
      <c r="S21" s="19">
        <v>2389.4354999999996</v>
      </c>
      <c r="T21" s="20" t="s">
        <v>33</v>
      </c>
      <c r="U21" s="21" t="s">
        <v>114</v>
      </c>
      <c r="V21" s="23">
        <v>40</v>
      </c>
      <c r="W21" s="23">
        <v>2</v>
      </c>
      <c r="X21" s="24"/>
    </row>
    <row r="22" spans="1:24" s="1" customFormat="1" ht="26" customHeight="1" x14ac:dyDescent="0.3">
      <c r="A22" s="25" t="s">
        <v>101</v>
      </c>
      <c r="B22" s="25" t="s">
        <v>108</v>
      </c>
      <c r="C22" s="12" t="s">
        <v>109</v>
      </c>
      <c r="D22" s="86"/>
      <c r="E22" s="67" t="str">
        <f>HYPERLINK("https://www.google.ru/search?q=EBJWR03026-BQT0&amp;newwindow=1&amp;tbm=isch","Еще фото")</f>
        <v>Еще фото</v>
      </c>
      <c r="F22" s="14"/>
      <c r="G22" s="25" t="s">
        <v>110</v>
      </c>
      <c r="H22" s="25" t="s">
        <v>27</v>
      </c>
      <c r="I22" s="25" t="s">
        <v>111</v>
      </c>
      <c r="J22" s="15" t="s">
        <v>112</v>
      </c>
      <c r="K22" s="16" t="s">
        <v>29</v>
      </c>
      <c r="L22" s="88"/>
      <c r="M22" s="15"/>
      <c r="N22" s="15" t="s">
        <v>31</v>
      </c>
      <c r="O22" s="15"/>
      <c r="P22" s="16" t="s">
        <v>113</v>
      </c>
      <c r="Q22" s="17">
        <v>5699</v>
      </c>
      <c r="R22" s="18">
        <v>63.54</v>
      </c>
      <c r="S22" s="19">
        <v>2389.4354999999996</v>
      </c>
      <c r="T22" s="20" t="s">
        <v>33</v>
      </c>
      <c r="U22" s="21" t="s">
        <v>115</v>
      </c>
      <c r="V22" s="23">
        <v>42</v>
      </c>
      <c r="W22" s="23">
        <v>3</v>
      </c>
      <c r="X22" s="24"/>
    </row>
    <row r="23" spans="1:24" s="1" customFormat="1" ht="26" customHeight="1" x14ac:dyDescent="0.3">
      <c r="A23" s="25" t="s">
        <v>101</v>
      </c>
      <c r="B23" s="25" t="s">
        <v>108</v>
      </c>
      <c r="C23" s="12" t="s">
        <v>109</v>
      </c>
      <c r="D23" s="86"/>
      <c r="E23" s="67" t="str">
        <f>HYPERLINK("https://www.google.ru/search?q=EBJWR03026-BQT0&amp;newwindow=1&amp;tbm=isch","Еще фото")</f>
        <v>Еще фото</v>
      </c>
      <c r="F23" s="14"/>
      <c r="G23" s="25" t="s">
        <v>110</v>
      </c>
      <c r="H23" s="25" t="s">
        <v>27</v>
      </c>
      <c r="I23" s="25" t="s">
        <v>111</v>
      </c>
      <c r="J23" s="15" t="s">
        <v>112</v>
      </c>
      <c r="K23" s="16" t="s">
        <v>29</v>
      </c>
      <c r="L23" s="88"/>
      <c r="M23" s="15"/>
      <c r="N23" s="15" t="s">
        <v>31</v>
      </c>
      <c r="O23" s="15"/>
      <c r="P23" s="16" t="s">
        <v>113</v>
      </c>
      <c r="Q23" s="17">
        <v>5699</v>
      </c>
      <c r="R23" s="18">
        <v>63.54</v>
      </c>
      <c r="S23" s="19">
        <v>2389.4354999999996</v>
      </c>
      <c r="T23" s="20" t="s">
        <v>33</v>
      </c>
      <c r="U23" s="21" t="s">
        <v>116</v>
      </c>
      <c r="V23" s="23">
        <v>44</v>
      </c>
      <c r="W23" s="23">
        <v>3</v>
      </c>
      <c r="X23" s="24"/>
    </row>
    <row r="24" spans="1:24" s="1" customFormat="1" ht="26" customHeight="1" x14ac:dyDescent="0.3">
      <c r="A24" s="25" t="s">
        <v>101</v>
      </c>
      <c r="B24" s="25" t="s">
        <v>108</v>
      </c>
      <c r="C24" s="12" t="s">
        <v>109</v>
      </c>
      <c r="D24" s="87"/>
      <c r="E24" s="67" t="str">
        <f>HYPERLINK("https://www.google.ru/search?q=EBJWR03026-BQT0&amp;newwindow=1&amp;tbm=isch","Еще фото")</f>
        <v>Еще фото</v>
      </c>
      <c r="F24" s="14"/>
      <c r="G24" s="25" t="s">
        <v>110</v>
      </c>
      <c r="H24" s="25" t="s">
        <v>27</v>
      </c>
      <c r="I24" s="25" t="s">
        <v>111</v>
      </c>
      <c r="J24" s="15" t="s">
        <v>112</v>
      </c>
      <c r="K24" s="16" t="s">
        <v>29</v>
      </c>
      <c r="L24" s="84"/>
      <c r="M24" s="15"/>
      <c r="N24" s="15" t="s">
        <v>31</v>
      </c>
      <c r="O24" s="15"/>
      <c r="P24" s="16" t="s">
        <v>113</v>
      </c>
      <c r="Q24" s="17">
        <v>5699</v>
      </c>
      <c r="R24" s="18">
        <v>63.54</v>
      </c>
      <c r="S24" s="19">
        <v>2389.4354999999996</v>
      </c>
      <c r="T24" s="20" t="s">
        <v>33</v>
      </c>
      <c r="U24" s="21" t="s">
        <v>117</v>
      </c>
      <c r="V24" s="23">
        <v>46</v>
      </c>
      <c r="W24" s="23">
        <v>2</v>
      </c>
      <c r="X24" s="24"/>
    </row>
    <row r="25" spans="1:24" s="1" customFormat="1" ht="108" customHeight="1" x14ac:dyDescent="0.3">
      <c r="A25" s="11" t="s">
        <v>118</v>
      </c>
      <c r="B25" s="11" t="s">
        <v>119</v>
      </c>
      <c r="C25" s="12" t="s">
        <v>120</v>
      </c>
      <c r="D25" s="13"/>
      <c r="E25" s="67" t="str">
        <f>HYPERLINK("https://www.google.ru/search?q=A19AJSWSK01-QW&amp;newwindow=1&amp;tbm=isch","Еще фото")</f>
        <v>Еще фото</v>
      </c>
      <c r="F25" s="14"/>
      <c r="G25" s="11" t="s">
        <v>121</v>
      </c>
      <c r="H25" s="11" t="s">
        <v>27</v>
      </c>
      <c r="I25" s="15" t="s">
        <v>111</v>
      </c>
      <c r="J25" s="15" t="s">
        <v>112</v>
      </c>
      <c r="K25" s="16" t="s">
        <v>59</v>
      </c>
      <c r="L25" s="15"/>
      <c r="M25" s="15"/>
      <c r="N25" s="15" t="s">
        <v>122</v>
      </c>
      <c r="O25" s="15"/>
      <c r="P25" s="16" t="s">
        <v>123</v>
      </c>
      <c r="Q25" s="17">
        <v>1190</v>
      </c>
      <c r="R25" s="18">
        <v>55.65</v>
      </c>
      <c r="S25" s="26">
        <v>606.93549999999993</v>
      </c>
      <c r="T25" s="20" t="s">
        <v>124</v>
      </c>
      <c r="U25" s="21" t="s">
        <v>125</v>
      </c>
      <c r="V25" s="23">
        <v>104</v>
      </c>
      <c r="W25" s="23">
        <v>1</v>
      </c>
      <c r="X25" s="24"/>
    </row>
    <row r="26" spans="1:24" s="1" customFormat="1" ht="108" customHeight="1" x14ac:dyDescent="0.3">
      <c r="A26" s="11" t="s">
        <v>126</v>
      </c>
      <c r="B26" s="11" t="s">
        <v>127</v>
      </c>
      <c r="C26" s="12" t="s">
        <v>128</v>
      </c>
      <c r="D26" s="13"/>
      <c r="E26" s="67" t="str">
        <f>HYPERLINK("https://www.google.ru/search?q=FBS2345BJ&amp;newwindow=1&amp;tbm=isch","Еще фото")</f>
        <v>Еще фото</v>
      </c>
      <c r="F26" s="14"/>
      <c r="G26" s="11" t="s">
        <v>129</v>
      </c>
      <c r="H26" s="11" t="s">
        <v>27</v>
      </c>
      <c r="I26" s="15" t="s">
        <v>130</v>
      </c>
      <c r="J26" s="15" t="s">
        <v>28</v>
      </c>
      <c r="K26" s="16" t="s">
        <v>45</v>
      </c>
      <c r="L26" s="15" t="s">
        <v>131</v>
      </c>
      <c r="M26" s="15" t="s">
        <v>61</v>
      </c>
      <c r="N26" s="15" t="s">
        <v>132</v>
      </c>
      <c r="O26" s="15"/>
      <c r="P26" s="16" t="s">
        <v>133</v>
      </c>
      <c r="Q26" s="17">
        <v>19799</v>
      </c>
      <c r="R26" s="18">
        <v>64.66</v>
      </c>
      <c r="S26" s="19">
        <v>8047.4354999999996</v>
      </c>
      <c r="T26" s="20" t="s">
        <v>99</v>
      </c>
      <c r="U26" s="21" t="s">
        <v>134</v>
      </c>
      <c r="V26" s="22" t="s">
        <v>41</v>
      </c>
      <c r="W26" s="23">
        <v>22</v>
      </c>
      <c r="X26" s="24"/>
    </row>
    <row r="27" spans="1:24" s="1" customFormat="1" ht="108" customHeight="1" x14ac:dyDescent="0.3">
      <c r="A27" s="11" t="s">
        <v>126</v>
      </c>
      <c r="B27" s="11" t="s">
        <v>127</v>
      </c>
      <c r="C27" s="12" t="s">
        <v>135</v>
      </c>
      <c r="D27" s="13"/>
      <c r="E27" s="67" t="str">
        <f>HYPERLINK("https://www.google.ru/search?q=FBS2345HK&amp;newwindow=1&amp;tbm=isch","Еще фото")</f>
        <v>Еще фото</v>
      </c>
      <c r="F27" s="14"/>
      <c r="G27" s="11" t="s">
        <v>129</v>
      </c>
      <c r="H27" s="11" t="s">
        <v>27</v>
      </c>
      <c r="I27" s="15" t="s">
        <v>130</v>
      </c>
      <c r="J27" s="15" t="s">
        <v>28</v>
      </c>
      <c r="K27" s="16" t="s">
        <v>45</v>
      </c>
      <c r="L27" s="15" t="s">
        <v>131</v>
      </c>
      <c r="M27" s="15" t="s">
        <v>61</v>
      </c>
      <c r="N27" s="15" t="s">
        <v>55</v>
      </c>
      <c r="O27" s="15"/>
      <c r="P27" s="16" t="s">
        <v>133</v>
      </c>
      <c r="Q27" s="17">
        <v>19999</v>
      </c>
      <c r="R27" s="18">
        <v>54.31</v>
      </c>
      <c r="S27" s="19">
        <v>10508.4355</v>
      </c>
      <c r="T27" s="20" t="s">
        <v>99</v>
      </c>
      <c r="U27" s="21" t="s">
        <v>134</v>
      </c>
      <c r="V27" s="22" t="s">
        <v>41</v>
      </c>
      <c r="W27" s="23">
        <v>2</v>
      </c>
      <c r="X27" s="24"/>
    </row>
    <row r="28" spans="1:24" s="1" customFormat="1" ht="108" customHeight="1" x14ac:dyDescent="0.3">
      <c r="A28" s="11" t="s">
        <v>126</v>
      </c>
      <c r="B28" s="11" t="s">
        <v>127</v>
      </c>
      <c r="C28" s="12" t="s">
        <v>136</v>
      </c>
      <c r="D28" s="13"/>
      <c r="E28" s="67" t="str">
        <f>HYPERLINK("https://www.google.ru/search?q=FBS2345NV&amp;newwindow=1&amp;tbm=isch","Еще фото")</f>
        <v>Еще фото</v>
      </c>
      <c r="F28" s="14"/>
      <c r="G28" s="11" t="s">
        <v>129</v>
      </c>
      <c r="H28" s="11" t="s">
        <v>27</v>
      </c>
      <c r="I28" s="15" t="s">
        <v>130</v>
      </c>
      <c r="J28" s="15" t="s">
        <v>28</v>
      </c>
      <c r="K28" s="16" t="s">
        <v>45</v>
      </c>
      <c r="L28" s="15" t="s">
        <v>131</v>
      </c>
      <c r="M28" s="15" t="s">
        <v>61</v>
      </c>
      <c r="N28" s="15" t="s">
        <v>31</v>
      </c>
      <c r="O28" s="15"/>
      <c r="P28" s="16" t="s">
        <v>133</v>
      </c>
      <c r="Q28" s="17">
        <v>19799</v>
      </c>
      <c r="R28" s="18">
        <v>52.64</v>
      </c>
      <c r="S28" s="19">
        <v>10784.4355</v>
      </c>
      <c r="T28" s="20" t="s">
        <v>99</v>
      </c>
      <c r="U28" s="21" t="s">
        <v>134</v>
      </c>
      <c r="V28" s="22" t="s">
        <v>41</v>
      </c>
      <c r="W28" s="23">
        <v>5</v>
      </c>
      <c r="X28" s="24"/>
    </row>
    <row r="29" spans="1:24" s="1" customFormat="1" ht="108" customHeight="1" x14ac:dyDescent="0.3">
      <c r="A29" s="11" t="s">
        <v>126</v>
      </c>
      <c r="B29" s="11" t="s">
        <v>127</v>
      </c>
      <c r="C29" s="12" t="s">
        <v>137</v>
      </c>
      <c r="D29" s="13"/>
      <c r="E29" s="67" t="str">
        <f>HYPERLINK("https://www.google.ru/search?q=FBS2345BL&amp;newwindow=1&amp;tbm=isch","Еще фото")</f>
        <v>Еще фото</v>
      </c>
      <c r="F29" s="14"/>
      <c r="G29" s="11" t="s">
        <v>129</v>
      </c>
      <c r="H29" s="11" t="s">
        <v>27</v>
      </c>
      <c r="I29" s="15" t="s">
        <v>130</v>
      </c>
      <c r="J29" s="15" t="s">
        <v>28</v>
      </c>
      <c r="K29" s="16" t="s">
        <v>45</v>
      </c>
      <c r="L29" s="15" t="s">
        <v>131</v>
      </c>
      <c r="M29" s="15" t="s">
        <v>61</v>
      </c>
      <c r="N29" s="15" t="s">
        <v>38</v>
      </c>
      <c r="O29" s="15"/>
      <c r="P29" s="16" t="s">
        <v>133</v>
      </c>
      <c r="Q29" s="17">
        <v>19999</v>
      </c>
      <c r="R29" s="18">
        <v>49.21</v>
      </c>
      <c r="S29" s="19">
        <v>11681.4355</v>
      </c>
      <c r="T29" s="20" t="s">
        <v>99</v>
      </c>
      <c r="U29" s="21" t="s">
        <v>134</v>
      </c>
      <c r="V29" s="22" t="s">
        <v>41</v>
      </c>
      <c r="W29" s="23">
        <v>2</v>
      </c>
      <c r="X29" s="24"/>
    </row>
    <row r="30" spans="1:24" s="1" customFormat="1" ht="108" customHeight="1" x14ac:dyDescent="0.3">
      <c r="A30" s="11" t="s">
        <v>23</v>
      </c>
      <c r="B30" s="11" t="s">
        <v>138</v>
      </c>
      <c r="C30" s="12" t="s">
        <v>139</v>
      </c>
      <c r="D30" s="13"/>
      <c r="E30" s="67" t="str">
        <f>HYPERLINK("https://www.google.ru/search?q=FW6231202-KHK&amp;newwindow=1&amp;tbm=isch","Еще фото")</f>
        <v>Еще фото</v>
      </c>
      <c r="F30" s="14"/>
      <c r="G30" s="11" t="s">
        <v>140</v>
      </c>
      <c r="H30" s="11" t="s">
        <v>27</v>
      </c>
      <c r="I30" s="15" t="s">
        <v>130</v>
      </c>
      <c r="J30" s="15" t="s">
        <v>28</v>
      </c>
      <c r="K30" s="16" t="s">
        <v>29</v>
      </c>
      <c r="L30" s="15" t="s">
        <v>141</v>
      </c>
      <c r="M30" s="15"/>
      <c r="N30" s="15" t="s">
        <v>132</v>
      </c>
      <c r="O30" s="15"/>
      <c r="P30" s="16" t="s">
        <v>142</v>
      </c>
      <c r="Q30" s="17">
        <v>11400</v>
      </c>
      <c r="R30" s="18">
        <v>48</v>
      </c>
      <c r="S30" s="19">
        <v>6817.2</v>
      </c>
      <c r="T30" s="20" t="s">
        <v>33</v>
      </c>
      <c r="U30" s="21" t="s">
        <v>40</v>
      </c>
      <c r="V30" s="22" t="s">
        <v>41</v>
      </c>
      <c r="W30" s="23">
        <v>1</v>
      </c>
      <c r="X30" s="24"/>
    </row>
    <row r="31" spans="1:24" s="1" customFormat="1" ht="108" customHeight="1" x14ac:dyDescent="0.3">
      <c r="A31" s="11" t="s">
        <v>143</v>
      </c>
      <c r="B31" s="11" t="s">
        <v>144</v>
      </c>
      <c r="C31" s="12" t="s">
        <v>145</v>
      </c>
      <c r="D31" s="13"/>
      <c r="E31" s="67" t="str">
        <f>HYPERLINK("https://www.google.ru/search?q=21037&amp;newwindow=1&amp;tbm=isch","Еще фото")</f>
        <v>Еще фото</v>
      </c>
      <c r="F31" s="14"/>
      <c r="G31" s="11" t="s">
        <v>146</v>
      </c>
      <c r="H31" s="11" t="s">
        <v>27</v>
      </c>
      <c r="I31" s="15" t="s">
        <v>130</v>
      </c>
      <c r="J31" s="15" t="s">
        <v>82</v>
      </c>
      <c r="K31" s="16" t="s">
        <v>29</v>
      </c>
      <c r="L31" s="15" t="s">
        <v>147</v>
      </c>
      <c r="M31" s="15"/>
      <c r="N31" s="15" t="s">
        <v>132</v>
      </c>
      <c r="O31" s="15"/>
      <c r="P31" s="16" t="s">
        <v>148</v>
      </c>
      <c r="Q31" s="17">
        <v>34179</v>
      </c>
      <c r="R31" s="18">
        <v>45</v>
      </c>
      <c r="S31" s="19">
        <v>21618.217499999999</v>
      </c>
      <c r="T31" s="20"/>
      <c r="U31" s="21" t="s">
        <v>149</v>
      </c>
      <c r="V31" s="22"/>
      <c r="W31" s="23">
        <v>1</v>
      </c>
      <c r="X31" s="24"/>
    </row>
    <row r="32" spans="1:24" s="1" customFormat="1" ht="52.05" customHeight="1" x14ac:dyDescent="0.3">
      <c r="A32" s="11" t="s">
        <v>150</v>
      </c>
      <c r="B32" s="11" t="s">
        <v>151</v>
      </c>
      <c r="C32" s="12" t="s">
        <v>152</v>
      </c>
      <c r="D32" s="81"/>
      <c r="E32" s="67" t="str">
        <f>HYPERLINK("https://www.google.ru/search?q=977119120018-7683&amp;newwindow=1&amp;tbm=isch","Еще фото")</f>
        <v>Еще фото</v>
      </c>
      <c r="F32" s="14"/>
      <c r="G32" s="11" t="s">
        <v>153</v>
      </c>
      <c r="H32" s="11" t="s">
        <v>93</v>
      </c>
      <c r="I32" s="15" t="s">
        <v>154</v>
      </c>
      <c r="J32" s="15" t="s">
        <v>155</v>
      </c>
      <c r="K32" s="16" t="s">
        <v>45</v>
      </c>
      <c r="L32" s="83" t="s">
        <v>156</v>
      </c>
      <c r="M32" s="15"/>
      <c r="N32" s="15" t="s">
        <v>38</v>
      </c>
      <c r="O32" s="15"/>
      <c r="P32" s="16" t="s">
        <v>157</v>
      </c>
      <c r="Q32" s="17">
        <v>17399</v>
      </c>
      <c r="R32" s="18">
        <v>87.77</v>
      </c>
      <c r="S32" s="19">
        <v>2446.9354999999996</v>
      </c>
      <c r="T32" s="20" t="s">
        <v>99</v>
      </c>
      <c r="U32" s="21" t="s">
        <v>158</v>
      </c>
      <c r="V32" s="23">
        <v>43</v>
      </c>
      <c r="W32" s="23">
        <v>3</v>
      </c>
      <c r="X32" s="24"/>
    </row>
    <row r="33" spans="1:24" s="1" customFormat="1" ht="61.05" customHeight="1" x14ac:dyDescent="0.3">
      <c r="A33" s="25" t="s">
        <v>150</v>
      </c>
      <c r="B33" s="25" t="s">
        <v>151</v>
      </c>
      <c r="C33" s="12" t="s">
        <v>152</v>
      </c>
      <c r="D33" s="82"/>
      <c r="E33" s="67" t="str">
        <f>HYPERLINK("https://www.google.ru/search?q=977119120018-7683&amp;newwindow=1&amp;tbm=isch","Еще фото")</f>
        <v>Еще фото</v>
      </c>
      <c r="F33" s="14"/>
      <c r="G33" s="25" t="s">
        <v>153</v>
      </c>
      <c r="H33" s="25" t="s">
        <v>93</v>
      </c>
      <c r="I33" s="25" t="s">
        <v>154</v>
      </c>
      <c r="J33" s="15" t="s">
        <v>155</v>
      </c>
      <c r="K33" s="16" t="s">
        <v>45</v>
      </c>
      <c r="L33" s="84"/>
      <c r="M33" s="15"/>
      <c r="N33" s="15" t="s">
        <v>38</v>
      </c>
      <c r="O33" s="15"/>
      <c r="P33" s="16" t="s">
        <v>157</v>
      </c>
      <c r="Q33" s="17">
        <v>17399</v>
      </c>
      <c r="R33" s="18">
        <v>87.77</v>
      </c>
      <c r="S33" s="19">
        <v>2446.9354999999996</v>
      </c>
      <c r="T33" s="20" t="s">
        <v>99</v>
      </c>
      <c r="U33" s="21" t="s">
        <v>159</v>
      </c>
      <c r="V33" s="23">
        <v>44</v>
      </c>
      <c r="W33" s="23">
        <v>5</v>
      </c>
      <c r="X33" s="24"/>
    </row>
    <row r="34" spans="1:24" s="1" customFormat="1" ht="52.05" customHeight="1" x14ac:dyDescent="0.3">
      <c r="A34" s="11" t="s">
        <v>150</v>
      </c>
      <c r="B34" s="11" t="s">
        <v>160</v>
      </c>
      <c r="C34" s="12" t="s">
        <v>161</v>
      </c>
      <c r="D34" s="81"/>
      <c r="E34" s="67" t="str">
        <f>HYPERLINK("https://www.google.ru/search?q=977119110011-A357&amp;newwindow=1&amp;tbm=isch","Еще фото")</f>
        <v>Еще фото</v>
      </c>
      <c r="F34" s="14"/>
      <c r="G34" s="11" t="s">
        <v>153</v>
      </c>
      <c r="H34" s="11" t="s">
        <v>93</v>
      </c>
      <c r="I34" s="15" t="s">
        <v>154</v>
      </c>
      <c r="J34" s="15" t="s">
        <v>162</v>
      </c>
      <c r="K34" s="16" t="s">
        <v>45</v>
      </c>
      <c r="L34" s="83" t="s">
        <v>163</v>
      </c>
      <c r="M34" s="15"/>
      <c r="N34" s="15" t="s">
        <v>38</v>
      </c>
      <c r="O34" s="15"/>
      <c r="P34" s="16" t="s">
        <v>157</v>
      </c>
      <c r="Q34" s="17">
        <v>9900</v>
      </c>
      <c r="R34" s="18">
        <v>76.69</v>
      </c>
      <c r="S34" s="19">
        <v>2653.9354999999996</v>
      </c>
      <c r="T34" s="20" t="s">
        <v>99</v>
      </c>
      <c r="U34" s="21" t="s">
        <v>164</v>
      </c>
      <c r="V34" s="23">
        <v>41</v>
      </c>
      <c r="W34" s="23">
        <v>1</v>
      </c>
      <c r="X34" s="24"/>
    </row>
    <row r="35" spans="1:24" s="1" customFormat="1" ht="61.05" customHeight="1" x14ac:dyDescent="0.3">
      <c r="A35" s="25" t="s">
        <v>150</v>
      </c>
      <c r="B35" s="25" t="s">
        <v>160</v>
      </c>
      <c r="C35" s="12" t="s">
        <v>161</v>
      </c>
      <c r="D35" s="82"/>
      <c r="E35" s="67" t="str">
        <f>HYPERLINK("https://www.google.ru/search?q=977119110011-A357&amp;newwindow=1&amp;tbm=isch","Еще фото")</f>
        <v>Еще фото</v>
      </c>
      <c r="F35" s="14"/>
      <c r="G35" s="25" t="s">
        <v>153</v>
      </c>
      <c r="H35" s="25" t="s">
        <v>93</v>
      </c>
      <c r="I35" s="25" t="s">
        <v>154</v>
      </c>
      <c r="J35" s="15" t="s">
        <v>162</v>
      </c>
      <c r="K35" s="16" t="s">
        <v>45</v>
      </c>
      <c r="L35" s="84"/>
      <c r="M35" s="15"/>
      <c r="N35" s="15" t="s">
        <v>38</v>
      </c>
      <c r="O35" s="15"/>
      <c r="P35" s="16" t="s">
        <v>157</v>
      </c>
      <c r="Q35" s="17">
        <v>9900</v>
      </c>
      <c r="R35" s="18">
        <v>76.69</v>
      </c>
      <c r="S35" s="19">
        <v>2653.9354999999996</v>
      </c>
      <c r="T35" s="20" t="s">
        <v>99</v>
      </c>
      <c r="U35" s="21" t="s">
        <v>165</v>
      </c>
      <c r="V35" s="23">
        <v>42</v>
      </c>
      <c r="W35" s="23">
        <v>2</v>
      </c>
      <c r="X35" s="24"/>
    </row>
    <row r="36" spans="1:24" s="1" customFormat="1" ht="108" customHeight="1" x14ac:dyDescent="0.3">
      <c r="A36" s="11" t="s">
        <v>23</v>
      </c>
      <c r="B36" s="11" t="s">
        <v>166</v>
      </c>
      <c r="C36" s="12" t="s">
        <v>167</v>
      </c>
      <c r="D36" s="13"/>
      <c r="E36" s="67" t="str">
        <f>HYPERLINK("https://www.google.ru/search?q=E231058H-BLWH&amp;newwindow=1&amp;tbm=isch","Еще фото")</f>
        <v>Еще фото</v>
      </c>
      <c r="F36" s="14"/>
      <c r="G36" s="11" t="s">
        <v>153</v>
      </c>
      <c r="H36" s="11" t="s">
        <v>93</v>
      </c>
      <c r="I36" s="15" t="s">
        <v>154</v>
      </c>
      <c r="J36" s="15" t="s">
        <v>162</v>
      </c>
      <c r="K36" s="16" t="s">
        <v>29</v>
      </c>
      <c r="L36" s="15" t="s">
        <v>168</v>
      </c>
      <c r="M36" s="15"/>
      <c r="N36" s="15" t="s">
        <v>38</v>
      </c>
      <c r="O36" s="15"/>
      <c r="P36" s="16" t="s">
        <v>169</v>
      </c>
      <c r="Q36" s="17">
        <v>7999</v>
      </c>
      <c r="R36" s="18">
        <v>70.650000000000006</v>
      </c>
      <c r="S36" s="19">
        <v>2699.9354999999996</v>
      </c>
      <c r="T36" s="20" t="s">
        <v>99</v>
      </c>
      <c r="U36" s="21" t="s">
        <v>170</v>
      </c>
      <c r="V36" s="23">
        <v>36</v>
      </c>
      <c r="W36" s="23">
        <v>2</v>
      </c>
      <c r="X36" s="24"/>
    </row>
    <row r="37" spans="1:24" s="1" customFormat="1" ht="52.05" customHeight="1" x14ac:dyDescent="0.3">
      <c r="A37" s="11" t="s">
        <v>23</v>
      </c>
      <c r="B37" s="11" t="s">
        <v>166</v>
      </c>
      <c r="C37" s="12" t="s">
        <v>171</v>
      </c>
      <c r="D37" s="81"/>
      <c r="E37" s="67" t="str">
        <f>HYPERLINK("https://www.google.ru/search?q=E231138H-WHT&amp;newwindow=1&amp;tbm=isch","Еще фото")</f>
        <v>Еще фото</v>
      </c>
      <c r="F37" s="14"/>
      <c r="G37" s="11" t="s">
        <v>153</v>
      </c>
      <c r="H37" s="11" t="s">
        <v>93</v>
      </c>
      <c r="I37" s="15" t="s">
        <v>154</v>
      </c>
      <c r="J37" s="15" t="s">
        <v>162</v>
      </c>
      <c r="K37" s="16" t="s">
        <v>29</v>
      </c>
      <c r="L37" s="83" t="s">
        <v>172</v>
      </c>
      <c r="M37" s="15"/>
      <c r="N37" s="15" t="s">
        <v>173</v>
      </c>
      <c r="O37" s="15"/>
      <c r="P37" s="16" t="s">
        <v>174</v>
      </c>
      <c r="Q37" s="17">
        <v>10999</v>
      </c>
      <c r="R37" s="18">
        <v>68.11</v>
      </c>
      <c r="S37" s="19">
        <v>4033.9354999999996</v>
      </c>
      <c r="T37" s="20" t="s">
        <v>99</v>
      </c>
      <c r="U37" s="21" t="s">
        <v>170</v>
      </c>
      <c r="V37" s="23">
        <v>36</v>
      </c>
      <c r="W37" s="23">
        <v>1</v>
      </c>
      <c r="X37" s="24"/>
    </row>
    <row r="38" spans="1:24" s="1" customFormat="1" ht="61.05" customHeight="1" x14ac:dyDescent="0.3">
      <c r="A38" s="25" t="s">
        <v>23</v>
      </c>
      <c r="B38" s="25" t="s">
        <v>166</v>
      </c>
      <c r="C38" s="12" t="s">
        <v>171</v>
      </c>
      <c r="D38" s="82"/>
      <c r="E38" s="67" t="str">
        <f>HYPERLINK("https://www.google.ru/search?q=E231138H-WHT&amp;newwindow=1&amp;tbm=isch","Еще фото")</f>
        <v>Еще фото</v>
      </c>
      <c r="F38" s="14"/>
      <c r="G38" s="25" t="s">
        <v>153</v>
      </c>
      <c r="H38" s="25" t="s">
        <v>93</v>
      </c>
      <c r="I38" s="25" t="s">
        <v>154</v>
      </c>
      <c r="J38" s="15" t="s">
        <v>162</v>
      </c>
      <c r="K38" s="16" t="s">
        <v>29</v>
      </c>
      <c r="L38" s="84"/>
      <c r="M38" s="15"/>
      <c r="N38" s="15" t="s">
        <v>173</v>
      </c>
      <c r="O38" s="15"/>
      <c r="P38" s="16" t="s">
        <v>174</v>
      </c>
      <c r="Q38" s="17">
        <v>10999</v>
      </c>
      <c r="R38" s="18">
        <v>68.11</v>
      </c>
      <c r="S38" s="19">
        <v>4033.9354999999996</v>
      </c>
      <c r="T38" s="20" t="s">
        <v>99</v>
      </c>
      <c r="U38" s="21" t="s">
        <v>175</v>
      </c>
      <c r="V38" s="23">
        <v>38</v>
      </c>
      <c r="W38" s="23">
        <v>1</v>
      </c>
      <c r="X38" s="24"/>
    </row>
    <row r="39" spans="1:24" s="1" customFormat="1" ht="108" customHeight="1" x14ac:dyDescent="0.3">
      <c r="A39" s="11" t="s">
        <v>23</v>
      </c>
      <c r="B39" s="11" t="s">
        <v>176</v>
      </c>
      <c r="C39" s="12" t="s">
        <v>177</v>
      </c>
      <c r="D39" s="13"/>
      <c r="E39" s="67" t="str">
        <f>HYPERLINK("https://www.google.ru/search?q=E231157H-BLU&amp;newwindow=1&amp;tbm=isch","Еще фото")</f>
        <v>Еще фото</v>
      </c>
      <c r="F39" s="14"/>
      <c r="G39" s="11" t="s">
        <v>153</v>
      </c>
      <c r="H39" s="11" t="s">
        <v>93</v>
      </c>
      <c r="I39" s="15" t="s">
        <v>154</v>
      </c>
      <c r="J39" s="15" t="s">
        <v>162</v>
      </c>
      <c r="K39" s="16" t="s">
        <v>45</v>
      </c>
      <c r="L39" s="15" t="s">
        <v>178</v>
      </c>
      <c r="M39" s="15"/>
      <c r="N39" s="15" t="s">
        <v>31</v>
      </c>
      <c r="O39" s="15"/>
      <c r="P39" s="16" t="s">
        <v>179</v>
      </c>
      <c r="Q39" s="17">
        <v>10000</v>
      </c>
      <c r="R39" s="18">
        <v>63.62</v>
      </c>
      <c r="S39" s="19">
        <v>4183.4354999999996</v>
      </c>
      <c r="T39" s="20" t="s">
        <v>99</v>
      </c>
      <c r="U39" s="21" t="s">
        <v>100</v>
      </c>
      <c r="V39" s="23">
        <v>39</v>
      </c>
      <c r="W39" s="23">
        <v>1</v>
      </c>
      <c r="X39" s="24"/>
    </row>
    <row r="40" spans="1:24" s="1" customFormat="1" ht="108" customHeight="1" x14ac:dyDescent="0.3">
      <c r="A40" s="11" t="s">
        <v>23</v>
      </c>
      <c r="B40" s="11" t="s">
        <v>166</v>
      </c>
      <c r="C40" s="12" t="s">
        <v>180</v>
      </c>
      <c r="D40" s="13"/>
      <c r="E40" s="67" t="str">
        <f>HYPERLINK("https://www.google.ru/search?q=E231127H-BLSL&amp;newwindow=1&amp;tbm=isch","Еще фото")</f>
        <v>Еще фото</v>
      </c>
      <c r="F40" s="14"/>
      <c r="G40" s="11" t="s">
        <v>153</v>
      </c>
      <c r="H40" s="11" t="s">
        <v>93</v>
      </c>
      <c r="I40" s="15" t="s">
        <v>154</v>
      </c>
      <c r="J40" s="15" t="s">
        <v>162</v>
      </c>
      <c r="K40" s="16" t="s">
        <v>45</v>
      </c>
      <c r="L40" s="15" t="s">
        <v>181</v>
      </c>
      <c r="M40" s="15"/>
      <c r="N40" s="15" t="s">
        <v>38</v>
      </c>
      <c r="O40" s="15"/>
      <c r="P40" s="16" t="s">
        <v>182</v>
      </c>
      <c r="Q40" s="17">
        <v>10000</v>
      </c>
      <c r="R40" s="18">
        <v>61.02</v>
      </c>
      <c r="S40" s="19">
        <v>4482.4354999999996</v>
      </c>
      <c r="T40" s="20" t="s">
        <v>99</v>
      </c>
      <c r="U40" s="21" t="s">
        <v>158</v>
      </c>
      <c r="V40" s="23">
        <v>43</v>
      </c>
      <c r="W40" s="23">
        <v>1</v>
      </c>
      <c r="X40" s="24"/>
    </row>
    <row r="41" spans="1:24" s="1" customFormat="1" ht="108" customHeight="1" x14ac:dyDescent="0.3">
      <c r="A41" s="11" t="s">
        <v>150</v>
      </c>
      <c r="B41" s="11" t="s">
        <v>183</v>
      </c>
      <c r="C41" s="12" t="s">
        <v>184</v>
      </c>
      <c r="D41" s="13"/>
      <c r="E41" s="67" t="str">
        <f>HYPERLINK("https://www.google.ru/search?q=977118110006-D952&amp;newwindow=1&amp;tbm=isch","Еще фото")</f>
        <v>Еще фото</v>
      </c>
      <c r="F41" s="14"/>
      <c r="G41" s="11" t="s">
        <v>153</v>
      </c>
      <c r="H41" s="11" t="s">
        <v>93</v>
      </c>
      <c r="I41" s="15" t="s">
        <v>154</v>
      </c>
      <c r="J41" s="15" t="s">
        <v>162</v>
      </c>
      <c r="K41" s="16" t="s">
        <v>29</v>
      </c>
      <c r="L41" s="15" t="s">
        <v>185</v>
      </c>
      <c r="M41" s="15"/>
      <c r="N41" s="15" t="s">
        <v>173</v>
      </c>
      <c r="O41" s="15"/>
      <c r="P41" s="16" t="s">
        <v>186</v>
      </c>
      <c r="Q41" s="17">
        <v>12400</v>
      </c>
      <c r="R41" s="18">
        <v>48</v>
      </c>
      <c r="S41" s="19">
        <v>7415.2</v>
      </c>
      <c r="T41" s="20" t="s">
        <v>99</v>
      </c>
      <c r="U41" s="21" t="s">
        <v>175</v>
      </c>
      <c r="V41" s="23">
        <v>38</v>
      </c>
      <c r="W41" s="23">
        <v>1</v>
      </c>
      <c r="X41" s="24"/>
    </row>
    <row r="42" spans="1:24" s="1" customFormat="1" ht="108" customHeight="1" x14ac:dyDescent="0.3">
      <c r="A42" s="11" t="s">
        <v>150</v>
      </c>
      <c r="B42" s="11" t="s">
        <v>160</v>
      </c>
      <c r="C42" s="12" t="s">
        <v>187</v>
      </c>
      <c r="D42" s="13"/>
      <c r="E42" s="67" t="str">
        <f>HYPERLINK("https://www.google.ru/search?q=977118110053-6851&amp;newwindow=1&amp;tbm=isch","Еще фото")</f>
        <v>Еще фото</v>
      </c>
      <c r="F42" s="14"/>
      <c r="G42" s="11" t="s">
        <v>153</v>
      </c>
      <c r="H42" s="11" t="s">
        <v>93</v>
      </c>
      <c r="I42" s="15" t="s">
        <v>154</v>
      </c>
      <c r="J42" s="15" t="s">
        <v>162</v>
      </c>
      <c r="K42" s="16" t="s">
        <v>29</v>
      </c>
      <c r="L42" s="15" t="s">
        <v>188</v>
      </c>
      <c r="M42" s="15"/>
      <c r="N42" s="15" t="s">
        <v>173</v>
      </c>
      <c r="O42" s="15"/>
      <c r="P42" s="16" t="s">
        <v>189</v>
      </c>
      <c r="Q42" s="17">
        <v>8400</v>
      </c>
      <c r="R42" s="18">
        <v>48</v>
      </c>
      <c r="S42" s="19">
        <v>5023.2</v>
      </c>
      <c r="T42" s="20" t="s">
        <v>99</v>
      </c>
      <c r="U42" s="21" t="s">
        <v>175</v>
      </c>
      <c r="V42" s="23">
        <v>38</v>
      </c>
      <c r="W42" s="23">
        <v>1</v>
      </c>
      <c r="X42" s="24"/>
    </row>
    <row r="43" spans="1:24" s="1" customFormat="1" ht="108" customHeight="1" x14ac:dyDescent="0.3">
      <c r="A43" s="11" t="s">
        <v>150</v>
      </c>
      <c r="B43" s="11" t="s">
        <v>160</v>
      </c>
      <c r="C43" s="12" t="s">
        <v>190</v>
      </c>
      <c r="D43" s="13"/>
      <c r="E43" s="67" t="str">
        <f>HYPERLINK("https://www.google.ru/search?q=977119110027-6394&amp;newwindow=1&amp;tbm=isch","Еще фото")</f>
        <v>Еще фото</v>
      </c>
      <c r="F43" s="14"/>
      <c r="G43" s="11" t="s">
        <v>153</v>
      </c>
      <c r="H43" s="11" t="s">
        <v>93</v>
      </c>
      <c r="I43" s="15" t="s">
        <v>154</v>
      </c>
      <c r="J43" s="15" t="s">
        <v>162</v>
      </c>
      <c r="K43" s="16" t="s">
        <v>45</v>
      </c>
      <c r="L43" s="15" t="s">
        <v>163</v>
      </c>
      <c r="M43" s="15"/>
      <c r="N43" s="15" t="s">
        <v>173</v>
      </c>
      <c r="O43" s="15"/>
      <c r="P43" s="16" t="s">
        <v>157</v>
      </c>
      <c r="Q43" s="17">
        <v>8400</v>
      </c>
      <c r="R43" s="18">
        <v>48</v>
      </c>
      <c r="S43" s="19">
        <v>5023.2</v>
      </c>
      <c r="T43" s="20" t="s">
        <v>99</v>
      </c>
      <c r="U43" s="21" t="s">
        <v>165</v>
      </c>
      <c r="V43" s="23">
        <v>42</v>
      </c>
      <c r="W43" s="23">
        <v>1</v>
      </c>
      <c r="X43" s="24"/>
    </row>
    <row r="44" spans="1:24" s="1" customFormat="1" ht="108" customHeight="1" x14ac:dyDescent="0.3">
      <c r="A44" s="11" t="s">
        <v>150</v>
      </c>
      <c r="B44" s="11" t="s">
        <v>160</v>
      </c>
      <c r="C44" s="12" t="s">
        <v>191</v>
      </c>
      <c r="D44" s="13"/>
      <c r="E44" s="67" t="str">
        <f>HYPERLINK("https://www.google.ru/search?q=977119110066-6954&amp;newwindow=1&amp;tbm=isch","Еще фото")</f>
        <v>Еще фото</v>
      </c>
      <c r="F44" s="14"/>
      <c r="G44" s="11" t="s">
        <v>153</v>
      </c>
      <c r="H44" s="11" t="s">
        <v>93</v>
      </c>
      <c r="I44" s="15" t="s">
        <v>154</v>
      </c>
      <c r="J44" s="15" t="s">
        <v>162</v>
      </c>
      <c r="K44" s="16" t="s">
        <v>45</v>
      </c>
      <c r="L44" s="15" t="s">
        <v>192</v>
      </c>
      <c r="M44" s="15"/>
      <c r="N44" s="15" t="s">
        <v>173</v>
      </c>
      <c r="O44" s="15"/>
      <c r="P44" s="16" t="s">
        <v>193</v>
      </c>
      <c r="Q44" s="17">
        <v>9900</v>
      </c>
      <c r="R44" s="18">
        <v>48</v>
      </c>
      <c r="S44" s="19">
        <v>5920.2</v>
      </c>
      <c r="T44" s="20" t="s">
        <v>99</v>
      </c>
      <c r="U44" s="21" t="s">
        <v>158</v>
      </c>
      <c r="V44" s="23">
        <v>43</v>
      </c>
      <c r="W44" s="23">
        <v>1</v>
      </c>
      <c r="X44" s="24"/>
    </row>
    <row r="45" spans="1:24" s="1" customFormat="1" ht="26" customHeight="1" x14ac:dyDescent="0.3">
      <c r="A45" s="11" t="s">
        <v>23</v>
      </c>
      <c r="B45" s="11" t="s">
        <v>194</v>
      </c>
      <c r="C45" s="12" t="s">
        <v>195</v>
      </c>
      <c r="D45" s="85"/>
      <c r="E45" s="67" t="str">
        <f>HYPERLINK("https://www.google.ru/search?q=ET31507E-WBU&amp;newwindow=1&amp;tbm=isch","Еще фото")</f>
        <v>Еще фото</v>
      </c>
      <c r="F45" s="14"/>
      <c r="G45" s="11" t="s">
        <v>153</v>
      </c>
      <c r="H45" s="11" t="s">
        <v>93</v>
      </c>
      <c r="I45" s="15" t="s">
        <v>196</v>
      </c>
      <c r="J45" s="15" t="s">
        <v>28</v>
      </c>
      <c r="K45" s="16" t="s">
        <v>45</v>
      </c>
      <c r="L45" s="83" t="s">
        <v>197</v>
      </c>
      <c r="M45" s="15"/>
      <c r="N45" s="15" t="s">
        <v>173</v>
      </c>
      <c r="O45" s="15"/>
      <c r="P45" s="16" t="s">
        <v>198</v>
      </c>
      <c r="Q45" s="17">
        <v>10999</v>
      </c>
      <c r="R45" s="18">
        <v>92.75</v>
      </c>
      <c r="S45" s="26">
        <v>917.43549999999993</v>
      </c>
      <c r="T45" s="20" t="s">
        <v>99</v>
      </c>
      <c r="U45" s="21" t="s">
        <v>164</v>
      </c>
      <c r="V45" s="23">
        <v>41</v>
      </c>
      <c r="W45" s="23">
        <v>1</v>
      </c>
      <c r="X45" s="24"/>
    </row>
    <row r="46" spans="1:24" s="1" customFormat="1" ht="26" customHeight="1" x14ac:dyDescent="0.3">
      <c r="A46" s="25" t="s">
        <v>23</v>
      </c>
      <c r="B46" s="25" t="s">
        <v>194</v>
      </c>
      <c r="C46" s="12" t="s">
        <v>195</v>
      </c>
      <c r="D46" s="86"/>
      <c r="E46" s="67" t="str">
        <f>HYPERLINK("https://www.google.ru/search?q=ET31507E-WBU&amp;newwindow=1&amp;tbm=isch","Еще фото")</f>
        <v>Еще фото</v>
      </c>
      <c r="F46" s="14"/>
      <c r="G46" s="25" t="s">
        <v>153</v>
      </c>
      <c r="H46" s="25" t="s">
        <v>93</v>
      </c>
      <c r="I46" s="25" t="s">
        <v>196</v>
      </c>
      <c r="J46" s="15" t="s">
        <v>28</v>
      </c>
      <c r="K46" s="16" t="s">
        <v>45</v>
      </c>
      <c r="L46" s="88"/>
      <c r="M46" s="15"/>
      <c r="N46" s="15" t="s">
        <v>173</v>
      </c>
      <c r="O46" s="15"/>
      <c r="P46" s="16" t="s">
        <v>198</v>
      </c>
      <c r="Q46" s="17">
        <v>10999</v>
      </c>
      <c r="R46" s="18">
        <v>92.75</v>
      </c>
      <c r="S46" s="26">
        <v>917.43549999999993</v>
      </c>
      <c r="T46" s="20" t="s">
        <v>99</v>
      </c>
      <c r="U46" s="21" t="s">
        <v>165</v>
      </c>
      <c r="V46" s="23">
        <v>42</v>
      </c>
      <c r="W46" s="23">
        <v>2</v>
      </c>
      <c r="X46" s="24"/>
    </row>
    <row r="47" spans="1:24" s="1" customFormat="1" ht="26" customHeight="1" x14ac:dyDescent="0.3">
      <c r="A47" s="25" t="s">
        <v>23</v>
      </c>
      <c r="B47" s="25" t="s">
        <v>194</v>
      </c>
      <c r="C47" s="12" t="s">
        <v>195</v>
      </c>
      <c r="D47" s="86"/>
      <c r="E47" s="67" t="str">
        <f>HYPERLINK("https://www.google.ru/search?q=ET31507E-WBU&amp;newwindow=1&amp;tbm=isch","Еще фото")</f>
        <v>Еще фото</v>
      </c>
      <c r="F47" s="14"/>
      <c r="G47" s="25" t="s">
        <v>153</v>
      </c>
      <c r="H47" s="25" t="s">
        <v>93</v>
      </c>
      <c r="I47" s="25" t="s">
        <v>196</v>
      </c>
      <c r="J47" s="15" t="s">
        <v>28</v>
      </c>
      <c r="K47" s="16" t="s">
        <v>45</v>
      </c>
      <c r="L47" s="88"/>
      <c r="M47" s="15"/>
      <c r="N47" s="15" t="s">
        <v>173</v>
      </c>
      <c r="O47" s="15"/>
      <c r="P47" s="16" t="s">
        <v>198</v>
      </c>
      <c r="Q47" s="17">
        <v>10999</v>
      </c>
      <c r="R47" s="18">
        <v>92.75</v>
      </c>
      <c r="S47" s="26">
        <v>917.43549999999993</v>
      </c>
      <c r="T47" s="20" t="s">
        <v>99</v>
      </c>
      <c r="U47" s="21" t="s">
        <v>158</v>
      </c>
      <c r="V47" s="23">
        <v>43</v>
      </c>
      <c r="W47" s="23">
        <v>2</v>
      </c>
      <c r="X47" s="24"/>
    </row>
    <row r="48" spans="1:24" s="1" customFormat="1" ht="26" customHeight="1" x14ac:dyDescent="0.3">
      <c r="A48" s="25" t="s">
        <v>23</v>
      </c>
      <c r="B48" s="25" t="s">
        <v>194</v>
      </c>
      <c r="C48" s="12" t="s">
        <v>195</v>
      </c>
      <c r="D48" s="87"/>
      <c r="E48" s="67" t="str">
        <f>HYPERLINK("https://www.google.ru/search?q=ET31507E-WBU&amp;newwindow=1&amp;tbm=isch","Еще фото")</f>
        <v>Еще фото</v>
      </c>
      <c r="F48" s="14"/>
      <c r="G48" s="25" t="s">
        <v>153</v>
      </c>
      <c r="H48" s="25" t="s">
        <v>93</v>
      </c>
      <c r="I48" s="25" t="s">
        <v>196</v>
      </c>
      <c r="J48" s="15" t="s">
        <v>28</v>
      </c>
      <c r="K48" s="16" t="s">
        <v>45</v>
      </c>
      <c r="L48" s="84"/>
      <c r="M48" s="15"/>
      <c r="N48" s="15" t="s">
        <v>173</v>
      </c>
      <c r="O48" s="15"/>
      <c r="P48" s="16" t="s">
        <v>198</v>
      </c>
      <c r="Q48" s="17">
        <v>10999</v>
      </c>
      <c r="R48" s="18">
        <v>92.75</v>
      </c>
      <c r="S48" s="26">
        <v>917.43549999999993</v>
      </c>
      <c r="T48" s="20" t="s">
        <v>99</v>
      </c>
      <c r="U48" s="21" t="s">
        <v>159</v>
      </c>
      <c r="V48" s="23">
        <v>44</v>
      </c>
      <c r="W48" s="23">
        <v>2</v>
      </c>
      <c r="X48" s="24"/>
    </row>
    <row r="49" spans="1:24" s="1" customFormat="1" ht="108" customHeight="1" x14ac:dyDescent="0.3">
      <c r="A49" s="11" t="s">
        <v>150</v>
      </c>
      <c r="B49" s="11" t="s">
        <v>199</v>
      </c>
      <c r="C49" s="12" t="s">
        <v>200</v>
      </c>
      <c r="D49" s="13"/>
      <c r="E49" s="67" t="str">
        <f>HYPERLINK("https://www.google.ru/search?q=977118320031-D955&amp;newwindow=1&amp;tbm=isch","Еще фото")</f>
        <v>Еще фото</v>
      </c>
      <c r="F49" s="14"/>
      <c r="G49" s="11" t="s">
        <v>153</v>
      </c>
      <c r="H49" s="11" t="s">
        <v>93</v>
      </c>
      <c r="I49" s="15" t="s">
        <v>196</v>
      </c>
      <c r="J49" s="15" t="s">
        <v>28</v>
      </c>
      <c r="K49" s="16" t="s">
        <v>29</v>
      </c>
      <c r="L49" s="15" t="s">
        <v>201</v>
      </c>
      <c r="M49" s="15"/>
      <c r="N49" s="15" t="s">
        <v>173</v>
      </c>
      <c r="O49" s="15"/>
      <c r="P49" s="16" t="s">
        <v>157</v>
      </c>
      <c r="Q49" s="17">
        <v>8399</v>
      </c>
      <c r="R49" s="18">
        <v>89.91</v>
      </c>
      <c r="S49" s="26">
        <v>974.93549999999993</v>
      </c>
      <c r="T49" s="20" t="s">
        <v>99</v>
      </c>
      <c r="U49" s="21" t="s">
        <v>202</v>
      </c>
      <c r="V49" s="23">
        <v>37</v>
      </c>
      <c r="W49" s="23">
        <v>3</v>
      </c>
      <c r="X49" s="24"/>
    </row>
    <row r="50" spans="1:24" s="1" customFormat="1" ht="108" customHeight="1" x14ac:dyDescent="0.3">
      <c r="A50" s="11" t="s">
        <v>150</v>
      </c>
      <c r="B50" s="11" t="s">
        <v>199</v>
      </c>
      <c r="C50" s="12" t="s">
        <v>203</v>
      </c>
      <c r="D50" s="13"/>
      <c r="E50" s="67" t="str">
        <f>HYPERLINK("https://www.google.ru/search?q=977118320035-8619&amp;newwindow=1&amp;tbm=isch","Еще фото")</f>
        <v>Еще фото</v>
      </c>
      <c r="F50" s="14"/>
      <c r="G50" s="11" t="s">
        <v>153</v>
      </c>
      <c r="H50" s="11" t="s">
        <v>93</v>
      </c>
      <c r="I50" s="15" t="s">
        <v>196</v>
      </c>
      <c r="J50" s="15" t="s">
        <v>28</v>
      </c>
      <c r="K50" s="16" t="s">
        <v>29</v>
      </c>
      <c r="L50" s="15" t="s">
        <v>201</v>
      </c>
      <c r="M50" s="15"/>
      <c r="N50" s="15" t="s">
        <v>173</v>
      </c>
      <c r="O50" s="15"/>
      <c r="P50" s="16" t="s">
        <v>157</v>
      </c>
      <c r="Q50" s="17">
        <v>8399</v>
      </c>
      <c r="R50" s="18">
        <v>89.91</v>
      </c>
      <c r="S50" s="26">
        <v>974.93549999999993</v>
      </c>
      <c r="T50" s="20" t="s">
        <v>99</v>
      </c>
      <c r="U50" s="21" t="s">
        <v>202</v>
      </c>
      <c r="V50" s="23">
        <v>37</v>
      </c>
      <c r="W50" s="23">
        <v>4</v>
      </c>
      <c r="X50" s="24"/>
    </row>
    <row r="51" spans="1:24" s="1" customFormat="1" ht="108" customHeight="1" x14ac:dyDescent="0.3">
      <c r="A51" s="11" t="s">
        <v>150</v>
      </c>
      <c r="B51" s="11" t="s">
        <v>199</v>
      </c>
      <c r="C51" s="12" t="s">
        <v>204</v>
      </c>
      <c r="D51" s="13"/>
      <c r="E51" s="67" t="str">
        <f>HYPERLINK("https://www.google.ru/search?q=977118320035-F038&amp;newwindow=1&amp;tbm=isch","Еще фото")</f>
        <v>Еще фото</v>
      </c>
      <c r="F51" s="14"/>
      <c r="G51" s="11" t="s">
        <v>153</v>
      </c>
      <c r="H51" s="11" t="s">
        <v>93</v>
      </c>
      <c r="I51" s="15" t="s">
        <v>196</v>
      </c>
      <c r="J51" s="15" t="s">
        <v>28</v>
      </c>
      <c r="K51" s="16" t="s">
        <v>29</v>
      </c>
      <c r="L51" s="15" t="s">
        <v>201</v>
      </c>
      <c r="M51" s="15"/>
      <c r="N51" s="15" t="s">
        <v>173</v>
      </c>
      <c r="O51" s="15"/>
      <c r="P51" s="16" t="s">
        <v>157</v>
      </c>
      <c r="Q51" s="17">
        <v>8399</v>
      </c>
      <c r="R51" s="18">
        <v>89.91</v>
      </c>
      <c r="S51" s="26">
        <v>974.93549999999993</v>
      </c>
      <c r="T51" s="20" t="s">
        <v>99</v>
      </c>
      <c r="U51" s="21" t="s">
        <v>202</v>
      </c>
      <c r="V51" s="23">
        <v>37</v>
      </c>
      <c r="W51" s="23">
        <v>1</v>
      </c>
      <c r="X51" s="24"/>
    </row>
    <row r="52" spans="1:24" s="1" customFormat="1" ht="52.05" customHeight="1" x14ac:dyDescent="0.3">
      <c r="A52" s="11" t="s">
        <v>150</v>
      </c>
      <c r="B52" s="11" t="s">
        <v>205</v>
      </c>
      <c r="C52" s="12" t="s">
        <v>206</v>
      </c>
      <c r="D52" s="81"/>
      <c r="E52" s="67" t="str">
        <f>HYPERLINK("https://www.google.ru/search?q=977118310037-F186&amp;newwindow=1&amp;tbm=isch","Еще фото")</f>
        <v>Еще фото</v>
      </c>
      <c r="F52" s="14"/>
      <c r="G52" s="11" t="s">
        <v>153</v>
      </c>
      <c r="H52" s="11" t="s">
        <v>93</v>
      </c>
      <c r="I52" s="15" t="s">
        <v>196</v>
      </c>
      <c r="J52" s="15" t="s">
        <v>28</v>
      </c>
      <c r="K52" s="16" t="s">
        <v>29</v>
      </c>
      <c r="L52" s="83" t="s">
        <v>207</v>
      </c>
      <c r="M52" s="15"/>
      <c r="N52" s="15" t="s">
        <v>173</v>
      </c>
      <c r="O52" s="15"/>
      <c r="P52" s="16" t="s">
        <v>157</v>
      </c>
      <c r="Q52" s="17">
        <v>8399</v>
      </c>
      <c r="R52" s="18">
        <v>89.19</v>
      </c>
      <c r="S52" s="26">
        <v>1043.9354999999998</v>
      </c>
      <c r="T52" s="20" t="s">
        <v>99</v>
      </c>
      <c r="U52" s="21" t="s">
        <v>170</v>
      </c>
      <c r="V52" s="23">
        <v>36</v>
      </c>
      <c r="W52" s="23">
        <v>3</v>
      </c>
      <c r="X52" s="24"/>
    </row>
    <row r="53" spans="1:24" s="1" customFormat="1" ht="61.05" customHeight="1" x14ac:dyDescent="0.3">
      <c r="A53" s="25" t="s">
        <v>150</v>
      </c>
      <c r="B53" s="25" t="s">
        <v>205</v>
      </c>
      <c r="C53" s="12" t="s">
        <v>206</v>
      </c>
      <c r="D53" s="82"/>
      <c r="E53" s="67" t="str">
        <f>HYPERLINK("https://www.google.ru/search?q=977118310037-F186&amp;newwindow=1&amp;tbm=isch","Еще фото")</f>
        <v>Еще фото</v>
      </c>
      <c r="F53" s="14"/>
      <c r="G53" s="25" t="s">
        <v>153</v>
      </c>
      <c r="H53" s="25" t="s">
        <v>93</v>
      </c>
      <c r="I53" s="25" t="s">
        <v>196</v>
      </c>
      <c r="J53" s="15" t="s">
        <v>28</v>
      </c>
      <c r="K53" s="16" t="s">
        <v>29</v>
      </c>
      <c r="L53" s="84"/>
      <c r="M53" s="15"/>
      <c r="N53" s="15" t="s">
        <v>173</v>
      </c>
      <c r="O53" s="15"/>
      <c r="P53" s="16" t="s">
        <v>157</v>
      </c>
      <c r="Q53" s="17">
        <v>8399</v>
      </c>
      <c r="R53" s="18">
        <v>89.19</v>
      </c>
      <c r="S53" s="26">
        <v>1043.9354999999998</v>
      </c>
      <c r="T53" s="20" t="s">
        <v>99</v>
      </c>
      <c r="U53" s="21" t="s">
        <v>202</v>
      </c>
      <c r="V53" s="23">
        <v>37</v>
      </c>
      <c r="W53" s="23">
        <v>2</v>
      </c>
      <c r="X53" s="24"/>
    </row>
    <row r="54" spans="1:24" s="1" customFormat="1" ht="108" customHeight="1" x14ac:dyDescent="0.3">
      <c r="A54" s="11" t="s">
        <v>150</v>
      </c>
      <c r="B54" s="11" t="s">
        <v>205</v>
      </c>
      <c r="C54" s="12" t="s">
        <v>208</v>
      </c>
      <c r="D54" s="13"/>
      <c r="E54" s="67" t="str">
        <f>HYPERLINK("https://www.google.ru/search?q=977118310037-9071&amp;newwindow=1&amp;tbm=isch","Еще фото")</f>
        <v>Еще фото</v>
      </c>
      <c r="F54" s="14"/>
      <c r="G54" s="11" t="s">
        <v>153</v>
      </c>
      <c r="H54" s="11" t="s">
        <v>93</v>
      </c>
      <c r="I54" s="15" t="s">
        <v>196</v>
      </c>
      <c r="J54" s="15" t="s">
        <v>28</v>
      </c>
      <c r="K54" s="16" t="s">
        <v>29</v>
      </c>
      <c r="L54" s="15" t="s">
        <v>207</v>
      </c>
      <c r="M54" s="15"/>
      <c r="N54" s="15" t="s">
        <v>173</v>
      </c>
      <c r="O54" s="15"/>
      <c r="P54" s="16" t="s">
        <v>157</v>
      </c>
      <c r="Q54" s="17">
        <v>8399</v>
      </c>
      <c r="R54" s="18">
        <v>88.48</v>
      </c>
      <c r="S54" s="26">
        <v>1112.9354999999998</v>
      </c>
      <c r="T54" s="20" t="s">
        <v>99</v>
      </c>
      <c r="U54" s="21" t="s">
        <v>202</v>
      </c>
      <c r="V54" s="23">
        <v>37</v>
      </c>
      <c r="W54" s="23">
        <v>1</v>
      </c>
      <c r="X54" s="24"/>
    </row>
    <row r="55" spans="1:24" s="1" customFormat="1" ht="108" customHeight="1" x14ac:dyDescent="0.3">
      <c r="A55" s="11" t="s">
        <v>150</v>
      </c>
      <c r="B55" s="11" t="s">
        <v>209</v>
      </c>
      <c r="C55" s="12" t="s">
        <v>210</v>
      </c>
      <c r="D55" s="13"/>
      <c r="E55" s="67" t="str">
        <f>HYPERLINK("https://www.google.ru/search?q=977118310083-B611&amp;newwindow=1&amp;tbm=isch","Еще фото")</f>
        <v>Еще фото</v>
      </c>
      <c r="F55" s="14"/>
      <c r="G55" s="11" t="s">
        <v>153</v>
      </c>
      <c r="H55" s="11" t="s">
        <v>93</v>
      </c>
      <c r="I55" s="15" t="s">
        <v>196</v>
      </c>
      <c r="J55" s="15" t="s">
        <v>28</v>
      </c>
      <c r="K55" s="16" t="s">
        <v>29</v>
      </c>
      <c r="L55" s="15" t="s">
        <v>211</v>
      </c>
      <c r="M55" s="15"/>
      <c r="N55" s="15" t="s">
        <v>212</v>
      </c>
      <c r="O55" s="15"/>
      <c r="P55" s="16" t="s">
        <v>157</v>
      </c>
      <c r="Q55" s="17">
        <v>9899</v>
      </c>
      <c r="R55" s="18">
        <v>85.88</v>
      </c>
      <c r="S55" s="19">
        <v>1607.4354999999998</v>
      </c>
      <c r="T55" s="20" t="s">
        <v>99</v>
      </c>
      <c r="U55" s="21" t="s">
        <v>175</v>
      </c>
      <c r="V55" s="23">
        <v>38</v>
      </c>
      <c r="W55" s="23">
        <v>1</v>
      </c>
      <c r="X55" s="24"/>
    </row>
    <row r="56" spans="1:24" s="1" customFormat="1" ht="108" customHeight="1" x14ac:dyDescent="0.3">
      <c r="A56" s="11" t="s">
        <v>150</v>
      </c>
      <c r="B56" s="11" t="s">
        <v>199</v>
      </c>
      <c r="C56" s="12" t="s">
        <v>213</v>
      </c>
      <c r="D56" s="13"/>
      <c r="E56" s="67" t="str">
        <f>HYPERLINK("https://www.google.ru/search?q=977118320031-B797&amp;newwindow=1&amp;tbm=isch","Еще фото")</f>
        <v>Еще фото</v>
      </c>
      <c r="F56" s="14"/>
      <c r="G56" s="11" t="s">
        <v>153</v>
      </c>
      <c r="H56" s="11" t="s">
        <v>93</v>
      </c>
      <c r="I56" s="15" t="s">
        <v>196</v>
      </c>
      <c r="J56" s="15" t="s">
        <v>28</v>
      </c>
      <c r="K56" s="16" t="s">
        <v>29</v>
      </c>
      <c r="L56" s="15" t="s">
        <v>201</v>
      </c>
      <c r="M56" s="15"/>
      <c r="N56" s="15" t="s">
        <v>212</v>
      </c>
      <c r="O56" s="15"/>
      <c r="P56" s="16" t="s">
        <v>157</v>
      </c>
      <c r="Q56" s="17">
        <v>8399</v>
      </c>
      <c r="R56" s="18">
        <v>85.86</v>
      </c>
      <c r="S56" s="19">
        <v>1365.9354999999998</v>
      </c>
      <c r="T56" s="20" t="s">
        <v>99</v>
      </c>
      <c r="U56" s="21" t="s">
        <v>214</v>
      </c>
      <c r="V56" s="23">
        <v>34</v>
      </c>
      <c r="W56" s="23">
        <v>1</v>
      </c>
      <c r="X56" s="24"/>
    </row>
    <row r="57" spans="1:24" s="1" customFormat="1" ht="108" customHeight="1" x14ac:dyDescent="0.3">
      <c r="A57" s="11" t="s">
        <v>150</v>
      </c>
      <c r="B57" s="11" t="s">
        <v>215</v>
      </c>
      <c r="C57" s="12" t="s">
        <v>216</v>
      </c>
      <c r="D57" s="13"/>
      <c r="E57" s="67" t="str">
        <f>HYPERLINK("https://www.google.ru/search?q=977119320032-F665&amp;newwindow=1&amp;tbm=isch","Еще фото")</f>
        <v>Еще фото</v>
      </c>
      <c r="F57" s="14"/>
      <c r="G57" s="11" t="s">
        <v>153</v>
      </c>
      <c r="H57" s="11" t="s">
        <v>93</v>
      </c>
      <c r="I57" s="15" t="s">
        <v>196</v>
      </c>
      <c r="J57" s="15" t="s">
        <v>28</v>
      </c>
      <c r="K57" s="16" t="s">
        <v>45</v>
      </c>
      <c r="L57" s="15" t="s">
        <v>217</v>
      </c>
      <c r="M57" s="15"/>
      <c r="N57" s="15" t="s">
        <v>218</v>
      </c>
      <c r="O57" s="15"/>
      <c r="P57" s="16" t="s">
        <v>157</v>
      </c>
      <c r="Q57" s="17">
        <v>9899</v>
      </c>
      <c r="R57" s="18">
        <v>83.76</v>
      </c>
      <c r="S57" s="19">
        <v>1848.9354999999998</v>
      </c>
      <c r="T57" s="20" t="s">
        <v>99</v>
      </c>
      <c r="U57" s="21" t="s">
        <v>165</v>
      </c>
      <c r="V57" s="23">
        <v>42</v>
      </c>
      <c r="W57" s="23">
        <v>2</v>
      </c>
      <c r="X57" s="24"/>
    </row>
    <row r="58" spans="1:24" s="1" customFormat="1" ht="108" customHeight="1" x14ac:dyDescent="0.3">
      <c r="A58" s="11" t="s">
        <v>89</v>
      </c>
      <c r="B58" s="11" t="s">
        <v>219</v>
      </c>
      <c r="C58" s="12" t="s">
        <v>220</v>
      </c>
      <c r="D58" s="13"/>
      <c r="E58" s="67" t="str">
        <f>HYPERLINK("https://www.google.ru/search?q=822834-51052&amp;newwindow=1&amp;tbm=isch","Еще фото")</f>
        <v>Еще фото</v>
      </c>
      <c r="F58" s="14"/>
      <c r="G58" s="11" t="s">
        <v>153</v>
      </c>
      <c r="H58" s="11" t="s">
        <v>93</v>
      </c>
      <c r="I58" s="15" t="s">
        <v>196</v>
      </c>
      <c r="J58" s="15" t="s">
        <v>28</v>
      </c>
      <c r="K58" s="16" t="s">
        <v>45</v>
      </c>
      <c r="L58" s="15" t="s">
        <v>221</v>
      </c>
      <c r="M58" s="15"/>
      <c r="N58" s="15" t="s">
        <v>38</v>
      </c>
      <c r="O58" s="15"/>
      <c r="P58" s="16" t="s">
        <v>222</v>
      </c>
      <c r="Q58" s="17">
        <v>24990</v>
      </c>
      <c r="R58" s="18">
        <v>77.400000000000006</v>
      </c>
      <c r="S58" s="19">
        <v>6494.9354999999996</v>
      </c>
      <c r="T58" s="20" t="s">
        <v>99</v>
      </c>
      <c r="U58" s="21" t="s">
        <v>100</v>
      </c>
      <c r="V58" s="23">
        <v>40</v>
      </c>
      <c r="W58" s="23">
        <v>15</v>
      </c>
      <c r="X58" s="24"/>
    </row>
    <row r="59" spans="1:24" s="1" customFormat="1" ht="108" customHeight="1" x14ac:dyDescent="0.3">
      <c r="A59" s="11" t="s">
        <v>23</v>
      </c>
      <c r="B59" s="11" t="s">
        <v>223</v>
      </c>
      <c r="C59" s="12" t="s">
        <v>224</v>
      </c>
      <c r="D59" s="13"/>
      <c r="E59" s="67" t="str">
        <f>HYPERLINK("https://www.google.ru/search?q=E231002E-IYE&amp;newwindow=1&amp;tbm=isch","Еще фото")</f>
        <v>Еще фото</v>
      </c>
      <c r="F59" s="14"/>
      <c r="G59" s="11" t="s">
        <v>153</v>
      </c>
      <c r="H59" s="11" t="s">
        <v>93</v>
      </c>
      <c r="I59" s="15" t="s">
        <v>196</v>
      </c>
      <c r="J59" s="15" t="s">
        <v>28</v>
      </c>
      <c r="K59" s="16" t="s">
        <v>29</v>
      </c>
      <c r="L59" s="15" t="s">
        <v>168</v>
      </c>
      <c r="M59" s="15"/>
      <c r="N59" s="15" t="s">
        <v>225</v>
      </c>
      <c r="O59" s="15"/>
      <c r="P59" s="16" t="s">
        <v>226</v>
      </c>
      <c r="Q59" s="17">
        <v>9999</v>
      </c>
      <c r="R59" s="18">
        <v>75.22</v>
      </c>
      <c r="S59" s="19">
        <v>2849.4354999999996</v>
      </c>
      <c r="T59" s="20" t="s">
        <v>99</v>
      </c>
      <c r="U59" s="21" t="s">
        <v>202</v>
      </c>
      <c r="V59" s="23">
        <v>37</v>
      </c>
      <c r="W59" s="23">
        <v>1</v>
      </c>
      <c r="X59" s="24"/>
    </row>
    <row r="60" spans="1:24" s="1" customFormat="1" ht="108" customHeight="1" x14ac:dyDescent="0.3">
      <c r="A60" s="11" t="s">
        <v>150</v>
      </c>
      <c r="B60" s="11" t="s">
        <v>209</v>
      </c>
      <c r="C60" s="12" t="s">
        <v>227</v>
      </c>
      <c r="D60" s="13"/>
      <c r="E60" s="67" t="str">
        <f>HYPERLINK("https://www.google.ru/search?q=977118310083-6435&amp;newwindow=1&amp;tbm=isch","Еще фото")</f>
        <v>Еще фото</v>
      </c>
      <c r="F60" s="14"/>
      <c r="G60" s="11" t="s">
        <v>153</v>
      </c>
      <c r="H60" s="11" t="s">
        <v>93</v>
      </c>
      <c r="I60" s="15" t="s">
        <v>196</v>
      </c>
      <c r="J60" s="15" t="s">
        <v>28</v>
      </c>
      <c r="K60" s="16" t="s">
        <v>29</v>
      </c>
      <c r="L60" s="15" t="s">
        <v>211</v>
      </c>
      <c r="M60" s="15"/>
      <c r="N60" s="15" t="s">
        <v>173</v>
      </c>
      <c r="O60" s="15"/>
      <c r="P60" s="16" t="s">
        <v>157</v>
      </c>
      <c r="Q60" s="17">
        <v>9899</v>
      </c>
      <c r="R60" s="18">
        <v>68.91</v>
      </c>
      <c r="S60" s="19">
        <v>3539.4354999999996</v>
      </c>
      <c r="T60" s="20" t="s">
        <v>99</v>
      </c>
      <c r="U60" s="21" t="s">
        <v>170</v>
      </c>
      <c r="V60" s="23">
        <v>36</v>
      </c>
      <c r="W60" s="23">
        <v>1</v>
      </c>
      <c r="X60" s="24"/>
    </row>
    <row r="61" spans="1:24" s="1" customFormat="1" ht="52.05" customHeight="1" x14ac:dyDescent="0.3">
      <c r="A61" s="11" t="s">
        <v>150</v>
      </c>
      <c r="B61" s="11" t="s">
        <v>215</v>
      </c>
      <c r="C61" s="12" t="s">
        <v>228</v>
      </c>
      <c r="D61" s="81"/>
      <c r="E61" s="67" t="str">
        <f>HYPERLINK("https://www.google.ru/search?q=977118320041-0200&amp;newwindow=1&amp;tbm=isch","Еще фото")</f>
        <v>Еще фото</v>
      </c>
      <c r="F61" s="14"/>
      <c r="G61" s="11" t="s">
        <v>153</v>
      </c>
      <c r="H61" s="11" t="s">
        <v>93</v>
      </c>
      <c r="I61" s="15" t="s">
        <v>196</v>
      </c>
      <c r="J61" s="15" t="s">
        <v>28</v>
      </c>
      <c r="K61" s="16" t="s">
        <v>29</v>
      </c>
      <c r="L61" s="83" t="s">
        <v>229</v>
      </c>
      <c r="M61" s="15"/>
      <c r="N61" s="15" t="s">
        <v>38</v>
      </c>
      <c r="O61" s="15"/>
      <c r="P61" s="16" t="s">
        <v>157</v>
      </c>
      <c r="Q61" s="17">
        <v>9899</v>
      </c>
      <c r="R61" s="18">
        <v>68.61</v>
      </c>
      <c r="S61" s="19">
        <v>3573.9354999999996</v>
      </c>
      <c r="T61" s="20" t="s">
        <v>99</v>
      </c>
      <c r="U61" s="21" t="s">
        <v>170</v>
      </c>
      <c r="V61" s="23">
        <v>36</v>
      </c>
      <c r="W61" s="23">
        <v>3</v>
      </c>
      <c r="X61" s="24"/>
    </row>
    <row r="62" spans="1:24" s="1" customFormat="1" ht="61.05" customHeight="1" x14ac:dyDescent="0.3">
      <c r="A62" s="25" t="s">
        <v>150</v>
      </c>
      <c r="B62" s="25" t="s">
        <v>215</v>
      </c>
      <c r="C62" s="12" t="s">
        <v>228</v>
      </c>
      <c r="D62" s="82"/>
      <c r="E62" s="67" t="str">
        <f>HYPERLINK("https://www.google.ru/search?q=977118320041-0200&amp;newwindow=1&amp;tbm=isch","Еще фото")</f>
        <v>Еще фото</v>
      </c>
      <c r="F62" s="14"/>
      <c r="G62" s="25" t="s">
        <v>153</v>
      </c>
      <c r="H62" s="25" t="s">
        <v>93</v>
      </c>
      <c r="I62" s="25" t="s">
        <v>196</v>
      </c>
      <c r="J62" s="15" t="s">
        <v>28</v>
      </c>
      <c r="K62" s="16" t="s">
        <v>29</v>
      </c>
      <c r="L62" s="84"/>
      <c r="M62" s="15"/>
      <c r="N62" s="15" t="s">
        <v>38</v>
      </c>
      <c r="O62" s="15"/>
      <c r="P62" s="16" t="s">
        <v>157</v>
      </c>
      <c r="Q62" s="17">
        <v>9899</v>
      </c>
      <c r="R62" s="18">
        <v>68.61</v>
      </c>
      <c r="S62" s="19">
        <v>3573.9354999999996</v>
      </c>
      <c r="T62" s="20" t="s">
        <v>99</v>
      </c>
      <c r="U62" s="21" t="s">
        <v>202</v>
      </c>
      <c r="V62" s="23">
        <v>37</v>
      </c>
      <c r="W62" s="23">
        <v>1</v>
      </c>
      <c r="X62" s="24"/>
    </row>
    <row r="63" spans="1:24" s="1" customFormat="1" ht="35" customHeight="1" x14ac:dyDescent="0.3">
      <c r="A63" s="11" t="s">
        <v>150</v>
      </c>
      <c r="B63" s="11" t="s">
        <v>205</v>
      </c>
      <c r="C63" s="12" t="s">
        <v>230</v>
      </c>
      <c r="D63" s="85"/>
      <c r="E63" s="67" t="str">
        <f>HYPERLINK("https://www.google.ru/search?q=977118310037-6431&amp;newwindow=1&amp;tbm=isch","Еще фото")</f>
        <v>Еще фото</v>
      </c>
      <c r="F63" s="14"/>
      <c r="G63" s="11" t="s">
        <v>153</v>
      </c>
      <c r="H63" s="11" t="s">
        <v>93</v>
      </c>
      <c r="I63" s="15" t="s">
        <v>196</v>
      </c>
      <c r="J63" s="15" t="s">
        <v>28</v>
      </c>
      <c r="K63" s="16" t="s">
        <v>29</v>
      </c>
      <c r="L63" s="83" t="s">
        <v>207</v>
      </c>
      <c r="M63" s="15"/>
      <c r="N63" s="15" t="s">
        <v>173</v>
      </c>
      <c r="O63" s="15"/>
      <c r="P63" s="16" t="s">
        <v>157</v>
      </c>
      <c r="Q63" s="17">
        <v>8399</v>
      </c>
      <c r="R63" s="18">
        <v>68.48</v>
      </c>
      <c r="S63" s="19">
        <v>3044.9354999999996</v>
      </c>
      <c r="T63" s="20" t="s">
        <v>99</v>
      </c>
      <c r="U63" s="21" t="s">
        <v>170</v>
      </c>
      <c r="V63" s="23">
        <v>36</v>
      </c>
      <c r="W63" s="23">
        <v>5</v>
      </c>
      <c r="X63" s="24"/>
    </row>
    <row r="64" spans="1:24" s="1" customFormat="1" ht="35" customHeight="1" x14ac:dyDescent="0.3">
      <c r="A64" s="25" t="s">
        <v>150</v>
      </c>
      <c r="B64" s="25" t="s">
        <v>205</v>
      </c>
      <c r="C64" s="12" t="s">
        <v>230</v>
      </c>
      <c r="D64" s="86"/>
      <c r="E64" s="67" t="str">
        <f>HYPERLINK("https://www.google.ru/search?q=977118310037-6431&amp;newwindow=1&amp;tbm=isch","Еще фото")</f>
        <v>Еще фото</v>
      </c>
      <c r="F64" s="14"/>
      <c r="G64" s="25" t="s">
        <v>153</v>
      </c>
      <c r="H64" s="25" t="s">
        <v>93</v>
      </c>
      <c r="I64" s="25" t="s">
        <v>196</v>
      </c>
      <c r="J64" s="15" t="s">
        <v>28</v>
      </c>
      <c r="K64" s="16" t="s">
        <v>29</v>
      </c>
      <c r="L64" s="88"/>
      <c r="M64" s="15"/>
      <c r="N64" s="15" t="s">
        <v>173</v>
      </c>
      <c r="O64" s="15"/>
      <c r="P64" s="16" t="s">
        <v>157</v>
      </c>
      <c r="Q64" s="17">
        <v>8399</v>
      </c>
      <c r="R64" s="18">
        <v>68.48</v>
      </c>
      <c r="S64" s="19">
        <v>3044.9354999999996</v>
      </c>
      <c r="T64" s="20" t="s">
        <v>99</v>
      </c>
      <c r="U64" s="21" t="s">
        <v>202</v>
      </c>
      <c r="V64" s="23">
        <v>37</v>
      </c>
      <c r="W64" s="23">
        <v>2</v>
      </c>
      <c r="X64" s="24"/>
    </row>
    <row r="65" spans="1:24" s="1" customFormat="1" ht="37.049999999999997" customHeight="1" x14ac:dyDescent="0.3">
      <c r="A65" s="25" t="s">
        <v>150</v>
      </c>
      <c r="B65" s="25" t="s">
        <v>205</v>
      </c>
      <c r="C65" s="12" t="s">
        <v>230</v>
      </c>
      <c r="D65" s="87"/>
      <c r="E65" s="67" t="str">
        <f>HYPERLINK("https://www.google.ru/search?q=977118310037-6431&amp;newwindow=1&amp;tbm=isch","Еще фото")</f>
        <v>Еще фото</v>
      </c>
      <c r="F65" s="14"/>
      <c r="G65" s="25" t="s">
        <v>153</v>
      </c>
      <c r="H65" s="25" t="s">
        <v>93</v>
      </c>
      <c r="I65" s="25" t="s">
        <v>196</v>
      </c>
      <c r="J65" s="15" t="s">
        <v>28</v>
      </c>
      <c r="K65" s="16" t="s">
        <v>29</v>
      </c>
      <c r="L65" s="84"/>
      <c r="M65" s="15"/>
      <c r="N65" s="15" t="s">
        <v>173</v>
      </c>
      <c r="O65" s="15"/>
      <c r="P65" s="16" t="s">
        <v>157</v>
      </c>
      <c r="Q65" s="17">
        <v>8399</v>
      </c>
      <c r="R65" s="18">
        <v>68.48</v>
      </c>
      <c r="S65" s="19">
        <v>3044.9354999999996</v>
      </c>
      <c r="T65" s="20" t="s">
        <v>99</v>
      </c>
      <c r="U65" s="21" t="s">
        <v>175</v>
      </c>
      <c r="V65" s="23">
        <v>38</v>
      </c>
      <c r="W65" s="23">
        <v>1</v>
      </c>
      <c r="X65" s="24"/>
    </row>
    <row r="66" spans="1:24" s="1" customFormat="1" ht="108" customHeight="1" x14ac:dyDescent="0.3">
      <c r="A66" s="11" t="s">
        <v>23</v>
      </c>
      <c r="B66" s="11" t="s">
        <v>194</v>
      </c>
      <c r="C66" s="12" t="s">
        <v>231</v>
      </c>
      <c r="D66" s="13"/>
      <c r="E66" s="67" t="str">
        <f>HYPERLINK("https://www.google.ru/search?q=ET31507E-OWBL&amp;newwindow=1&amp;tbm=isch","Еще фото")</f>
        <v>Еще фото</v>
      </c>
      <c r="F66" s="14"/>
      <c r="G66" s="11" t="s">
        <v>153</v>
      </c>
      <c r="H66" s="11" t="s">
        <v>93</v>
      </c>
      <c r="I66" s="15" t="s">
        <v>196</v>
      </c>
      <c r="J66" s="15" t="s">
        <v>28</v>
      </c>
      <c r="K66" s="16" t="s">
        <v>45</v>
      </c>
      <c r="L66" s="15" t="s">
        <v>197</v>
      </c>
      <c r="M66" s="15"/>
      <c r="N66" s="15" t="s">
        <v>173</v>
      </c>
      <c r="O66" s="15"/>
      <c r="P66" s="16" t="s">
        <v>198</v>
      </c>
      <c r="Q66" s="17">
        <v>11000</v>
      </c>
      <c r="R66" s="18">
        <v>66.11</v>
      </c>
      <c r="S66" s="19">
        <v>4286.9354999999996</v>
      </c>
      <c r="T66" s="20" t="s">
        <v>99</v>
      </c>
      <c r="U66" s="21" t="s">
        <v>158</v>
      </c>
      <c r="V66" s="23">
        <v>43</v>
      </c>
      <c r="W66" s="23">
        <v>1</v>
      </c>
      <c r="X66" s="24"/>
    </row>
    <row r="67" spans="1:24" s="1" customFormat="1" ht="108" customHeight="1" x14ac:dyDescent="0.3">
      <c r="A67" s="11" t="s">
        <v>150</v>
      </c>
      <c r="B67" s="11" t="s">
        <v>232</v>
      </c>
      <c r="C67" s="12" t="s">
        <v>233</v>
      </c>
      <c r="D67" s="13"/>
      <c r="E67" s="67" t="str">
        <f>HYPERLINK("https://www.google.ru/search?q=977119320023-0200&amp;newwindow=1&amp;tbm=isch","Еще фото")</f>
        <v>Еще фото</v>
      </c>
      <c r="F67" s="14"/>
      <c r="G67" s="11" t="s">
        <v>153</v>
      </c>
      <c r="H67" s="11" t="s">
        <v>93</v>
      </c>
      <c r="I67" s="15" t="s">
        <v>196</v>
      </c>
      <c r="J67" s="15" t="s">
        <v>28</v>
      </c>
      <c r="K67" s="16" t="s">
        <v>45</v>
      </c>
      <c r="L67" s="15" t="s">
        <v>234</v>
      </c>
      <c r="M67" s="15"/>
      <c r="N67" s="15" t="s">
        <v>38</v>
      </c>
      <c r="O67" s="15"/>
      <c r="P67" s="16" t="s">
        <v>157</v>
      </c>
      <c r="Q67" s="17">
        <v>9200</v>
      </c>
      <c r="R67" s="18">
        <v>63.83</v>
      </c>
      <c r="S67" s="19">
        <v>3826.9354999999996</v>
      </c>
      <c r="T67" s="20" t="s">
        <v>99</v>
      </c>
      <c r="U67" s="21" t="s">
        <v>235</v>
      </c>
      <c r="V67" s="23">
        <v>40</v>
      </c>
      <c r="W67" s="23">
        <v>1</v>
      </c>
      <c r="X67" s="24"/>
    </row>
    <row r="68" spans="1:24" s="1" customFormat="1" ht="21" customHeight="1" x14ac:dyDescent="0.3">
      <c r="A68" s="11" t="s">
        <v>89</v>
      </c>
      <c r="B68" s="11" t="s">
        <v>236</v>
      </c>
      <c r="C68" s="27" t="s">
        <v>237</v>
      </c>
      <c r="D68" s="85"/>
      <c r="E68" s="67" t="str">
        <f>HYPERLINK("https://www.google.ru/search?q=843064-51052&amp;newwindow=1&amp;tbm=isch","Еще фото")</f>
        <v>Еще фото</v>
      </c>
      <c r="F68" s="14"/>
      <c r="G68" s="11" t="s">
        <v>92</v>
      </c>
      <c r="H68" s="11" t="s">
        <v>93</v>
      </c>
      <c r="I68" s="15" t="s">
        <v>196</v>
      </c>
      <c r="J68" s="15" t="s">
        <v>82</v>
      </c>
      <c r="K68" s="16" t="s">
        <v>45</v>
      </c>
      <c r="L68" s="83" t="s">
        <v>238</v>
      </c>
      <c r="M68" s="15"/>
      <c r="N68" s="15" t="s">
        <v>38</v>
      </c>
      <c r="O68" s="15"/>
      <c r="P68" s="16" t="s">
        <v>239</v>
      </c>
      <c r="Q68" s="17">
        <v>20190</v>
      </c>
      <c r="R68" s="18">
        <v>58.01</v>
      </c>
      <c r="S68" s="19">
        <v>9749.4354999999996</v>
      </c>
      <c r="T68" s="20" t="s">
        <v>99</v>
      </c>
      <c r="U68" s="21" t="s">
        <v>100</v>
      </c>
      <c r="V68" s="23">
        <v>40</v>
      </c>
      <c r="W68" s="23">
        <v>4</v>
      </c>
      <c r="X68" s="24"/>
    </row>
    <row r="69" spans="1:24" s="1" customFormat="1" ht="21" customHeight="1" x14ac:dyDescent="0.3">
      <c r="A69" s="25" t="s">
        <v>89</v>
      </c>
      <c r="B69" s="25" t="s">
        <v>236</v>
      </c>
      <c r="C69" s="28" t="s">
        <v>237</v>
      </c>
      <c r="D69" s="86"/>
      <c r="E69" s="67" t="str">
        <f>HYPERLINK("https://www.google.ru/search?q=843064-51052&amp;newwindow=1&amp;tbm=isch","Еще фото")</f>
        <v>Еще фото</v>
      </c>
      <c r="F69" s="14"/>
      <c r="G69" s="25" t="s">
        <v>92</v>
      </c>
      <c r="H69" s="25" t="s">
        <v>93</v>
      </c>
      <c r="I69" s="25" t="s">
        <v>196</v>
      </c>
      <c r="J69" s="15" t="s">
        <v>82</v>
      </c>
      <c r="K69" s="16" t="s">
        <v>45</v>
      </c>
      <c r="L69" s="88"/>
      <c r="M69" s="15"/>
      <c r="N69" s="15" t="s">
        <v>38</v>
      </c>
      <c r="O69" s="15"/>
      <c r="P69" s="16" t="s">
        <v>239</v>
      </c>
      <c r="Q69" s="17">
        <v>20190</v>
      </c>
      <c r="R69" s="18">
        <v>58.01</v>
      </c>
      <c r="S69" s="19">
        <v>9749.4354999999996</v>
      </c>
      <c r="T69" s="20" t="s">
        <v>99</v>
      </c>
      <c r="U69" s="21" t="s">
        <v>235</v>
      </c>
      <c r="V69" s="23">
        <v>41</v>
      </c>
      <c r="W69" s="23">
        <v>7</v>
      </c>
      <c r="X69" s="24"/>
    </row>
    <row r="70" spans="1:24" s="1" customFormat="1" ht="21" customHeight="1" x14ac:dyDescent="0.3">
      <c r="A70" s="25" t="s">
        <v>89</v>
      </c>
      <c r="B70" s="25" t="s">
        <v>236</v>
      </c>
      <c r="C70" s="28" t="s">
        <v>237</v>
      </c>
      <c r="D70" s="86"/>
      <c r="E70" s="67" t="str">
        <f>HYPERLINK("https://www.google.ru/search?q=843064-51052&amp;newwindow=1&amp;tbm=isch","Еще фото")</f>
        <v>Еще фото</v>
      </c>
      <c r="F70" s="14"/>
      <c r="G70" s="25" t="s">
        <v>92</v>
      </c>
      <c r="H70" s="25" t="s">
        <v>93</v>
      </c>
      <c r="I70" s="25" t="s">
        <v>196</v>
      </c>
      <c r="J70" s="15" t="s">
        <v>82</v>
      </c>
      <c r="K70" s="16" t="s">
        <v>45</v>
      </c>
      <c r="L70" s="88"/>
      <c r="M70" s="15"/>
      <c r="N70" s="15" t="s">
        <v>38</v>
      </c>
      <c r="O70" s="15"/>
      <c r="P70" s="16" t="s">
        <v>239</v>
      </c>
      <c r="Q70" s="17">
        <v>20190</v>
      </c>
      <c r="R70" s="18">
        <v>58.01</v>
      </c>
      <c r="S70" s="19">
        <v>9749.4354999999996</v>
      </c>
      <c r="T70" s="20" t="s">
        <v>99</v>
      </c>
      <c r="U70" s="21" t="s">
        <v>164</v>
      </c>
      <c r="V70" s="23">
        <v>42</v>
      </c>
      <c r="W70" s="23">
        <v>5</v>
      </c>
      <c r="X70" s="24"/>
    </row>
    <row r="71" spans="1:24" s="1" customFormat="1" ht="21" customHeight="1" x14ac:dyDescent="0.3">
      <c r="A71" s="25" t="s">
        <v>89</v>
      </c>
      <c r="B71" s="25" t="s">
        <v>236</v>
      </c>
      <c r="C71" s="28" t="s">
        <v>237</v>
      </c>
      <c r="D71" s="86"/>
      <c r="E71" s="67" t="str">
        <f>HYPERLINK("https://www.google.ru/search?q=843064-51052&amp;newwindow=1&amp;tbm=isch","Еще фото")</f>
        <v>Еще фото</v>
      </c>
      <c r="F71" s="14"/>
      <c r="G71" s="25" t="s">
        <v>92</v>
      </c>
      <c r="H71" s="25" t="s">
        <v>93</v>
      </c>
      <c r="I71" s="25" t="s">
        <v>196</v>
      </c>
      <c r="J71" s="15" t="s">
        <v>82</v>
      </c>
      <c r="K71" s="16" t="s">
        <v>45</v>
      </c>
      <c r="L71" s="88"/>
      <c r="M71" s="15"/>
      <c r="N71" s="15" t="s">
        <v>38</v>
      </c>
      <c r="O71" s="15"/>
      <c r="P71" s="16" t="s">
        <v>239</v>
      </c>
      <c r="Q71" s="17">
        <v>20190</v>
      </c>
      <c r="R71" s="18">
        <v>58.01</v>
      </c>
      <c r="S71" s="19">
        <v>9749.4354999999996</v>
      </c>
      <c r="T71" s="20" t="s">
        <v>99</v>
      </c>
      <c r="U71" s="21" t="s">
        <v>158</v>
      </c>
      <c r="V71" s="23">
        <v>44</v>
      </c>
      <c r="W71" s="23">
        <v>1</v>
      </c>
      <c r="X71" s="24"/>
    </row>
    <row r="72" spans="1:24" s="1" customFormat="1" ht="32" customHeight="1" x14ac:dyDescent="0.3">
      <c r="A72" s="25" t="s">
        <v>89</v>
      </c>
      <c r="B72" s="25" t="s">
        <v>236</v>
      </c>
      <c r="C72" s="28" t="s">
        <v>237</v>
      </c>
      <c r="D72" s="87"/>
      <c r="E72" s="67" t="str">
        <f>HYPERLINK("https://www.google.ru/search?q=843064-51052&amp;newwindow=1&amp;tbm=isch","Еще фото")</f>
        <v>Еще фото</v>
      </c>
      <c r="F72" s="14"/>
      <c r="G72" s="25" t="s">
        <v>92</v>
      </c>
      <c r="H72" s="25" t="s">
        <v>93</v>
      </c>
      <c r="I72" s="25" t="s">
        <v>196</v>
      </c>
      <c r="J72" s="15" t="s">
        <v>82</v>
      </c>
      <c r="K72" s="16" t="s">
        <v>45</v>
      </c>
      <c r="L72" s="84"/>
      <c r="M72" s="15"/>
      <c r="N72" s="15" t="s">
        <v>38</v>
      </c>
      <c r="O72" s="15"/>
      <c r="P72" s="16" t="s">
        <v>239</v>
      </c>
      <c r="Q72" s="17">
        <v>20190</v>
      </c>
      <c r="R72" s="18">
        <v>58.01</v>
      </c>
      <c r="S72" s="19">
        <v>9749.4354999999996</v>
      </c>
      <c r="T72" s="20" t="s">
        <v>99</v>
      </c>
      <c r="U72" s="21" t="s">
        <v>159</v>
      </c>
      <c r="V72" s="23">
        <v>45</v>
      </c>
      <c r="W72" s="23">
        <v>1</v>
      </c>
      <c r="X72" s="24"/>
    </row>
    <row r="73" spans="1:24" s="1" customFormat="1" ht="108" customHeight="1" x14ac:dyDescent="0.3">
      <c r="A73" s="11" t="s">
        <v>150</v>
      </c>
      <c r="B73" s="11" t="s">
        <v>205</v>
      </c>
      <c r="C73" s="12" t="s">
        <v>240</v>
      </c>
      <c r="D73" s="13"/>
      <c r="E73" s="67" t="str">
        <f>HYPERLINK("https://www.google.ru/search?q=977119310033-F083&amp;newwindow=1&amp;tbm=isch","Еще фото")</f>
        <v>Еще фото</v>
      </c>
      <c r="F73" s="14"/>
      <c r="G73" s="11" t="s">
        <v>153</v>
      </c>
      <c r="H73" s="11" t="s">
        <v>93</v>
      </c>
      <c r="I73" s="15" t="s">
        <v>196</v>
      </c>
      <c r="J73" s="15" t="s">
        <v>28</v>
      </c>
      <c r="K73" s="16" t="s">
        <v>45</v>
      </c>
      <c r="L73" s="15" t="s">
        <v>241</v>
      </c>
      <c r="M73" s="15"/>
      <c r="N73" s="15" t="s">
        <v>173</v>
      </c>
      <c r="O73" s="15"/>
      <c r="P73" s="16" t="s">
        <v>157</v>
      </c>
      <c r="Q73" s="17">
        <v>8399</v>
      </c>
      <c r="R73" s="18">
        <v>48.8</v>
      </c>
      <c r="S73" s="19">
        <v>4944.9884999999995</v>
      </c>
      <c r="T73" s="20" t="s">
        <v>99</v>
      </c>
      <c r="U73" s="21" t="s">
        <v>235</v>
      </c>
      <c r="V73" s="23">
        <v>40</v>
      </c>
      <c r="W73" s="23">
        <v>1</v>
      </c>
      <c r="X73" s="24"/>
    </row>
    <row r="74" spans="1:24" s="1" customFormat="1" ht="108" customHeight="1" x14ac:dyDescent="0.3">
      <c r="A74" s="11" t="s">
        <v>23</v>
      </c>
      <c r="B74" s="11" t="s">
        <v>242</v>
      </c>
      <c r="C74" s="12" t="s">
        <v>243</v>
      </c>
      <c r="D74" s="13"/>
      <c r="E74" s="67" t="str">
        <f>HYPERLINK("https://www.google.ru/search?q=E231437B-WBL&amp;newwindow=1&amp;tbm=isch","Еще фото")</f>
        <v>Еще фото</v>
      </c>
      <c r="F74" s="14"/>
      <c r="G74" s="11" t="s">
        <v>153</v>
      </c>
      <c r="H74" s="11" t="s">
        <v>93</v>
      </c>
      <c r="I74" s="15" t="s">
        <v>196</v>
      </c>
      <c r="J74" s="15" t="s">
        <v>28</v>
      </c>
      <c r="K74" s="16" t="s">
        <v>45</v>
      </c>
      <c r="L74" s="15" t="s">
        <v>244</v>
      </c>
      <c r="M74" s="15"/>
      <c r="N74" s="15" t="s">
        <v>173</v>
      </c>
      <c r="O74" s="15"/>
      <c r="P74" s="16" t="s">
        <v>245</v>
      </c>
      <c r="Q74" s="17">
        <v>9300</v>
      </c>
      <c r="R74" s="18">
        <v>48.39</v>
      </c>
      <c r="S74" s="19">
        <v>5519.9884999999995</v>
      </c>
      <c r="T74" s="20" t="s">
        <v>99</v>
      </c>
      <c r="U74" s="21" t="s">
        <v>235</v>
      </c>
      <c r="V74" s="23">
        <v>40</v>
      </c>
      <c r="W74" s="23">
        <v>1</v>
      </c>
      <c r="X74" s="24"/>
    </row>
    <row r="75" spans="1:24" s="1" customFormat="1" ht="52.05" customHeight="1" x14ac:dyDescent="0.3">
      <c r="A75" s="11" t="s">
        <v>150</v>
      </c>
      <c r="B75" s="11" t="s">
        <v>205</v>
      </c>
      <c r="C75" s="12" t="s">
        <v>246</v>
      </c>
      <c r="D75" s="81"/>
      <c r="E75" s="67" t="str">
        <f>HYPERLINK("https://www.google.ru/search?q=977118310035-6353&amp;newwindow=1&amp;tbm=isch","Еще фото")</f>
        <v>Еще фото</v>
      </c>
      <c r="F75" s="14"/>
      <c r="G75" s="11" t="s">
        <v>153</v>
      </c>
      <c r="H75" s="11" t="s">
        <v>93</v>
      </c>
      <c r="I75" s="15" t="s">
        <v>196</v>
      </c>
      <c r="J75" s="15" t="s">
        <v>28</v>
      </c>
      <c r="K75" s="16" t="s">
        <v>29</v>
      </c>
      <c r="L75" s="83" t="s">
        <v>207</v>
      </c>
      <c r="M75" s="15"/>
      <c r="N75" s="15" t="s">
        <v>173</v>
      </c>
      <c r="O75" s="15"/>
      <c r="P75" s="16" t="s">
        <v>247</v>
      </c>
      <c r="Q75" s="17">
        <v>6700</v>
      </c>
      <c r="R75" s="18">
        <v>48</v>
      </c>
      <c r="S75" s="19">
        <v>4006.6</v>
      </c>
      <c r="T75" s="20" t="s">
        <v>99</v>
      </c>
      <c r="U75" s="21" t="s">
        <v>170</v>
      </c>
      <c r="V75" s="23">
        <v>36</v>
      </c>
      <c r="W75" s="23">
        <v>1</v>
      </c>
      <c r="X75" s="24"/>
    </row>
    <row r="76" spans="1:24" s="1" customFormat="1" ht="61.05" customHeight="1" x14ac:dyDescent="0.3">
      <c r="A76" s="25" t="s">
        <v>150</v>
      </c>
      <c r="B76" s="25" t="s">
        <v>205</v>
      </c>
      <c r="C76" s="12" t="s">
        <v>246</v>
      </c>
      <c r="D76" s="82"/>
      <c r="E76" s="67" t="str">
        <f>HYPERLINK("https://www.google.ru/search?q=977118310035-6353&amp;newwindow=1&amp;tbm=isch","Еще фото")</f>
        <v>Еще фото</v>
      </c>
      <c r="F76" s="14"/>
      <c r="G76" s="25" t="s">
        <v>153</v>
      </c>
      <c r="H76" s="25" t="s">
        <v>93</v>
      </c>
      <c r="I76" s="25" t="s">
        <v>196</v>
      </c>
      <c r="J76" s="15" t="s">
        <v>28</v>
      </c>
      <c r="K76" s="16" t="s">
        <v>29</v>
      </c>
      <c r="L76" s="84"/>
      <c r="M76" s="15"/>
      <c r="N76" s="15" t="s">
        <v>173</v>
      </c>
      <c r="O76" s="15"/>
      <c r="P76" s="16" t="s">
        <v>247</v>
      </c>
      <c r="Q76" s="17">
        <v>6700</v>
      </c>
      <c r="R76" s="18">
        <v>48</v>
      </c>
      <c r="S76" s="19">
        <v>4006.6</v>
      </c>
      <c r="T76" s="20" t="s">
        <v>99</v>
      </c>
      <c r="U76" s="21" t="s">
        <v>100</v>
      </c>
      <c r="V76" s="23">
        <v>39</v>
      </c>
      <c r="W76" s="23">
        <v>1</v>
      </c>
      <c r="X76" s="24"/>
    </row>
    <row r="77" spans="1:24" s="1" customFormat="1" ht="108" customHeight="1" x14ac:dyDescent="0.3">
      <c r="A77" s="11" t="s">
        <v>150</v>
      </c>
      <c r="B77" s="11" t="s">
        <v>209</v>
      </c>
      <c r="C77" s="12" t="s">
        <v>248</v>
      </c>
      <c r="D77" s="13"/>
      <c r="E77" s="67" t="str">
        <f>HYPERLINK("https://www.google.ru/search?q=977118310071-0200&amp;newwindow=1&amp;tbm=isch","Еще фото")</f>
        <v>Еще фото</v>
      </c>
      <c r="F77" s="14"/>
      <c r="G77" s="11" t="s">
        <v>153</v>
      </c>
      <c r="H77" s="11" t="s">
        <v>93</v>
      </c>
      <c r="I77" s="15" t="s">
        <v>196</v>
      </c>
      <c r="J77" s="15" t="s">
        <v>28</v>
      </c>
      <c r="K77" s="16" t="s">
        <v>29</v>
      </c>
      <c r="L77" s="15" t="s">
        <v>211</v>
      </c>
      <c r="M77" s="15"/>
      <c r="N77" s="15" t="s">
        <v>38</v>
      </c>
      <c r="O77" s="15"/>
      <c r="P77" s="16" t="s">
        <v>157</v>
      </c>
      <c r="Q77" s="17">
        <v>7500</v>
      </c>
      <c r="R77" s="18">
        <v>48</v>
      </c>
      <c r="S77" s="19">
        <v>4485</v>
      </c>
      <c r="T77" s="20" t="s">
        <v>99</v>
      </c>
      <c r="U77" s="21" t="s">
        <v>175</v>
      </c>
      <c r="V77" s="23">
        <v>38</v>
      </c>
      <c r="W77" s="23">
        <v>1</v>
      </c>
      <c r="X77" s="24"/>
    </row>
    <row r="78" spans="1:24" s="1" customFormat="1" ht="108" customHeight="1" x14ac:dyDescent="0.3">
      <c r="A78" s="11" t="s">
        <v>150</v>
      </c>
      <c r="B78" s="11" t="s">
        <v>232</v>
      </c>
      <c r="C78" s="12" t="s">
        <v>249</v>
      </c>
      <c r="D78" s="13"/>
      <c r="E78" s="67" t="str">
        <f>HYPERLINK("https://www.google.ru/search?q=977119320023-F207&amp;newwindow=1&amp;tbm=isch","Еще фото")</f>
        <v>Еще фото</v>
      </c>
      <c r="F78" s="14"/>
      <c r="G78" s="11" t="s">
        <v>153</v>
      </c>
      <c r="H78" s="11" t="s">
        <v>93</v>
      </c>
      <c r="I78" s="15" t="s">
        <v>196</v>
      </c>
      <c r="J78" s="15" t="s">
        <v>28</v>
      </c>
      <c r="K78" s="16" t="s">
        <v>45</v>
      </c>
      <c r="L78" s="15" t="s">
        <v>234</v>
      </c>
      <c r="M78" s="15"/>
      <c r="N78" s="15" t="s">
        <v>173</v>
      </c>
      <c r="O78" s="15"/>
      <c r="P78" s="16" t="s">
        <v>157</v>
      </c>
      <c r="Q78" s="17">
        <v>9200</v>
      </c>
      <c r="R78" s="18">
        <v>48</v>
      </c>
      <c r="S78" s="19">
        <v>5501.5999999999995</v>
      </c>
      <c r="T78" s="20" t="s">
        <v>99</v>
      </c>
      <c r="U78" s="21" t="s">
        <v>158</v>
      </c>
      <c r="V78" s="23">
        <v>43</v>
      </c>
      <c r="W78" s="23">
        <v>1</v>
      </c>
      <c r="X78" s="24"/>
    </row>
    <row r="79" spans="1:24" s="1" customFormat="1" ht="52.05" customHeight="1" x14ac:dyDescent="0.3">
      <c r="A79" s="11" t="s">
        <v>150</v>
      </c>
      <c r="B79" s="11" t="s">
        <v>215</v>
      </c>
      <c r="C79" s="12" t="s">
        <v>250</v>
      </c>
      <c r="D79" s="81"/>
      <c r="E79" s="67" t="str">
        <f>HYPERLINK("https://www.google.ru/search?q=977119320038-0200&amp;newwindow=1&amp;tbm=isch","Еще фото")</f>
        <v>Еще фото</v>
      </c>
      <c r="F79" s="14"/>
      <c r="G79" s="11" t="s">
        <v>153</v>
      </c>
      <c r="H79" s="11" t="s">
        <v>93</v>
      </c>
      <c r="I79" s="15" t="s">
        <v>196</v>
      </c>
      <c r="J79" s="15" t="s">
        <v>28</v>
      </c>
      <c r="K79" s="16" t="s">
        <v>45</v>
      </c>
      <c r="L79" s="83" t="s">
        <v>217</v>
      </c>
      <c r="M79" s="15"/>
      <c r="N79" s="15" t="s">
        <v>38</v>
      </c>
      <c r="O79" s="15"/>
      <c r="P79" s="16" t="s">
        <v>157</v>
      </c>
      <c r="Q79" s="17">
        <v>13400</v>
      </c>
      <c r="R79" s="18">
        <v>48</v>
      </c>
      <c r="S79" s="19">
        <v>8013.2</v>
      </c>
      <c r="T79" s="20" t="s">
        <v>99</v>
      </c>
      <c r="U79" s="21" t="s">
        <v>235</v>
      </c>
      <c r="V79" s="23">
        <v>40</v>
      </c>
      <c r="W79" s="23">
        <v>1</v>
      </c>
      <c r="X79" s="24"/>
    </row>
    <row r="80" spans="1:24" s="1" customFormat="1" ht="61.05" customHeight="1" x14ac:dyDescent="0.3">
      <c r="A80" s="25" t="s">
        <v>150</v>
      </c>
      <c r="B80" s="25" t="s">
        <v>215</v>
      </c>
      <c r="C80" s="12" t="s">
        <v>250</v>
      </c>
      <c r="D80" s="82"/>
      <c r="E80" s="67" t="str">
        <f>HYPERLINK("https://www.google.ru/search?q=977119320038-0200&amp;newwindow=1&amp;tbm=isch","Еще фото")</f>
        <v>Еще фото</v>
      </c>
      <c r="F80" s="14"/>
      <c r="G80" s="25" t="s">
        <v>153</v>
      </c>
      <c r="H80" s="25" t="s">
        <v>93</v>
      </c>
      <c r="I80" s="25" t="s">
        <v>196</v>
      </c>
      <c r="J80" s="15" t="s">
        <v>28</v>
      </c>
      <c r="K80" s="16" t="s">
        <v>45</v>
      </c>
      <c r="L80" s="84"/>
      <c r="M80" s="15"/>
      <c r="N80" s="15" t="s">
        <v>38</v>
      </c>
      <c r="O80" s="15"/>
      <c r="P80" s="16" t="s">
        <v>157</v>
      </c>
      <c r="Q80" s="17">
        <v>13400</v>
      </c>
      <c r="R80" s="18">
        <v>48</v>
      </c>
      <c r="S80" s="19">
        <v>8013.2</v>
      </c>
      <c r="T80" s="20" t="s">
        <v>99</v>
      </c>
      <c r="U80" s="21" t="s">
        <v>165</v>
      </c>
      <c r="V80" s="23">
        <v>42</v>
      </c>
      <c r="W80" s="23">
        <v>2</v>
      </c>
      <c r="X80" s="24"/>
    </row>
    <row r="81" spans="1:24" s="1" customFormat="1" ht="35" customHeight="1" x14ac:dyDescent="0.3">
      <c r="A81" s="11" t="s">
        <v>89</v>
      </c>
      <c r="B81" s="11" t="s">
        <v>251</v>
      </c>
      <c r="C81" s="12" t="s">
        <v>252</v>
      </c>
      <c r="D81" s="85"/>
      <c r="E81" s="67" t="str">
        <f>HYPERLINK("https://www.google.ru/search?q=824254-56665&amp;newwindow=1&amp;tbm=isch","Еще фото")</f>
        <v>Еще фото</v>
      </c>
      <c r="F81" s="14" t="s">
        <v>253</v>
      </c>
      <c r="G81" s="11" t="s">
        <v>153</v>
      </c>
      <c r="H81" s="11" t="s">
        <v>93</v>
      </c>
      <c r="I81" s="15" t="s">
        <v>196</v>
      </c>
      <c r="J81" s="15" t="s">
        <v>82</v>
      </c>
      <c r="K81" s="16" t="s">
        <v>45</v>
      </c>
      <c r="L81" s="83" t="s">
        <v>254</v>
      </c>
      <c r="M81" s="15" t="s">
        <v>255</v>
      </c>
      <c r="N81" s="15" t="s">
        <v>55</v>
      </c>
      <c r="O81" s="15"/>
      <c r="P81" s="16" t="s">
        <v>256</v>
      </c>
      <c r="Q81" s="17">
        <v>24990</v>
      </c>
      <c r="R81" s="18">
        <v>47.91</v>
      </c>
      <c r="S81" s="19">
        <v>14970.4355</v>
      </c>
      <c r="T81" s="20" t="s">
        <v>99</v>
      </c>
      <c r="U81" s="21" t="s">
        <v>100</v>
      </c>
      <c r="V81" s="23">
        <v>40</v>
      </c>
      <c r="W81" s="23">
        <v>12</v>
      </c>
      <c r="X81" s="24"/>
    </row>
    <row r="82" spans="1:24" s="1" customFormat="1" ht="35" customHeight="1" x14ac:dyDescent="0.3">
      <c r="A82" s="25" t="s">
        <v>89</v>
      </c>
      <c r="B82" s="25" t="s">
        <v>251</v>
      </c>
      <c r="C82" s="12" t="s">
        <v>252</v>
      </c>
      <c r="D82" s="86"/>
      <c r="E82" s="67" t="str">
        <f>HYPERLINK("https://www.google.ru/search?q=824254-56665&amp;newwindow=1&amp;tbm=isch","Еще фото")</f>
        <v>Еще фото</v>
      </c>
      <c r="F82" s="14" t="s">
        <v>253</v>
      </c>
      <c r="G82" s="25" t="s">
        <v>153</v>
      </c>
      <c r="H82" s="25" t="s">
        <v>93</v>
      </c>
      <c r="I82" s="25" t="s">
        <v>196</v>
      </c>
      <c r="J82" s="15" t="s">
        <v>82</v>
      </c>
      <c r="K82" s="16" t="s">
        <v>45</v>
      </c>
      <c r="L82" s="88"/>
      <c r="M82" s="15" t="s">
        <v>255</v>
      </c>
      <c r="N82" s="15" t="s">
        <v>55</v>
      </c>
      <c r="O82" s="15"/>
      <c r="P82" s="16" t="s">
        <v>256</v>
      </c>
      <c r="Q82" s="17">
        <v>24990</v>
      </c>
      <c r="R82" s="18">
        <v>47.91</v>
      </c>
      <c r="S82" s="19">
        <v>14970.4355</v>
      </c>
      <c r="T82" s="20" t="s">
        <v>99</v>
      </c>
      <c r="U82" s="21" t="s">
        <v>235</v>
      </c>
      <c r="V82" s="23">
        <v>41</v>
      </c>
      <c r="W82" s="23">
        <v>3</v>
      </c>
      <c r="X82" s="24"/>
    </row>
    <row r="83" spans="1:24" s="1" customFormat="1" ht="37.049999999999997" customHeight="1" x14ac:dyDescent="0.3">
      <c r="A83" s="25" t="s">
        <v>89</v>
      </c>
      <c r="B83" s="25" t="s">
        <v>251</v>
      </c>
      <c r="C83" s="12" t="s">
        <v>252</v>
      </c>
      <c r="D83" s="87"/>
      <c r="E83" s="67" t="str">
        <f>HYPERLINK("https://www.google.ru/search?q=824254-56665&amp;newwindow=1&amp;tbm=isch","Еще фото")</f>
        <v>Еще фото</v>
      </c>
      <c r="F83" s="14" t="s">
        <v>253</v>
      </c>
      <c r="G83" s="25" t="s">
        <v>153</v>
      </c>
      <c r="H83" s="25" t="s">
        <v>93</v>
      </c>
      <c r="I83" s="25" t="s">
        <v>196</v>
      </c>
      <c r="J83" s="15" t="s">
        <v>82</v>
      </c>
      <c r="K83" s="16" t="s">
        <v>45</v>
      </c>
      <c r="L83" s="84"/>
      <c r="M83" s="15" t="s">
        <v>255</v>
      </c>
      <c r="N83" s="15" t="s">
        <v>55</v>
      </c>
      <c r="O83" s="15"/>
      <c r="P83" s="16" t="s">
        <v>256</v>
      </c>
      <c r="Q83" s="17">
        <v>24990</v>
      </c>
      <c r="R83" s="18">
        <v>47.91</v>
      </c>
      <c r="S83" s="19">
        <v>14970.4355</v>
      </c>
      <c r="T83" s="20" t="s">
        <v>99</v>
      </c>
      <c r="U83" s="21" t="s">
        <v>164</v>
      </c>
      <c r="V83" s="23">
        <v>42</v>
      </c>
      <c r="W83" s="23">
        <v>5</v>
      </c>
      <c r="X83" s="24"/>
    </row>
    <row r="84" spans="1:24" s="1" customFormat="1" ht="108" customHeight="1" x14ac:dyDescent="0.3">
      <c r="A84" s="11" t="s">
        <v>89</v>
      </c>
      <c r="B84" s="11" t="s">
        <v>257</v>
      </c>
      <c r="C84" s="12" t="s">
        <v>258</v>
      </c>
      <c r="D84" s="13"/>
      <c r="E84" s="67" t="str">
        <f>HYPERLINK("https://www.google.ru/search?q=823874-50869&amp;newwindow=1&amp;tbm=isch","Еще фото")</f>
        <v>Еще фото</v>
      </c>
      <c r="F84" s="14"/>
      <c r="G84" s="11" t="s">
        <v>153</v>
      </c>
      <c r="H84" s="11" t="s">
        <v>93</v>
      </c>
      <c r="I84" s="15" t="s">
        <v>196</v>
      </c>
      <c r="J84" s="15" t="s">
        <v>28</v>
      </c>
      <c r="K84" s="16" t="s">
        <v>45</v>
      </c>
      <c r="L84" s="15" t="s">
        <v>259</v>
      </c>
      <c r="M84" s="15"/>
      <c r="N84" s="15" t="s">
        <v>218</v>
      </c>
      <c r="O84" s="15"/>
      <c r="P84" s="16" t="s">
        <v>260</v>
      </c>
      <c r="Q84" s="17">
        <v>26999</v>
      </c>
      <c r="R84" s="18">
        <v>47</v>
      </c>
      <c r="S84" s="19">
        <v>16455.890499999998</v>
      </c>
      <c r="T84" s="20" t="s">
        <v>99</v>
      </c>
      <c r="U84" s="21" t="s">
        <v>165</v>
      </c>
      <c r="V84" s="23">
        <v>43</v>
      </c>
      <c r="W84" s="23">
        <v>1</v>
      </c>
      <c r="X84" s="24"/>
    </row>
    <row r="85" spans="1:24" s="1" customFormat="1" ht="108" customHeight="1" x14ac:dyDescent="0.3">
      <c r="A85" s="11" t="s">
        <v>89</v>
      </c>
      <c r="B85" s="11" t="s">
        <v>261</v>
      </c>
      <c r="C85" s="12" t="s">
        <v>262</v>
      </c>
      <c r="D85" s="13"/>
      <c r="E85" s="67" t="str">
        <f>HYPERLINK("https://www.google.ru/search?q=820294-02667&amp;newwindow=1&amp;tbm=isch","Еще фото")</f>
        <v>Еще фото</v>
      </c>
      <c r="F85" s="14"/>
      <c r="G85" s="11" t="s">
        <v>263</v>
      </c>
      <c r="H85" s="11" t="s">
        <v>93</v>
      </c>
      <c r="I85" s="15" t="s">
        <v>196</v>
      </c>
      <c r="J85" s="15" t="s">
        <v>28</v>
      </c>
      <c r="K85" s="16" t="s">
        <v>45</v>
      </c>
      <c r="L85" s="15" t="s">
        <v>264</v>
      </c>
      <c r="M85" s="15"/>
      <c r="N85" s="15" t="s">
        <v>265</v>
      </c>
      <c r="O85" s="15"/>
      <c r="P85" s="16" t="s">
        <v>266</v>
      </c>
      <c r="Q85" s="17">
        <v>13599</v>
      </c>
      <c r="R85" s="18">
        <v>45.58</v>
      </c>
      <c r="S85" s="19">
        <v>8509.9884999999995</v>
      </c>
      <c r="T85" s="20" t="s">
        <v>99</v>
      </c>
      <c r="U85" s="21" t="s">
        <v>235</v>
      </c>
      <c r="V85" s="23">
        <v>41</v>
      </c>
      <c r="W85" s="23">
        <v>1</v>
      </c>
      <c r="X85" s="24"/>
    </row>
    <row r="86" spans="1:24" s="1" customFormat="1" ht="108" customHeight="1" x14ac:dyDescent="0.3">
      <c r="A86" s="11" t="s">
        <v>89</v>
      </c>
      <c r="B86" s="11" t="s">
        <v>267</v>
      </c>
      <c r="C86" s="12" t="s">
        <v>268</v>
      </c>
      <c r="D86" s="13"/>
      <c r="E86" s="67" t="str">
        <f>HYPERLINK("https://www.google.ru/search?q=823804-60441&amp;newwindow=1&amp;tbm=isch","Еще фото")</f>
        <v>Еще фото</v>
      </c>
      <c r="F86" s="14"/>
      <c r="G86" s="11" t="s">
        <v>92</v>
      </c>
      <c r="H86" s="11" t="s">
        <v>93</v>
      </c>
      <c r="I86" s="15" t="s">
        <v>196</v>
      </c>
      <c r="J86" s="15" t="s">
        <v>28</v>
      </c>
      <c r="K86" s="16" t="s">
        <v>45</v>
      </c>
      <c r="L86" s="15" t="s">
        <v>269</v>
      </c>
      <c r="M86" s="15" t="s">
        <v>270</v>
      </c>
      <c r="N86" s="15" t="s">
        <v>271</v>
      </c>
      <c r="O86" s="15" t="s">
        <v>97</v>
      </c>
      <c r="P86" s="16" t="s">
        <v>272</v>
      </c>
      <c r="Q86" s="17">
        <v>21999</v>
      </c>
      <c r="R86" s="18">
        <v>45.45</v>
      </c>
      <c r="S86" s="19">
        <v>13799.988499999999</v>
      </c>
      <c r="T86" s="20" t="s">
        <v>99</v>
      </c>
      <c r="U86" s="21" t="s">
        <v>100</v>
      </c>
      <c r="V86" s="23">
        <v>40</v>
      </c>
      <c r="W86" s="23">
        <v>1</v>
      </c>
      <c r="X86" s="24"/>
    </row>
    <row r="87" spans="1:24" s="1" customFormat="1" ht="108" customHeight="1" x14ac:dyDescent="0.3">
      <c r="A87" s="11" t="s">
        <v>89</v>
      </c>
      <c r="B87" s="11" t="s">
        <v>273</v>
      </c>
      <c r="C87" s="12" t="s">
        <v>274</v>
      </c>
      <c r="D87" s="13"/>
      <c r="E87" s="67" t="str">
        <f>HYPERLINK("https://www.google.ru/search?q=216263-60825&amp;newwindow=1&amp;tbm=isch","Еще фото")</f>
        <v>Еще фото</v>
      </c>
      <c r="F87" s="14"/>
      <c r="G87" s="11" t="s">
        <v>275</v>
      </c>
      <c r="H87" s="11" t="s">
        <v>93</v>
      </c>
      <c r="I87" s="15" t="s">
        <v>196</v>
      </c>
      <c r="J87" s="15" t="s">
        <v>82</v>
      </c>
      <c r="K87" s="16" t="s">
        <v>29</v>
      </c>
      <c r="L87" s="15" t="s">
        <v>276</v>
      </c>
      <c r="M87" s="15"/>
      <c r="N87" s="15" t="s">
        <v>218</v>
      </c>
      <c r="O87" s="15"/>
      <c r="P87" s="16" t="s">
        <v>277</v>
      </c>
      <c r="Q87" s="17">
        <v>25999</v>
      </c>
      <c r="R87" s="18">
        <v>45.38</v>
      </c>
      <c r="S87" s="19">
        <v>16329.988499999998</v>
      </c>
      <c r="T87" s="20" t="s">
        <v>99</v>
      </c>
      <c r="U87" s="21" t="s">
        <v>100</v>
      </c>
      <c r="V87" s="23">
        <v>40</v>
      </c>
      <c r="W87" s="23">
        <v>1</v>
      </c>
      <c r="X87" s="24"/>
    </row>
    <row r="88" spans="1:24" s="1" customFormat="1" ht="108" customHeight="1" x14ac:dyDescent="0.3">
      <c r="A88" s="11" t="s">
        <v>89</v>
      </c>
      <c r="B88" s="11" t="s">
        <v>278</v>
      </c>
      <c r="C88" s="12" t="s">
        <v>279</v>
      </c>
      <c r="D88" s="13"/>
      <c r="E88" s="67" t="str">
        <f>HYPERLINK("https://www.google.ru/search?q=212883-51052&amp;newwindow=1&amp;tbm=isch","Еще фото")</f>
        <v>Еще фото</v>
      </c>
      <c r="F88" s="14"/>
      <c r="G88" s="11" t="s">
        <v>263</v>
      </c>
      <c r="H88" s="11" t="s">
        <v>93</v>
      </c>
      <c r="I88" s="15" t="s">
        <v>196</v>
      </c>
      <c r="J88" s="15" t="s">
        <v>28</v>
      </c>
      <c r="K88" s="16" t="s">
        <v>29</v>
      </c>
      <c r="L88" s="15" t="s">
        <v>280</v>
      </c>
      <c r="M88" s="15"/>
      <c r="N88" s="15" t="s">
        <v>38</v>
      </c>
      <c r="O88" s="15"/>
      <c r="P88" s="16" t="s">
        <v>281</v>
      </c>
      <c r="Q88" s="17">
        <v>14999</v>
      </c>
      <c r="R88" s="18">
        <v>45.33</v>
      </c>
      <c r="S88" s="19">
        <v>9429.9884999999995</v>
      </c>
      <c r="T88" s="20" t="s">
        <v>99</v>
      </c>
      <c r="U88" s="21" t="s">
        <v>170</v>
      </c>
      <c r="V88" s="23">
        <v>37</v>
      </c>
      <c r="W88" s="23">
        <v>1</v>
      </c>
      <c r="X88" s="24"/>
    </row>
    <row r="89" spans="1:24" s="1" customFormat="1" ht="108" customHeight="1" x14ac:dyDescent="0.3">
      <c r="A89" s="11" t="s">
        <v>89</v>
      </c>
      <c r="B89" s="11" t="s">
        <v>251</v>
      </c>
      <c r="C89" s="12" t="s">
        <v>282</v>
      </c>
      <c r="D89" s="13"/>
      <c r="E89" s="67" t="str">
        <f>HYPERLINK("https://www.google.ru/search?q=824254-51052&amp;newwindow=1&amp;tbm=isch","Еще фото")</f>
        <v>Еще фото</v>
      </c>
      <c r="F89" s="14"/>
      <c r="G89" s="11" t="s">
        <v>153</v>
      </c>
      <c r="H89" s="11" t="s">
        <v>93</v>
      </c>
      <c r="I89" s="15" t="s">
        <v>196</v>
      </c>
      <c r="J89" s="15" t="s">
        <v>28</v>
      </c>
      <c r="K89" s="16" t="s">
        <v>45</v>
      </c>
      <c r="L89" s="15" t="s">
        <v>254</v>
      </c>
      <c r="M89" s="15" t="s">
        <v>255</v>
      </c>
      <c r="N89" s="15" t="s">
        <v>38</v>
      </c>
      <c r="O89" s="15"/>
      <c r="P89" s="16" t="s">
        <v>283</v>
      </c>
      <c r="Q89" s="17">
        <v>24990</v>
      </c>
      <c r="R89" s="18">
        <v>45.18</v>
      </c>
      <c r="S89" s="19">
        <v>15754.988499999998</v>
      </c>
      <c r="T89" s="20" t="s">
        <v>99</v>
      </c>
      <c r="U89" s="21" t="s">
        <v>100</v>
      </c>
      <c r="V89" s="23">
        <v>40</v>
      </c>
      <c r="W89" s="23">
        <v>1</v>
      </c>
      <c r="X89" s="24"/>
    </row>
    <row r="90" spans="1:24" s="1" customFormat="1" ht="108" customHeight="1" x14ac:dyDescent="0.3">
      <c r="A90" s="11" t="s">
        <v>101</v>
      </c>
      <c r="B90" s="11" t="s">
        <v>284</v>
      </c>
      <c r="C90" s="12" t="s">
        <v>285</v>
      </c>
      <c r="D90" s="13"/>
      <c r="E90" s="67" t="str">
        <f>HYPERLINK("https://www.google.ru/search?q=ABYAA00263-STH&amp;newwindow=1&amp;tbm=isch","Еще фото")</f>
        <v>Еще фото</v>
      </c>
      <c r="F90" s="14"/>
      <c r="G90" s="11" t="s">
        <v>286</v>
      </c>
      <c r="H90" s="11" t="s">
        <v>69</v>
      </c>
      <c r="I90" s="15" t="s">
        <v>287</v>
      </c>
      <c r="J90" s="15" t="s">
        <v>28</v>
      </c>
      <c r="K90" s="16" t="s">
        <v>45</v>
      </c>
      <c r="L90" s="15"/>
      <c r="M90" s="15"/>
      <c r="N90" s="15" t="s">
        <v>38</v>
      </c>
      <c r="O90" s="15"/>
      <c r="P90" s="16" t="s">
        <v>106</v>
      </c>
      <c r="Q90" s="17">
        <v>2399</v>
      </c>
      <c r="R90" s="18">
        <v>62.99</v>
      </c>
      <c r="S90" s="26">
        <v>1020.9354999999999</v>
      </c>
      <c r="T90" s="20" t="s">
        <v>75</v>
      </c>
      <c r="U90" s="21" t="s">
        <v>107</v>
      </c>
      <c r="V90" s="22" t="s">
        <v>77</v>
      </c>
      <c r="W90" s="23">
        <v>30</v>
      </c>
      <c r="X90" s="24"/>
    </row>
    <row r="91" spans="1:24" s="1" customFormat="1" ht="108" customHeight="1" x14ac:dyDescent="0.3">
      <c r="A91" s="11" t="s">
        <v>23</v>
      </c>
      <c r="B91" s="11" t="s">
        <v>288</v>
      </c>
      <c r="C91" s="12" t="s">
        <v>289</v>
      </c>
      <c r="D91" s="13"/>
      <c r="E91" s="67" t="str">
        <f>HYPERLINK("https://www.google.ru/search?q=B1231140-KHK&amp;newwindow=1&amp;tbm=isch","Еще фото")</f>
        <v>Еще фото</v>
      </c>
      <c r="F91" s="14"/>
      <c r="G91" s="11" t="s">
        <v>290</v>
      </c>
      <c r="H91" s="11" t="s">
        <v>291</v>
      </c>
      <c r="I91" s="15" t="s">
        <v>292</v>
      </c>
      <c r="J91" s="15" t="s">
        <v>28</v>
      </c>
      <c r="K91" s="16" t="s">
        <v>71</v>
      </c>
      <c r="L91" s="15" t="s">
        <v>293</v>
      </c>
      <c r="M91" s="15"/>
      <c r="N91" s="15" t="s">
        <v>132</v>
      </c>
      <c r="O91" s="15"/>
      <c r="P91" s="16" t="s">
        <v>106</v>
      </c>
      <c r="Q91" s="17">
        <v>5300</v>
      </c>
      <c r="R91" s="18">
        <v>67.97</v>
      </c>
      <c r="S91" s="19">
        <v>1952.4354999999998</v>
      </c>
      <c r="T91" s="20" t="s">
        <v>75</v>
      </c>
      <c r="U91" s="21" t="s">
        <v>76</v>
      </c>
      <c r="V91" s="22" t="s">
        <v>77</v>
      </c>
      <c r="W91" s="23">
        <v>3</v>
      </c>
      <c r="X91" s="24"/>
    </row>
    <row r="92" spans="1:24" s="1" customFormat="1" ht="108" customHeight="1" x14ac:dyDescent="0.3">
      <c r="A92" s="11" t="s">
        <v>23</v>
      </c>
      <c r="B92" s="11" t="s">
        <v>294</v>
      </c>
      <c r="C92" s="12" t="s">
        <v>295</v>
      </c>
      <c r="D92" s="13"/>
      <c r="E92" s="67" t="str">
        <f>HYPERLINK("https://www.google.ru/search?q=B1231060-RED&amp;newwindow=1&amp;tbm=isch","Еще фото")</f>
        <v>Еще фото</v>
      </c>
      <c r="F92" s="14"/>
      <c r="G92" s="11" t="s">
        <v>290</v>
      </c>
      <c r="H92" s="11" t="s">
        <v>291</v>
      </c>
      <c r="I92" s="15" t="s">
        <v>292</v>
      </c>
      <c r="J92" s="15" t="s">
        <v>28</v>
      </c>
      <c r="K92" s="16" t="s">
        <v>71</v>
      </c>
      <c r="L92" s="15" t="s">
        <v>296</v>
      </c>
      <c r="M92" s="15"/>
      <c r="N92" s="15" t="s">
        <v>73</v>
      </c>
      <c r="O92" s="15"/>
      <c r="P92" s="16" t="s">
        <v>106</v>
      </c>
      <c r="Q92" s="17">
        <v>4800</v>
      </c>
      <c r="R92" s="18">
        <v>67.959999999999994</v>
      </c>
      <c r="S92" s="19">
        <v>1768.4354999999998</v>
      </c>
      <c r="T92" s="20" t="s">
        <v>75</v>
      </c>
      <c r="U92" s="21" t="s">
        <v>297</v>
      </c>
      <c r="V92" s="22" t="s">
        <v>77</v>
      </c>
      <c r="W92" s="23">
        <v>1</v>
      </c>
      <c r="X92" s="24"/>
    </row>
    <row r="93" spans="1:24" s="1" customFormat="1" ht="52.05" customHeight="1" x14ac:dyDescent="0.3">
      <c r="A93" s="11" t="s">
        <v>23</v>
      </c>
      <c r="B93" s="11" t="s">
        <v>298</v>
      </c>
      <c r="C93" s="12" t="s">
        <v>299</v>
      </c>
      <c r="D93" s="81"/>
      <c r="E93" s="67" t="str">
        <f>HYPERLINK("https://www.google.ru/search?q=FW6231152-BLK&amp;newwindow=1&amp;tbm=isch","Еще фото")</f>
        <v>Еще фото</v>
      </c>
      <c r="F93" s="14"/>
      <c r="G93" s="11" t="s">
        <v>300</v>
      </c>
      <c r="H93" s="11" t="s">
        <v>27</v>
      </c>
      <c r="I93" s="15" t="s">
        <v>301</v>
      </c>
      <c r="J93" s="15" t="s">
        <v>28</v>
      </c>
      <c r="K93" s="16" t="s">
        <v>29</v>
      </c>
      <c r="L93" s="83" t="s">
        <v>302</v>
      </c>
      <c r="M93" s="15"/>
      <c r="N93" s="15" t="s">
        <v>38</v>
      </c>
      <c r="O93" s="15"/>
      <c r="P93" s="16" t="s">
        <v>303</v>
      </c>
      <c r="Q93" s="17">
        <v>6299</v>
      </c>
      <c r="R93" s="18">
        <v>92.26</v>
      </c>
      <c r="S93" s="26">
        <v>560.93549999999993</v>
      </c>
      <c r="T93" s="20" t="s">
        <v>33</v>
      </c>
      <c r="U93" s="21" t="s">
        <v>52</v>
      </c>
      <c r="V93" s="22" t="s">
        <v>53</v>
      </c>
      <c r="W93" s="23">
        <v>1</v>
      </c>
      <c r="X93" s="24"/>
    </row>
    <row r="94" spans="1:24" s="1" customFormat="1" ht="61.05" customHeight="1" x14ac:dyDescent="0.3">
      <c r="A94" s="25" t="s">
        <v>23</v>
      </c>
      <c r="B94" s="25" t="s">
        <v>298</v>
      </c>
      <c r="C94" s="12" t="s">
        <v>299</v>
      </c>
      <c r="D94" s="82"/>
      <c r="E94" s="67" t="str">
        <f>HYPERLINK("https://www.google.ru/search?q=FW6231152-BLK&amp;newwindow=1&amp;tbm=isch","Еще фото")</f>
        <v>Еще фото</v>
      </c>
      <c r="F94" s="14"/>
      <c r="G94" s="25" t="s">
        <v>300</v>
      </c>
      <c r="H94" s="25" t="s">
        <v>27</v>
      </c>
      <c r="I94" s="25" t="s">
        <v>301</v>
      </c>
      <c r="J94" s="15" t="s">
        <v>28</v>
      </c>
      <c r="K94" s="16" t="s">
        <v>29</v>
      </c>
      <c r="L94" s="84"/>
      <c r="M94" s="15"/>
      <c r="N94" s="15" t="s">
        <v>38</v>
      </c>
      <c r="O94" s="15"/>
      <c r="P94" s="16" t="s">
        <v>303</v>
      </c>
      <c r="Q94" s="17">
        <v>6299</v>
      </c>
      <c r="R94" s="18">
        <v>92.26</v>
      </c>
      <c r="S94" s="26">
        <v>560.93549999999993</v>
      </c>
      <c r="T94" s="20" t="s">
        <v>33</v>
      </c>
      <c r="U94" s="21" t="s">
        <v>40</v>
      </c>
      <c r="V94" s="22" t="s">
        <v>41</v>
      </c>
      <c r="W94" s="23">
        <v>4</v>
      </c>
      <c r="X94" s="24"/>
    </row>
    <row r="95" spans="1:24" s="1" customFormat="1" ht="108" customHeight="1" x14ac:dyDescent="0.3">
      <c r="A95" s="11" t="s">
        <v>23</v>
      </c>
      <c r="B95" s="11" t="s">
        <v>304</v>
      </c>
      <c r="C95" s="12" t="s">
        <v>305</v>
      </c>
      <c r="D95" s="13"/>
      <c r="E95" s="67" t="str">
        <f>HYPERLINK("https://www.google.ru/search?q=FW6231008-RED&amp;newwindow=1&amp;tbm=isch","Еще фото")</f>
        <v>Еще фото</v>
      </c>
      <c r="F95" s="14"/>
      <c r="G95" s="11" t="s">
        <v>306</v>
      </c>
      <c r="H95" s="11" t="s">
        <v>27</v>
      </c>
      <c r="I95" s="15" t="s">
        <v>301</v>
      </c>
      <c r="J95" s="15" t="s">
        <v>28</v>
      </c>
      <c r="K95" s="16" t="s">
        <v>29</v>
      </c>
      <c r="L95" s="15" t="s">
        <v>307</v>
      </c>
      <c r="M95" s="15"/>
      <c r="N95" s="15" t="s">
        <v>73</v>
      </c>
      <c r="O95" s="15"/>
      <c r="P95" s="16" t="s">
        <v>308</v>
      </c>
      <c r="Q95" s="17">
        <v>8200</v>
      </c>
      <c r="R95" s="18">
        <v>68.44</v>
      </c>
      <c r="S95" s="19">
        <v>2975.9354999999996</v>
      </c>
      <c r="T95" s="20" t="s">
        <v>33</v>
      </c>
      <c r="U95" s="21" t="s">
        <v>42</v>
      </c>
      <c r="V95" s="22" t="s">
        <v>43</v>
      </c>
      <c r="W95" s="23">
        <v>1</v>
      </c>
      <c r="X95" s="24"/>
    </row>
    <row r="96" spans="1:24" s="1" customFormat="1" ht="108" customHeight="1" x14ac:dyDescent="0.3">
      <c r="A96" s="11" t="s">
        <v>56</v>
      </c>
      <c r="B96" s="11" t="s">
        <v>309</v>
      </c>
      <c r="C96" s="12" t="s">
        <v>310</v>
      </c>
      <c r="D96" s="13"/>
      <c r="E96" s="67" t="str">
        <f>HYPERLINK("https://www.google.ru/search?q=JT738112-NV&amp;newwindow=1&amp;tbm=isch","Еще фото")</f>
        <v>Еще фото</v>
      </c>
      <c r="F96" s="14"/>
      <c r="G96" s="11" t="s">
        <v>300</v>
      </c>
      <c r="H96" s="11" t="s">
        <v>27</v>
      </c>
      <c r="I96" s="15" t="s">
        <v>301</v>
      </c>
      <c r="J96" s="15" t="s">
        <v>162</v>
      </c>
      <c r="K96" s="16" t="s">
        <v>59</v>
      </c>
      <c r="L96" s="15" t="s">
        <v>311</v>
      </c>
      <c r="M96" s="15"/>
      <c r="N96" s="15" t="s">
        <v>31</v>
      </c>
      <c r="O96" s="15"/>
      <c r="P96" s="16" t="s">
        <v>312</v>
      </c>
      <c r="Q96" s="17">
        <v>4499</v>
      </c>
      <c r="R96" s="18">
        <v>30</v>
      </c>
      <c r="S96" s="19">
        <v>3621.6949999999997</v>
      </c>
      <c r="T96" s="20" t="s">
        <v>63</v>
      </c>
      <c r="U96" s="21" t="s">
        <v>64</v>
      </c>
      <c r="V96" s="22" t="s">
        <v>65</v>
      </c>
      <c r="W96" s="23">
        <v>1</v>
      </c>
      <c r="X96" s="24"/>
    </row>
    <row r="97" spans="1:24" s="1" customFormat="1" ht="35" customHeight="1" x14ac:dyDescent="0.3">
      <c r="A97" s="11" t="s">
        <v>101</v>
      </c>
      <c r="B97" s="11" t="s">
        <v>313</v>
      </c>
      <c r="C97" s="12" t="s">
        <v>314</v>
      </c>
      <c r="D97" s="85"/>
      <c r="E97" s="67" t="str">
        <f>HYPERLINK("https://www.google.ru/search?q=EBYKT00100-BMC0&amp;newwindow=1&amp;tbm=isch","Еще фото")</f>
        <v>Еще фото</v>
      </c>
      <c r="F97" s="14" t="s">
        <v>253</v>
      </c>
      <c r="G97" s="11" t="s">
        <v>315</v>
      </c>
      <c r="H97" s="11" t="s">
        <v>27</v>
      </c>
      <c r="I97" s="15" t="s">
        <v>316</v>
      </c>
      <c r="J97" s="15" t="s">
        <v>28</v>
      </c>
      <c r="K97" s="16" t="s">
        <v>45</v>
      </c>
      <c r="L97" s="83"/>
      <c r="M97" s="15"/>
      <c r="N97" s="15" t="s">
        <v>31</v>
      </c>
      <c r="O97" s="15"/>
      <c r="P97" s="16" t="s">
        <v>74</v>
      </c>
      <c r="Q97" s="17">
        <v>3399</v>
      </c>
      <c r="R97" s="18">
        <v>63.29</v>
      </c>
      <c r="S97" s="19">
        <v>1434.9354999999998</v>
      </c>
      <c r="T97" s="20" t="s">
        <v>33</v>
      </c>
      <c r="U97" s="21" t="s">
        <v>52</v>
      </c>
      <c r="V97" s="23">
        <v>48</v>
      </c>
      <c r="W97" s="23">
        <v>1</v>
      </c>
      <c r="X97" s="24"/>
    </row>
    <row r="98" spans="1:24" s="1" customFormat="1" ht="35" customHeight="1" x14ac:dyDescent="0.3">
      <c r="A98" s="25" t="s">
        <v>101</v>
      </c>
      <c r="B98" s="25" t="s">
        <v>313</v>
      </c>
      <c r="C98" s="12" t="s">
        <v>314</v>
      </c>
      <c r="D98" s="86"/>
      <c r="E98" s="67" t="str">
        <f>HYPERLINK("https://www.google.ru/search?q=EBYKT00100-BMC0&amp;newwindow=1&amp;tbm=isch","Еще фото")</f>
        <v>Еще фото</v>
      </c>
      <c r="F98" s="14" t="s">
        <v>253</v>
      </c>
      <c r="G98" s="25" t="s">
        <v>315</v>
      </c>
      <c r="H98" s="25" t="s">
        <v>27</v>
      </c>
      <c r="I98" s="25" t="s">
        <v>316</v>
      </c>
      <c r="J98" s="15" t="s">
        <v>28</v>
      </c>
      <c r="K98" s="16" t="s">
        <v>45</v>
      </c>
      <c r="L98" s="88"/>
      <c r="M98" s="15"/>
      <c r="N98" s="15" t="s">
        <v>31</v>
      </c>
      <c r="O98" s="15"/>
      <c r="P98" s="16" t="s">
        <v>74</v>
      </c>
      <c r="Q98" s="17">
        <v>3399</v>
      </c>
      <c r="R98" s="18">
        <v>63.29</v>
      </c>
      <c r="S98" s="19">
        <v>1434.9354999999998</v>
      </c>
      <c r="T98" s="20" t="s">
        <v>33</v>
      </c>
      <c r="U98" s="21" t="s">
        <v>40</v>
      </c>
      <c r="V98" s="23">
        <v>50</v>
      </c>
      <c r="W98" s="23">
        <v>1</v>
      </c>
      <c r="X98" s="24"/>
    </row>
    <row r="99" spans="1:24" s="1" customFormat="1" ht="37.049999999999997" customHeight="1" x14ac:dyDescent="0.3">
      <c r="A99" s="25" t="s">
        <v>101</v>
      </c>
      <c r="B99" s="25" t="s">
        <v>313</v>
      </c>
      <c r="C99" s="12" t="s">
        <v>314</v>
      </c>
      <c r="D99" s="87"/>
      <c r="E99" s="67" t="str">
        <f>HYPERLINK("https://www.google.ru/search?q=EBYKT00100-BMC0&amp;newwindow=1&amp;tbm=isch","Еще фото")</f>
        <v>Еще фото</v>
      </c>
      <c r="F99" s="14" t="s">
        <v>253</v>
      </c>
      <c r="G99" s="25" t="s">
        <v>315</v>
      </c>
      <c r="H99" s="25" t="s">
        <v>27</v>
      </c>
      <c r="I99" s="25" t="s">
        <v>316</v>
      </c>
      <c r="J99" s="15" t="s">
        <v>28</v>
      </c>
      <c r="K99" s="16" t="s">
        <v>45</v>
      </c>
      <c r="L99" s="84"/>
      <c r="M99" s="15"/>
      <c r="N99" s="15" t="s">
        <v>31</v>
      </c>
      <c r="O99" s="15"/>
      <c r="P99" s="16" t="s">
        <v>74</v>
      </c>
      <c r="Q99" s="17">
        <v>3399</v>
      </c>
      <c r="R99" s="18">
        <v>63.29</v>
      </c>
      <c r="S99" s="19">
        <v>1434.9354999999998</v>
      </c>
      <c r="T99" s="20" t="s">
        <v>33</v>
      </c>
      <c r="U99" s="21" t="s">
        <v>42</v>
      </c>
      <c r="V99" s="23">
        <v>52</v>
      </c>
      <c r="W99" s="23">
        <v>1</v>
      </c>
      <c r="X99" s="24"/>
    </row>
    <row r="100" spans="1:24" s="1" customFormat="1" ht="108" customHeight="1" x14ac:dyDescent="0.3">
      <c r="A100" s="11" t="s">
        <v>317</v>
      </c>
      <c r="B100" s="11" t="s">
        <v>318</v>
      </c>
      <c r="C100" s="12" t="s">
        <v>319</v>
      </c>
      <c r="D100" s="13"/>
      <c r="E100" s="67" t="str">
        <f>HYPERLINK("https://www.google.ru/search?q=113939-0900&amp;newwindow=1&amp;tbm=isch","Еще фото")</f>
        <v>Еще фото</v>
      </c>
      <c r="F100" s="14"/>
      <c r="G100" s="11" t="s">
        <v>320</v>
      </c>
      <c r="H100" s="11" t="s">
        <v>69</v>
      </c>
      <c r="I100" s="15" t="s">
        <v>287</v>
      </c>
      <c r="J100" s="15" t="s">
        <v>28</v>
      </c>
      <c r="K100" s="16" t="s">
        <v>71</v>
      </c>
      <c r="L100" s="15" t="s">
        <v>321</v>
      </c>
      <c r="M100" s="15"/>
      <c r="N100" s="15" t="s">
        <v>322</v>
      </c>
      <c r="O100" s="15"/>
      <c r="P100" s="16" t="s">
        <v>323</v>
      </c>
      <c r="Q100" s="17">
        <v>1199</v>
      </c>
      <c r="R100" s="18">
        <v>66.819999999999993</v>
      </c>
      <c r="S100" s="26">
        <v>457.43549999999993</v>
      </c>
      <c r="T100" s="20" t="s">
        <v>75</v>
      </c>
      <c r="U100" s="21" t="s">
        <v>324</v>
      </c>
      <c r="V100" s="22" t="s">
        <v>77</v>
      </c>
      <c r="W100" s="23">
        <v>1</v>
      </c>
      <c r="X100" s="24"/>
    </row>
    <row r="101" spans="1:24" s="1" customFormat="1" ht="108" customHeight="1" x14ac:dyDescent="0.3">
      <c r="A101" s="11" t="s">
        <v>317</v>
      </c>
      <c r="B101" s="11" t="s">
        <v>318</v>
      </c>
      <c r="C101" s="12" t="s">
        <v>325</v>
      </c>
      <c r="D101" s="13"/>
      <c r="E101" s="67" t="str">
        <f>HYPERLINK("https://www.google.ru/search?q=113939-8059&amp;newwindow=1&amp;tbm=isch","Еще фото")</f>
        <v>Еще фото</v>
      </c>
      <c r="F101" s="14"/>
      <c r="G101" s="11" t="s">
        <v>320</v>
      </c>
      <c r="H101" s="11" t="s">
        <v>69</v>
      </c>
      <c r="I101" s="15" t="s">
        <v>287</v>
      </c>
      <c r="J101" s="15" t="s">
        <v>28</v>
      </c>
      <c r="K101" s="16" t="s">
        <v>71</v>
      </c>
      <c r="L101" s="15" t="s">
        <v>326</v>
      </c>
      <c r="M101" s="15"/>
      <c r="N101" s="15" t="s">
        <v>31</v>
      </c>
      <c r="O101" s="15"/>
      <c r="P101" s="16" t="s">
        <v>323</v>
      </c>
      <c r="Q101" s="17">
        <v>1199</v>
      </c>
      <c r="R101" s="18">
        <v>66.819999999999993</v>
      </c>
      <c r="S101" s="26">
        <v>457.43549999999993</v>
      </c>
      <c r="T101" s="20" t="s">
        <v>75</v>
      </c>
      <c r="U101" s="21" t="s">
        <v>324</v>
      </c>
      <c r="V101" s="22" t="s">
        <v>77</v>
      </c>
      <c r="W101" s="23">
        <v>1</v>
      </c>
      <c r="X101" s="24"/>
    </row>
    <row r="102" spans="1:24" s="1" customFormat="1" ht="52.05" customHeight="1" x14ac:dyDescent="0.3">
      <c r="A102" s="11" t="s">
        <v>327</v>
      </c>
      <c r="B102" s="11" t="s">
        <v>328</v>
      </c>
      <c r="C102" s="12" t="s">
        <v>329</v>
      </c>
      <c r="D102" s="81"/>
      <c r="E102" s="67" t="str">
        <f>HYPERLINK("https://www.google.ru/search?q=D1GA2202-02&amp;newwindow=1&amp;tbm=isch","Еще фото")</f>
        <v>Еще фото</v>
      </c>
      <c r="F102" s="14"/>
      <c r="G102" s="11" t="s">
        <v>153</v>
      </c>
      <c r="H102" s="11" t="s">
        <v>93</v>
      </c>
      <c r="I102" s="15" t="s">
        <v>154</v>
      </c>
      <c r="J102" s="15" t="s">
        <v>162</v>
      </c>
      <c r="K102" s="16" t="s">
        <v>71</v>
      </c>
      <c r="L102" s="83" t="s">
        <v>330</v>
      </c>
      <c r="M102" s="15" t="s">
        <v>331</v>
      </c>
      <c r="N102" s="15" t="s">
        <v>38</v>
      </c>
      <c r="O102" s="15"/>
      <c r="P102" s="16" t="s">
        <v>332</v>
      </c>
      <c r="Q102" s="17">
        <v>17199</v>
      </c>
      <c r="R102" s="18">
        <v>87.05</v>
      </c>
      <c r="S102" s="19">
        <v>2561.9354999999996</v>
      </c>
      <c r="T102" s="20" t="s">
        <v>333</v>
      </c>
      <c r="U102" s="21" t="s">
        <v>334</v>
      </c>
      <c r="V102" s="29">
        <v>37.5</v>
      </c>
      <c r="W102" s="23">
        <v>1</v>
      </c>
      <c r="X102" s="24"/>
    </row>
    <row r="103" spans="1:24" s="1" customFormat="1" ht="61.05" customHeight="1" x14ac:dyDescent="0.3">
      <c r="A103" s="25" t="s">
        <v>327</v>
      </c>
      <c r="B103" s="25" t="s">
        <v>328</v>
      </c>
      <c r="C103" s="12" t="s">
        <v>329</v>
      </c>
      <c r="D103" s="82"/>
      <c r="E103" s="67" t="str">
        <f>HYPERLINK("https://www.google.ru/search?q=D1GA2202-02&amp;newwindow=1&amp;tbm=isch","Еще фото")</f>
        <v>Еще фото</v>
      </c>
      <c r="F103" s="14"/>
      <c r="G103" s="25" t="s">
        <v>153</v>
      </c>
      <c r="H103" s="25" t="s">
        <v>93</v>
      </c>
      <c r="I103" s="25" t="s">
        <v>154</v>
      </c>
      <c r="J103" s="15" t="s">
        <v>162</v>
      </c>
      <c r="K103" s="16" t="s">
        <v>71</v>
      </c>
      <c r="L103" s="84"/>
      <c r="M103" s="15" t="s">
        <v>331</v>
      </c>
      <c r="N103" s="15" t="s">
        <v>38</v>
      </c>
      <c r="O103" s="15"/>
      <c r="P103" s="16" t="s">
        <v>332</v>
      </c>
      <c r="Q103" s="17">
        <v>17199</v>
      </c>
      <c r="R103" s="18">
        <v>87.05</v>
      </c>
      <c r="S103" s="19">
        <v>2561.9354999999996</v>
      </c>
      <c r="T103" s="20" t="s">
        <v>333</v>
      </c>
      <c r="U103" s="21" t="s">
        <v>335</v>
      </c>
      <c r="V103" s="23">
        <v>38</v>
      </c>
      <c r="W103" s="23">
        <v>4</v>
      </c>
      <c r="X103" s="24"/>
    </row>
    <row r="104" spans="1:24" s="1" customFormat="1" ht="35" customHeight="1" x14ac:dyDescent="0.3">
      <c r="A104" s="11" t="s">
        <v>327</v>
      </c>
      <c r="B104" s="11" t="s">
        <v>336</v>
      </c>
      <c r="C104" s="12" t="s">
        <v>337</v>
      </c>
      <c r="D104" s="85"/>
      <c r="E104" s="67" t="str">
        <f>HYPERLINK("https://www.google.ru/search?q=P1GA1925-03&amp;newwindow=1&amp;tbm=isch","Еще фото")</f>
        <v>Еще фото</v>
      </c>
      <c r="F104" s="14"/>
      <c r="G104" s="11" t="s">
        <v>338</v>
      </c>
      <c r="H104" s="11" t="s">
        <v>93</v>
      </c>
      <c r="I104" s="15" t="s">
        <v>154</v>
      </c>
      <c r="J104" s="15" t="s">
        <v>339</v>
      </c>
      <c r="K104" s="16" t="s">
        <v>45</v>
      </c>
      <c r="L104" s="83" t="s">
        <v>340</v>
      </c>
      <c r="M104" s="15"/>
      <c r="N104" s="15" t="s">
        <v>341</v>
      </c>
      <c r="O104" s="15"/>
      <c r="P104" s="16" t="s">
        <v>342</v>
      </c>
      <c r="Q104" s="17">
        <v>6599</v>
      </c>
      <c r="R104" s="18">
        <v>70.94</v>
      </c>
      <c r="S104" s="19">
        <v>2205.4354999999996</v>
      </c>
      <c r="T104" s="20" t="s">
        <v>333</v>
      </c>
      <c r="U104" s="21" t="s">
        <v>343</v>
      </c>
      <c r="V104" s="23">
        <v>41</v>
      </c>
      <c r="W104" s="23">
        <v>61</v>
      </c>
      <c r="X104" s="24"/>
    </row>
    <row r="105" spans="1:24" s="1" customFormat="1" ht="35" customHeight="1" x14ac:dyDescent="0.3">
      <c r="A105" s="25" t="s">
        <v>327</v>
      </c>
      <c r="B105" s="25" t="s">
        <v>336</v>
      </c>
      <c r="C105" s="12" t="s">
        <v>337</v>
      </c>
      <c r="D105" s="86"/>
      <c r="E105" s="67" t="str">
        <f>HYPERLINK("https://www.google.ru/search?q=P1GA1925-03&amp;newwindow=1&amp;tbm=isch","Еще фото")</f>
        <v>Еще фото</v>
      </c>
      <c r="F105" s="14"/>
      <c r="G105" s="25" t="s">
        <v>338</v>
      </c>
      <c r="H105" s="25" t="s">
        <v>93</v>
      </c>
      <c r="I105" s="25" t="s">
        <v>154</v>
      </c>
      <c r="J105" s="15" t="s">
        <v>339</v>
      </c>
      <c r="K105" s="16" t="s">
        <v>45</v>
      </c>
      <c r="L105" s="88"/>
      <c r="M105" s="15"/>
      <c r="N105" s="15" t="s">
        <v>341</v>
      </c>
      <c r="O105" s="15"/>
      <c r="P105" s="16" t="s">
        <v>342</v>
      </c>
      <c r="Q105" s="17">
        <v>6599</v>
      </c>
      <c r="R105" s="18">
        <v>70.94</v>
      </c>
      <c r="S105" s="19">
        <v>2205.4354999999996</v>
      </c>
      <c r="T105" s="20" t="s">
        <v>333</v>
      </c>
      <c r="U105" s="21" t="s">
        <v>344</v>
      </c>
      <c r="V105" s="29">
        <v>41.5</v>
      </c>
      <c r="W105" s="23">
        <v>12</v>
      </c>
      <c r="X105" s="24"/>
    </row>
    <row r="106" spans="1:24" s="1" customFormat="1" ht="37.049999999999997" customHeight="1" x14ac:dyDescent="0.3">
      <c r="A106" s="25" t="s">
        <v>327</v>
      </c>
      <c r="B106" s="25" t="s">
        <v>336</v>
      </c>
      <c r="C106" s="12" t="s">
        <v>337</v>
      </c>
      <c r="D106" s="87"/>
      <c r="E106" s="67" t="str">
        <f>HYPERLINK("https://www.google.ru/search?q=P1GA1925-03&amp;newwindow=1&amp;tbm=isch","Еще фото")</f>
        <v>Еще фото</v>
      </c>
      <c r="F106" s="14"/>
      <c r="G106" s="25" t="s">
        <v>338</v>
      </c>
      <c r="H106" s="25" t="s">
        <v>93</v>
      </c>
      <c r="I106" s="25" t="s">
        <v>154</v>
      </c>
      <c r="J106" s="15" t="s">
        <v>339</v>
      </c>
      <c r="K106" s="16" t="s">
        <v>45</v>
      </c>
      <c r="L106" s="84"/>
      <c r="M106" s="15"/>
      <c r="N106" s="15" t="s">
        <v>341</v>
      </c>
      <c r="O106" s="15"/>
      <c r="P106" s="16" t="s">
        <v>342</v>
      </c>
      <c r="Q106" s="17">
        <v>6599</v>
      </c>
      <c r="R106" s="18">
        <v>70.94</v>
      </c>
      <c r="S106" s="19">
        <v>2205.4354999999996</v>
      </c>
      <c r="T106" s="20" t="s">
        <v>333</v>
      </c>
      <c r="U106" s="21" t="s">
        <v>345</v>
      </c>
      <c r="V106" s="23">
        <v>42</v>
      </c>
      <c r="W106" s="23">
        <v>33</v>
      </c>
      <c r="X106" s="24"/>
    </row>
    <row r="107" spans="1:24" s="1" customFormat="1" ht="26" customHeight="1" x14ac:dyDescent="0.3">
      <c r="A107" s="11" t="s">
        <v>327</v>
      </c>
      <c r="B107" s="11" t="s">
        <v>328</v>
      </c>
      <c r="C107" s="12" t="s">
        <v>346</v>
      </c>
      <c r="D107" s="85"/>
      <c r="E107" s="67" t="str">
        <f>HYPERLINK("https://www.google.ru/search?q=D1GA2202-01&amp;newwindow=1&amp;tbm=isch","Еще фото")</f>
        <v>Еще фото</v>
      </c>
      <c r="F107" s="14"/>
      <c r="G107" s="11" t="s">
        <v>153</v>
      </c>
      <c r="H107" s="11" t="s">
        <v>93</v>
      </c>
      <c r="I107" s="15" t="s">
        <v>154</v>
      </c>
      <c r="J107" s="15" t="s">
        <v>162</v>
      </c>
      <c r="K107" s="16" t="s">
        <v>71</v>
      </c>
      <c r="L107" s="83" t="s">
        <v>347</v>
      </c>
      <c r="M107" s="15" t="s">
        <v>331</v>
      </c>
      <c r="N107" s="15" t="s">
        <v>173</v>
      </c>
      <c r="O107" s="15"/>
      <c r="P107" s="16" t="s">
        <v>332</v>
      </c>
      <c r="Q107" s="17">
        <v>17199</v>
      </c>
      <c r="R107" s="18">
        <v>61.64</v>
      </c>
      <c r="S107" s="19">
        <v>7587.4354999999996</v>
      </c>
      <c r="T107" s="20" t="s">
        <v>333</v>
      </c>
      <c r="U107" s="21" t="s">
        <v>348</v>
      </c>
      <c r="V107" s="29">
        <v>36.5</v>
      </c>
      <c r="W107" s="23">
        <v>1</v>
      </c>
      <c r="X107" s="24"/>
    </row>
    <row r="108" spans="1:24" s="1" customFormat="1" ht="26" customHeight="1" x14ac:dyDescent="0.3">
      <c r="A108" s="25" t="s">
        <v>327</v>
      </c>
      <c r="B108" s="25" t="s">
        <v>328</v>
      </c>
      <c r="C108" s="12" t="s">
        <v>346</v>
      </c>
      <c r="D108" s="86"/>
      <c r="E108" s="67" t="str">
        <f>HYPERLINK("https://www.google.ru/search?q=D1GA2202-01&amp;newwindow=1&amp;tbm=isch","Еще фото")</f>
        <v>Еще фото</v>
      </c>
      <c r="F108" s="14"/>
      <c r="G108" s="25" t="s">
        <v>153</v>
      </c>
      <c r="H108" s="25" t="s">
        <v>93</v>
      </c>
      <c r="I108" s="25" t="s">
        <v>154</v>
      </c>
      <c r="J108" s="15" t="s">
        <v>162</v>
      </c>
      <c r="K108" s="16" t="s">
        <v>71</v>
      </c>
      <c r="L108" s="88"/>
      <c r="M108" s="15" t="s">
        <v>331</v>
      </c>
      <c r="N108" s="15" t="s">
        <v>173</v>
      </c>
      <c r="O108" s="15"/>
      <c r="P108" s="16" t="s">
        <v>332</v>
      </c>
      <c r="Q108" s="17">
        <v>17199</v>
      </c>
      <c r="R108" s="18">
        <v>61.64</v>
      </c>
      <c r="S108" s="19">
        <v>7587.4354999999996</v>
      </c>
      <c r="T108" s="20" t="s">
        <v>333</v>
      </c>
      <c r="U108" s="21" t="s">
        <v>349</v>
      </c>
      <c r="V108" s="23">
        <v>37</v>
      </c>
      <c r="W108" s="23">
        <v>2</v>
      </c>
      <c r="X108" s="24"/>
    </row>
    <row r="109" spans="1:24" s="1" customFormat="1" ht="26" customHeight="1" x14ac:dyDescent="0.3">
      <c r="A109" s="25" t="s">
        <v>327</v>
      </c>
      <c r="B109" s="25" t="s">
        <v>328</v>
      </c>
      <c r="C109" s="12" t="s">
        <v>346</v>
      </c>
      <c r="D109" s="86"/>
      <c r="E109" s="67" t="str">
        <f>HYPERLINK("https://www.google.ru/search?q=D1GA2202-01&amp;newwindow=1&amp;tbm=isch","Еще фото")</f>
        <v>Еще фото</v>
      </c>
      <c r="F109" s="14"/>
      <c r="G109" s="25" t="s">
        <v>153</v>
      </c>
      <c r="H109" s="25" t="s">
        <v>93</v>
      </c>
      <c r="I109" s="25" t="s">
        <v>154</v>
      </c>
      <c r="J109" s="15" t="s">
        <v>162</v>
      </c>
      <c r="K109" s="16" t="s">
        <v>71</v>
      </c>
      <c r="L109" s="88"/>
      <c r="M109" s="15" t="s">
        <v>331</v>
      </c>
      <c r="N109" s="15" t="s">
        <v>173</v>
      </c>
      <c r="O109" s="15"/>
      <c r="P109" s="16" t="s">
        <v>332</v>
      </c>
      <c r="Q109" s="17">
        <v>17199</v>
      </c>
      <c r="R109" s="18">
        <v>61.64</v>
      </c>
      <c r="S109" s="19">
        <v>7587.4354999999996</v>
      </c>
      <c r="T109" s="20" t="s">
        <v>333</v>
      </c>
      <c r="U109" s="21" t="s">
        <v>334</v>
      </c>
      <c r="V109" s="29">
        <v>37.5</v>
      </c>
      <c r="W109" s="23">
        <v>2</v>
      </c>
      <c r="X109" s="24"/>
    </row>
    <row r="110" spans="1:24" s="1" customFormat="1" ht="26" customHeight="1" x14ac:dyDescent="0.3">
      <c r="A110" s="25" t="s">
        <v>327</v>
      </c>
      <c r="B110" s="25" t="s">
        <v>328</v>
      </c>
      <c r="C110" s="12" t="s">
        <v>346</v>
      </c>
      <c r="D110" s="87"/>
      <c r="E110" s="67" t="str">
        <f>HYPERLINK("https://www.google.ru/search?q=D1GA2202-01&amp;newwindow=1&amp;tbm=isch","Еще фото")</f>
        <v>Еще фото</v>
      </c>
      <c r="F110" s="14"/>
      <c r="G110" s="25" t="s">
        <v>153</v>
      </c>
      <c r="H110" s="25" t="s">
        <v>93</v>
      </c>
      <c r="I110" s="25" t="s">
        <v>154</v>
      </c>
      <c r="J110" s="15" t="s">
        <v>162</v>
      </c>
      <c r="K110" s="16" t="s">
        <v>71</v>
      </c>
      <c r="L110" s="84"/>
      <c r="M110" s="15" t="s">
        <v>331</v>
      </c>
      <c r="N110" s="15" t="s">
        <v>173</v>
      </c>
      <c r="O110" s="15"/>
      <c r="P110" s="16" t="s">
        <v>332</v>
      </c>
      <c r="Q110" s="17">
        <v>17199</v>
      </c>
      <c r="R110" s="18">
        <v>61.64</v>
      </c>
      <c r="S110" s="19">
        <v>7587.4354999999996</v>
      </c>
      <c r="T110" s="20" t="s">
        <v>333</v>
      </c>
      <c r="U110" s="21" t="s">
        <v>335</v>
      </c>
      <c r="V110" s="23">
        <v>38</v>
      </c>
      <c r="W110" s="23">
        <v>2</v>
      </c>
      <c r="X110" s="24"/>
    </row>
    <row r="111" spans="1:24" s="1" customFormat="1" ht="13.05" customHeight="1" x14ac:dyDescent="0.3">
      <c r="A111" s="11" t="s">
        <v>327</v>
      </c>
      <c r="B111" s="11" t="s">
        <v>350</v>
      </c>
      <c r="C111" s="12" t="s">
        <v>351</v>
      </c>
      <c r="D111" s="85"/>
      <c r="E111" s="67" t="str">
        <f t="shared" ref="E111:E118" si="0">HYPERLINK("https://www.google.ru/search?q=J1GD2134-23&amp;newwindow=1&amp;tbm=isch","Еще фото")</f>
        <v>Еще фото</v>
      </c>
      <c r="F111" s="14"/>
      <c r="G111" s="11" t="s">
        <v>153</v>
      </c>
      <c r="H111" s="11" t="s">
        <v>93</v>
      </c>
      <c r="I111" s="15" t="s">
        <v>154</v>
      </c>
      <c r="J111" s="15" t="s">
        <v>162</v>
      </c>
      <c r="K111" s="16" t="s">
        <v>29</v>
      </c>
      <c r="L111" s="83" t="s">
        <v>352</v>
      </c>
      <c r="M111" s="15"/>
      <c r="N111" s="15" t="s">
        <v>218</v>
      </c>
      <c r="O111" s="15"/>
      <c r="P111" s="16" t="s">
        <v>353</v>
      </c>
      <c r="Q111" s="17">
        <v>22999</v>
      </c>
      <c r="R111" s="18">
        <v>46</v>
      </c>
      <c r="S111" s="19">
        <v>14282.378999999997</v>
      </c>
      <c r="T111" s="20" t="s">
        <v>333</v>
      </c>
      <c r="U111" s="30" t="s">
        <v>354</v>
      </c>
      <c r="V111" s="23">
        <v>36</v>
      </c>
      <c r="W111" s="23">
        <v>2</v>
      </c>
      <c r="X111" s="24"/>
    </row>
    <row r="112" spans="1:24" s="1" customFormat="1" ht="13.05" customHeight="1" x14ac:dyDescent="0.3">
      <c r="A112" s="25" t="s">
        <v>327</v>
      </c>
      <c r="B112" s="25" t="s">
        <v>350</v>
      </c>
      <c r="C112" s="12" t="s">
        <v>351</v>
      </c>
      <c r="D112" s="86"/>
      <c r="E112" s="67" t="str">
        <f t="shared" si="0"/>
        <v>Еще фото</v>
      </c>
      <c r="F112" s="14"/>
      <c r="G112" s="25" t="s">
        <v>153</v>
      </c>
      <c r="H112" s="25" t="s">
        <v>93</v>
      </c>
      <c r="I112" s="25" t="s">
        <v>154</v>
      </c>
      <c r="J112" s="15" t="s">
        <v>162</v>
      </c>
      <c r="K112" s="16" t="s">
        <v>29</v>
      </c>
      <c r="L112" s="88"/>
      <c r="M112" s="15"/>
      <c r="N112" s="15" t="s">
        <v>218</v>
      </c>
      <c r="O112" s="15"/>
      <c r="P112" s="16" t="s">
        <v>353</v>
      </c>
      <c r="Q112" s="17">
        <v>22999</v>
      </c>
      <c r="R112" s="18">
        <v>46</v>
      </c>
      <c r="S112" s="19">
        <v>14282.378999999997</v>
      </c>
      <c r="T112" s="20" t="s">
        <v>333</v>
      </c>
      <c r="U112" s="21" t="s">
        <v>349</v>
      </c>
      <c r="V112" s="23">
        <v>37</v>
      </c>
      <c r="W112" s="23">
        <v>4</v>
      </c>
      <c r="X112" s="24"/>
    </row>
    <row r="113" spans="1:24" s="1" customFormat="1" ht="13.05" customHeight="1" x14ac:dyDescent="0.3">
      <c r="A113" s="25" t="s">
        <v>327</v>
      </c>
      <c r="B113" s="25" t="s">
        <v>350</v>
      </c>
      <c r="C113" s="12" t="s">
        <v>351</v>
      </c>
      <c r="D113" s="86"/>
      <c r="E113" s="67" t="str">
        <f t="shared" si="0"/>
        <v>Еще фото</v>
      </c>
      <c r="F113" s="14"/>
      <c r="G113" s="25" t="s">
        <v>153</v>
      </c>
      <c r="H113" s="25" t="s">
        <v>93</v>
      </c>
      <c r="I113" s="25" t="s">
        <v>154</v>
      </c>
      <c r="J113" s="15" t="s">
        <v>162</v>
      </c>
      <c r="K113" s="16" t="s">
        <v>29</v>
      </c>
      <c r="L113" s="88"/>
      <c r="M113" s="15"/>
      <c r="N113" s="15" t="s">
        <v>218</v>
      </c>
      <c r="O113" s="15"/>
      <c r="P113" s="16" t="s">
        <v>353</v>
      </c>
      <c r="Q113" s="17">
        <v>22999</v>
      </c>
      <c r="R113" s="18">
        <v>46</v>
      </c>
      <c r="S113" s="19">
        <v>14282.378999999997</v>
      </c>
      <c r="T113" s="20" t="s">
        <v>333</v>
      </c>
      <c r="U113" s="21" t="s">
        <v>334</v>
      </c>
      <c r="V113" s="29">
        <v>37.5</v>
      </c>
      <c r="W113" s="23">
        <v>2</v>
      </c>
      <c r="X113" s="24"/>
    </row>
    <row r="114" spans="1:24" s="1" customFormat="1" ht="13.05" customHeight="1" x14ac:dyDescent="0.3">
      <c r="A114" s="25" t="s">
        <v>327</v>
      </c>
      <c r="B114" s="25" t="s">
        <v>350</v>
      </c>
      <c r="C114" s="12" t="s">
        <v>351</v>
      </c>
      <c r="D114" s="86"/>
      <c r="E114" s="67" t="str">
        <f t="shared" si="0"/>
        <v>Еще фото</v>
      </c>
      <c r="F114" s="14"/>
      <c r="G114" s="25" t="s">
        <v>153</v>
      </c>
      <c r="H114" s="25" t="s">
        <v>93</v>
      </c>
      <c r="I114" s="25" t="s">
        <v>154</v>
      </c>
      <c r="J114" s="15" t="s">
        <v>162</v>
      </c>
      <c r="K114" s="16" t="s">
        <v>29</v>
      </c>
      <c r="L114" s="88"/>
      <c r="M114" s="15"/>
      <c r="N114" s="15" t="s">
        <v>218</v>
      </c>
      <c r="O114" s="15"/>
      <c r="P114" s="16" t="s">
        <v>353</v>
      </c>
      <c r="Q114" s="17">
        <v>22999</v>
      </c>
      <c r="R114" s="18">
        <v>46</v>
      </c>
      <c r="S114" s="19">
        <v>14282.378999999997</v>
      </c>
      <c r="T114" s="20" t="s">
        <v>333</v>
      </c>
      <c r="U114" s="21" t="s">
        <v>335</v>
      </c>
      <c r="V114" s="23">
        <v>38</v>
      </c>
      <c r="W114" s="23">
        <v>4</v>
      </c>
      <c r="X114" s="24"/>
    </row>
    <row r="115" spans="1:24" s="1" customFormat="1" ht="13.05" customHeight="1" x14ac:dyDescent="0.3">
      <c r="A115" s="25" t="s">
        <v>327</v>
      </c>
      <c r="B115" s="25" t="s">
        <v>350</v>
      </c>
      <c r="C115" s="12" t="s">
        <v>351</v>
      </c>
      <c r="D115" s="86"/>
      <c r="E115" s="67" t="str">
        <f t="shared" si="0"/>
        <v>Еще фото</v>
      </c>
      <c r="F115" s="14"/>
      <c r="G115" s="25" t="s">
        <v>153</v>
      </c>
      <c r="H115" s="25" t="s">
        <v>93</v>
      </c>
      <c r="I115" s="25" t="s">
        <v>154</v>
      </c>
      <c r="J115" s="15" t="s">
        <v>162</v>
      </c>
      <c r="K115" s="16" t="s">
        <v>29</v>
      </c>
      <c r="L115" s="88"/>
      <c r="M115" s="15"/>
      <c r="N115" s="15" t="s">
        <v>218</v>
      </c>
      <c r="O115" s="15"/>
      <c r="P115" s="16" t="s">
        <v>353</v>
      </c>
      <c r="Q115" s="17">
        <v>22999</v>
      </c>
      <c r="R115" s="18">
        <v>46</v>
      </c>
      <c r="S115" s="19">
        <v>14282.378999999997</v>
      </c>
      <c r="T115" s="20" t="s">
        <v>333</v>
      </c>
      <c r="U115" s="21" t="s">
        <v>355</v>
      </c>
      <c r="V115" s="23">
        <v>39</v>
      </c>
      <c r="W115" s="23">
        <v>4</v>
      </c>
      <c r="X115" s="24"/>
    </row>
    <row r="116" spans="1:24" s="1" customFormat="1" ht="13.05" customHeight="1" x14ac:dyDescent="0.3">
      <c r="A116" s="25" t="s">
        <v>327</v>
      </c>
      <c r="B116" s="25" t="s">
        <v>350</v>
      </c>
      <c r="C116" s="12" t="s">
        <v>351</v>
      </c>
      <c r="D116" s="86"/>
      <c r="E116" s="67" t="str">
        <f t="shared" si="0"/>
        <v>Еще фото</v>
      </c>
      <c r="F116" s="14"/>
      <c r="G116" s="25" t="s">
        <v>153</v>
      </c>
      <c r="H116" s="25" t="s">
        <v>93</v>
      </c>
      <c r="I116" s="25" t="s">
        <v>154</v>
      </c>
      <c r="J116" s="15" t="s">
        <v>162</v>
      </c>
      <c r="K116" s="16" t="s">
        <v>29</v>
      </c>
      <c r="L116" s="88"/>
      <c r="M116" s="15"/>
      <c r="N116" s="15" t="s">
        <v>218</v>
      </c>
      <c r="O116" s="15"/>
      <c r="P116" s="16" t="s">
        <v>353</v>
      </c>
      <c r="Q116" s="17">
        <v>22999</v>
      </c>
      <c r="R116" s="18">
        <v>46</v>
      </c>
      <c r="S116" s="19">
        <v>14282.378999999997</v>
      </c>
      <c r="T116" s="20" t="s">
        <v>333</v>
      </c>
      <c r="U116" s="21" t="s">
        <v>356</v>
      </c>
      <c r="V116" s="29">
        <v>39.5</v>
      </c>
      <c r="W116" s="23">
        <v>2</v>
      </c>
      <c r="X116" s="24"/>
    </row>
    <row r="117" spans="1:24" s="1" customFormat="1" ht="13.05" customHeight="1" x14ac:dyDescent="0.3">
      <c r="A117" s="25" t="s">
        <v>327</v>
      </c>
      <c r="B117" s="25" t="s">
        <v>350</v>
      </c>
      <c r="C117" s="12" t="s">
        <v>351</v>
      </c>
      <c r="D117" s="86"/>
      <c r="E117" s="67" t="str">
        <f t="shared" si="0"/>
        <v>Еще фото</v>
      </c>
      <c r="F117" s="14"/>
      <c r="G117" s="25" t="s">
        <v>153</v>
      </c>
      <c r="H117" s="25" t="s">
        <v>93</v>
      </c>
      <c r="I117" s="25" t="s">
        <v>154</v>
      </c>
      <c r="J117" s="15" t="s">
        <v>162</v>
      </c>
      <c r="K117" s="16" t="s">
        <v>29</v>
      </c>
      <c r="L117" s="88"/>
      <c r="M117" s="15"/>
      <c r="N117" s="15" t="s">
        <v>218</v>
      </c>
      <c r="O117" s="15"/>
      <c r="P117" s="16" t="s">
        <v>353</v>
      </c>
      <c r="Q117" s="17">
        <v>22999</v>
      </c>
      <c r="R117" s="18">
        <v>46</v>
      </c>
      <c r="S117" s="19">
        <v>14282.378999999997</v>
      </c>
      <c r="T117" s="20" t="s">
        <v>333</v>
      </c>
      <c r="U117" s="21" t="s">
        <v>357</v>
      </c>
      <c r="V117" s="23">
        <v>40</v>
      </c>
      <c r="W117" s="23">
        <v>1</v>
      </c>
      <c r="X117" s="24"/>
    </row>
    <row r="118" spans="1:24" s="1" customFormat="1" ht="18" customHeight="1" x14ac:dyDescent="0.3">
      <c r="A118" s="25" t="s">
        <v>327</v>
      </c>
      <c r="B118" s="25" t="s">
        <v>350</v>
      </c>
      <c r="C118" s="12" t="s">
        <v>351</v>
      </c>
      <c r="D118" s="87"/>
      <c r="E118" s="67" t="str">
        <f t="shared" si="0"/>
        <v>Еще фото</v>
      </c>
      <c r="F118" s="14"/>
      <c r="G118" s="25" t="s">
        <v>153</v>
      </c>
      <c r="H118" s="25" t="s">
        <v>93</v>
      </c>
      <c r="I118" s="25" t="s">
        <v>154</v>
      </c>
      <c r="J118" s="15" t="s">
        <v>162</v>
      </c>
      <c r="K118" s="16" t="s">
        <v>29</v>
      </c>
      <c r="L118" s="84"/>
      <c r="M118" s="15"/>
      <c r="N118" s="15" t="s">
        <v>218</v>
      </c>
      <c r="O118" s="15"/>
      <c r="P118" s="16" t="s">
        <v>353</v>
      </c>
      <c r="Q118" s="17">
        <v>22999</v>
      </c>
      <c r="R118" s="18">
        <v>46</v>
      </c>
      <c r="S118" s="19">
        <v>14282.378999999997</v>
      </c>
      <c r="T118" s="20" t="s">
        <v>333</v>
      </c>
      <c r="U118" s="21" t="s">
        <v>343</v>
      </c>
      <c r="V118" s="23">
        <v>41</v>
      </c>
      <c r="W118" s="23">
        <v>1</v>
      </c>
      <c r="X118" s="24"/>
    </row>
    <row r="119" spans="1:24" s="1" customFormat="1" ht="108" customHeight="1" x14ac:dyDescent="0.3">
      <c r="A119" s="11" t="s">
        <v>327</v>
      </c>
      <c r="B119" s="11" t="s">
        <v>358</v>
      </c>
      <c r="C119" s="12" t="s">
        <v>359</v>
      </c>
      <c r="D119" s="13"/>
      <c r="E119" s="67" t="str">
        <f>HYPERLINK("https://www.google.ru/search?q=61GC2220-26&amp;newwindow=1&amp;tbm=isch","Еще фото")</f>
        <v>Еще фото</v>
      </c>
      <c r="F119" s="14"/>
      <c r="G119" s="11" t="s">
        <v>153</v>
      </c>
      <c r="H119" s="11" t="s">
        <v>93</v>
      </c>
      <c r="I119" s="15" t="s">
        <v>154</v>
      </c>
      <c r="J119" s="15" t="s">
        <v>360</v>
      </c>
      <c r="K119" s="16" t="s">
        <v>45</v>
      </c>
      <c r="L119" s="15" t="s">
        <v>361</v>
      </c>
      <c r="M119" s="15" t="s">
        <v>331</v>
      </c>
      <c r="N119" s="15" t="s">
        <v>31</v>
      </c>
      <c r="O119" s="15"/>
      <c r="P119" s="16" t="s">
        <v>362</v>
      </c>
      <c r="Q119" s="17">
        <v>13999</v>
      </c>
      <c r="R119" s="18">
        <v>45.71</v>
      </c>
      <c r="S119" s="19">
        <v>8739.9884999999995</v>
      </c>
      <c r="T119" s="20" t="s">
        <v>333</v>
      </c>
      <c r="U119" s="21" t="s">
        <v>357</v>
      </c>
      <c r="V119" s="23">
        <v>40</v>
      </c>
      <c r="W119" s="23">
        <v>1</v>
      </c>
      <c r="X119" s="24"/>
    </row>
    <row r="120" spans="1:24" s="1" customFormat="1" ht="108" customHeight="1" x14ac:dyDescent="0.3">
      <c r="A120" s="11" t="s">
        <v>327</v>
      </c>
      <c r="B120" s="11" t="s">
        <v>363</v>
      </c>
      <c r="C120" s="12" t="s">
        <v>364</v>
      </c>
      <c r="D120" s="13"/>
      <c r="E120" s="67" t="str">
        <f>HYPERLINK("https://www.google.ru/search?q=J1GC2209-04&amp;newwindow=1&amp;tbm=isch","Еще фото")</f>
        <v>Еще фото</v>
      </c>
      <c r="F120" s="14"/>
      <c r="G120" s="11" t="s">
        <v>153</v>
      </c>
      <c r="H120" s="11" t="s">
        <v>93</v>
      </c>
      <c r="I120" s="15" t="s">
        <v>154</v>
      </c>
      <c r="J120" s="15" t="s">
        <v>162</v>
      </c>
      <c r="K120" s="16" t="s">
        <v>45</v>
      </c>
      <c r="L120" s="15" t="s">
        <v>365</v>
      </c>
      <c r="M120" s="15" t="s">
        <v>331</v>
      </c>
      <c r="N120" s="15" t="s">
        <v>218</v>
      </c>
      <c r="O120" s="15"/>
      <c r="P120" s="16" t="s">
        <v>362</v>
      </c>
      <c r="Q120" s="17">
        <v>15999</v>
      </c>
      <c r="R120" s="18">
        <v>45.62</v>
      </c>
      <c r="S120" s="19">
        <v>10004.988499999999</v>
      </c>
      <c r="T120" s="20" t="s">
        <v>333</v>
      </c>
      <c r="U120" s="21" t="s">
        <v>366</v>
      </c>
      <c r="V120" s="29">
        <v>43.5</v>
      </c>
      <c r="W120" s="23">
        <v>1</v>
      </c>
      <c r="X120" s="24"/>
    </row>
    <row r="121" spans="1:24" s="1" customFormat="1" ht="108" customHeight="1" x14ac:dyDescent="0.3">
      <c r="A121" s="11" t="s">
        <v>327</v>
      </c>
      <c r="B121" s="11" t="s">
        <v>367</v>
      </c>
      <c r="C121" s="12" t="s">
        <v>368</v>
      </c>
      <c r="D121" s="13"/>
      <c r="E121" s="67" t="str">
        <f>HYPERLINK("https://www.google.ru/search?q=61GC2275-56&amp;newwindow=1&amp;tbm=isch","Еще фото")</f>
        <v>Еще фото</v>
      </c>
      <c r="F121" s="14"/>
      <c r="G121" s="11" t="s">
        <v>153</v>
      </c>
      <c r="H121" s="11" t="s">
        <v>93</v>
      </c>
      <c r="I121" s="15" t="s">
        <v>154</v>
      </c>
      <c r="J121" s="15" t="s">
        <v>360</v>
      </c>
      <c r="K121" s="16" t="s">
        <v>45</v>
      </c>
      <c r="L121" s="15" t="s">
        <v>369</v>
      </c>
      <c r="M121" s="15" t="s">
        <v>331</v>
      </c>
      <c r="N121" s="15" t="s">
        <v>212</v>
      </c>
      <c r="O121" s="15"/>
      <c r="P121" s="16" t="s">
        <v>370</v>
      </c>
      <c r="Q121" s="17">
        <v>15799</v>
      </c>
      <c r="R121" s="18">
        <v>45.57</v>
      </c>
      <c r="S121" s="19">
        <v>9889.9884999999995</v>
      </c>
      <c r="T121" s="20" t="s">
        <v>333</v>
      </c>
      <c r="U121" s="21" t="s">
        <v>357</v>
      </c>
      <c r="V121" s="23">
        <v>40</v>
      </c>
      <c r="W121" s="23">
        <v>1</v>
      </c>
      <c r="X121" s="24"/>
    </row>
    <row r="122" spans="1:24" s="1" customFormat="1" ht="52.05" customHeight="1" x14ac:dyDescent="0.3">
      <c r="A122" s="11" t="s">
        <v>327</v>
      </c>
      <c r="B122" s="11" t="s">
        <v>371</v>
      </c>
      <c r="C122" s="12" t="s">
        <v>372</v>
      </c>
      <c r="D122" s="81"/>
      <c r="E122" s="67" t="str">
        <f>HYPERLINK("https://www.google.ru/search?q=V1GC2045-29&amp;newwindow=1&amp;tbm=isch","Еще фото")</f>
        <v>Еще фото</v>
      </c>
      <c r="F122" s="14"/>
      <c r="G122" s="11" t="s">
        <v>153</v>
      </c>
      <c r="H122" s="11" t="s">
        <v>93</v>
      </c>
      <c r="I122" s="15" t="s">
        <v>154</v>
      </c>
      <c r="J122" s="15" t="s">
        <v>162</v>
      </c>
      <c r="K122" s="16" t="s">
        <v>29</v>
      </c>
      <c r="L122" s="83" t="s">
        <v>373</v>
      </c>
      <c r="M122" s="15" t="s">
        <v>331</v>
      </c>
      <c r="N122" s="15" t="s">
        <v>122</v>
      </c>
      <c r="O122" s="15"/>
      <c r="P122" s="16" t="s">
        <v>353</v>
      </c>
      <c r="Q122" s="17">
        <v>10999</v>
      </c>
      <c r="R122" s="18">
        <v>45.45</v>
      </c>
      <c r="S122" s="19">
        <v>6899.9884999999995</v>
      </c>
      <c r="T122" s="20" t="s">
        <v>333</v>
      </c>
      <c r="U122" s="21" t="s">
        <v>354</v>
      </c>
      <c r="V122" s="23">
        <v>36</v>
      </c>
      <c r="W122" s="23">
        <v>1</v>
      </c>
      <c r="X122" s="24"/>
    </row>
    <row r="123" spans="1:24" s="1" customFormat="1" ht="61.05" customHeight="1" x14ac:dyDescent="0.3">
      <c r="A123" s="25" t="s">
        <v>327</v>
      </c>
      <c r="B123" s="25" t="s">
        <v>371</v>
      </c>
      <c r="C123" s="12" t="s">
        <v>372</v>
      </c>
      <c r="D123" s="82"/>
      <c r="E123" s="67" t="str">
        <f>HYPERLINK("https://www.google.ru/search?q=V1GC2045-29&amp;newwindow=1&amp;tbm=isch","Еще фото")</f>
        <v>Еще фото</v>
      </c>
      <c r="F123" s="14"/>
      <c r="G123" s="25" t="s">
        <v>153</v>
      </c>
      <c r="H123" s="25" t="s">
        <v>93</v>
      </c>
      <c r="I123" s="25" t="s">
        <v>154</v>
      </c>
      <c r="J123" s="15" t="s">
        <v>162</v>
      </c>
      <c r="K123" s="16" t="s">
        <v>29</v>
      </c>
      <c r="L123" s="84"/>
      <c r="M123" s="15" t="s">
        <v>331</v>
      </c>
      <c r="N123" s="15" t="s">
        <v>122</v>
      </c>
      <c r="O123" s="15"/>
      <c r="P123" s="16" t="s">
        <v>353</v>
      </c>
      <c r="Q123" s="17">
        <v>10999</v>
      </c>
      <c r="R123" s="18">
        <v>45.45</v>
      </c>
      <c r="S123" s="19">
        <v>6899.9884999999995</v>
      </c>
      <c r="T123" s="20" t="s">
        <v>333</v>
      </c>
      <c r="U123" s="21" t="s">
        <v>334</v>
      </c>
      <c r="V123" s="29">
        <v>37.5</v>
      </c>
      <c r="W123" s="23">
        <v>1</v>
      </c>
      <c r="X123" s="24"/>
    </row>
    <row r="124" spans="1:24" s="1" customFormat="1" ht="108" customHeight="1" x14ac:dyDescent="0.3">
      <c r="A124" s="11" t="s">
        <v>327</v>
      </c>
      <c r="B124" s="11" t="s">
        <v>374</v>
      </c>
      <c r="C124" s="12" t="s">
        <v>375</v>
      </c>
      <c r="D124" s="13"/>
      <c r="E124" s="67" t="str">
        <f>HYPERLINK("https://www.google.ru/search?q=J1GD2202-73&amp;newwindow=1&amp;tbm=isch","Еще фото")</f>
        <v>Еще фото</v>
      </c>
      <c r="F124" s="14"/>
      <c r="G124" s="11" t="s">
        <v>153</v>
      </c>
      <c r="H124" s="11" t="s">
        <v>93</v>
      </c>
      <c r="I124" s="15" t="s">
        <v>154</v>
      </c>
      <c r="J124" s="15" t="s">
        <v>162</v>
      </c>
      <c r="K124" s="16" t="s">
        <v>29</v>
      </c>
      <c r="L124" s="15" t="s">
        <v>376</v>
      </c>
      <c r="M124" s="15" t="s">
        <v>331</v>
      </c>
      <c r="N124" s="15" t="s">
        <v>212</v>
      </c>
      <c r="O124" s="15"/>
      <c r="P124" s="16" t="s">
        <v>377</v>
      </c>
      <c r="Q124" s="17">
        <v>24799</v>
      </c>
      <c r="R124" s="18">
        <v>45.16</v>
      </c>
      <c r="S124" s="19">
        <v>15639.988499999998</v>
      </c>
      <c r="T124" s="20" t="s">
        <v>333</v>
      </c>
      <c r="U124" s="21" t="s">
        <v>354</v>
      </c>
      <c r="V124" s="23">
        <v>36</v>
      </c>
      <c r="W124" s="23">
        <v>1</v>
      </c>
      <c r="X124" s="24"/>
    </row>
    <row r="125" spans="1:24" s="1" customFormat="1" ht="108" customHeight="1" x14ac:dyDescent="0.3">
      <c r="A125" s="11" t="s">
        <v>327</v>
      </c>
      <c r="B125" s="11" t="s">
        <v>378</v>
      </c>
      <c r="C125" s="12" t="s">
        <v>379</v>
      </c>
      <c r="D125" s="13"/>
      <c r="E125" s="67" t="str">
        <f>HYPERLINK("https://www.google.ru/search?q=J1GD1840-11&amp;newwindow=1&amp;tbm=isch","Еще фото")</f>
        <v>Еще фото</v>
      </c>
      <c r="F125" s="14"/>
      <c r="G125" s="11" t="s">
        <v>153</v>
      </c>
      <c r="H125" s="11" t="s">
        <v>93</v>
      </c>
      <c r="I125" s="15" t="s">
        <v>154</v>
      </c>
      <c r="J125" s="15" t="s">
        <v>162</v>
      </c>
      <c r="K125" s="16" t="s">
        <v>29</v>
      </c>
      <c r="L125" s="15" t="s">
        <v>380</v>
      </c>
      <c r="M125" s="15" t="s">
        <v>331</v>
      </c>
      <c r="N125" s="15" t="s">
        <v>218</v>
      </c>
      <c r="O125" s="15"/>
      <c r="P125" s="16" t="s">
        <v>381</v>
      </c>
      <c r="Q125" s="17">
        <v>14199</v>
      </c>
      <c r="R125" s="18">
        <v>45.07</v>
      </c>
      <c r="S125" s="19">
        <v>8969.9884999999995</v>
      </c>
      <c r="T125" s="20" t="s">
        <v>333</v>
      </c>
      <c r="U125" s="21" t="s">
        <v>354</v>
      </c>
      <c r="V125" s="23">
        <v>36</v>
      </c>
      <c r="W125" s="23">
        <v>2</v>
      </c>
      <c r="X125" s="24"/>
    </row>
    <row r="126" spans="1:24" s="1" customFormat="1" ht="26" customHeight="1" x14ac:dyDescent="0.3">
      <c r="A126" s="11" t="s">
        <v>327</v>
      </c>
      <c r="B126" s="11" t="s">
        <v>382</v>
      </c>
      <c r="C126" s="12" t="s">
        <v>383</v>
      </c>
      <c r="D126" s="85"/>
      <c r="E126" s="67" t="str">
        <f>HYPERLINK("https://www.google.ru/search?q=J1GD1840-61&amp;newwindow=1&amp;tbm=isch","Еще фото")</f>
        <v>Еще фото</v>
      </c>
      <c r="F126" s="14"/>
      <c r="G126" s="11" t="s">
        <v>153</v>
      </c>
      <c r="H126" s="11" t="s">
        <v>93</v>
      </c>
      <c r="I126" s="15" t="s">
        <v>154</v>
      </c>
      <c r="J126" s="15" t="s">
        <v>162</v>
      </c>
      <c r="K126" s="16" t="s">
        <v>45</v>
      </c>
      <c r="L126" s="83" t="s">
        <v>384</v>
      </c>
      <c r="M126" s="15" t="s">
        <v>331</v>
      </c>
      <c r="N126" s="15" t="s">
        <v>218</v>
      </c>
      <c r="O126" s="15"/>
      <c r="P126" s="16" t="s">
        <v>385</v>
      </c>
      <c r="Q126" s="17">
        <v>13999</v>
      </c>
      <c r="R126" s="18">
        <v>40</v>
      </c>
      <c r="S126" s="19">
        <v>9659.31</v>
      </c>
      <c r="T126" s="20" t="s">
        <v>333</v>
      </c>
      <c r="U126" s="21" t="s">
        <v>348</v>
      </c>
      <c r="V126" s="29">
        <v>36.5</v>
      </c>
      <c r="W126" s="23">
        <v>1</v>
      </c>
      <c r="X126" s="24"/>
    </row>
    <row r="127" spans="1:24" s="1" customFormat="1" ht="26" customHeight="1" x14ac:dyDescent="0.3">
      <c r="A127" s="25" t="s">
        <v>327</v>
      </c>
      <c r="B127" s="25" t="s">
        <v>382</v>
      </c>
      <c r="C127" s="12" t="s">
        <v>383</v>
      </c>
      <c r="D127" s="86"/>
      <c r="E127" s="67" t="str">
        <f>HYPERLINK("https://www.google.ru/search?q=J1GD1840-61&amp;newwindow=1&amp;tbm=isch","Еще фото")</f>
        <v>Еще фото</v>
      </c>
      <c r="F127" s="14"/>
      <c r="G127" s="25" t="s">
        <v>153</v>
      </c>
      <c r="H127" s="25" t="s">
        <v>93</v>
      </c>
      <c r="I127" s="25" t="s">
        <v>154</v>
      </c>
      <c r="J127" s="15" t="s">
        <v>162</v>
      </c>
      <c r="K127" s="16" t="s">
        <v>45</v>
      </c>
      <c r="L127" s="88"/>
      <c r="M127" s="15" t="s">
        <v>331</v>
      </c>
      <c r="N127" s="15" t="s">
        <v>218</v>
      </c>
      <c r="O127" s="15"/>
      <c r="P127" s="16" t="s">
        <v>385</v>
      </c>
      <c r="Q127" s="17">
        <v>13999</v>
      </c>
      <c r="R127" s="18">
        <v>40</v>
      </c>
      <c r="S127" s="19">
        <v>9659.31</v>
      </c>
      <c r="T127" s="20" t="s">
        <v>333</v>
      </c>
      <c r="U127" s="21" t="s">
        <v>349</v>
      </c>
      <c r="V127" s="23">
        <v>37</v>
      </c>
      <c r="W127" s="23">
        <v>1</v>
      </c>
      <c r="X127" s="24"/>
    </row>
    <row r="128" spans="1:24" s="1" customFormat="1" ht="26" customHeight="1" x14ac:dyDescent="0.3">
      <c r="A128" s="25" t="s">
        <v>327</v>
      </c>
      <c r="B128" s="25" t="s">
        <v>382</v>
      </c>
      <c r="C128" s="12" t="s">
        <v>383</v>
      </c>
      <c r="D128" s="86"/>
      <c r="E128" s="67" t="str">
        <f>HYPERLINK("https://www.google.ru/search?q=J1GD1840-61&amp;newwindow=1&amp;tbm=isch","Еще фото")</f>
        <v>Еще фото</v>
      </c>
      <c r="F128" s="14"/>
      <c r="G128" s="25" t="s">
        <v>153</v>
      </c>
      <c r="H128" s="25" t="s">
        <v>93</v>
      </c>
      <c r="I128" s="25" t="s">
        <v>154</v>
      </c>
      <c r="J128" s="15" t="s">
        <v>162</v>
      </c>
      <c r="K128" s="16" t="s">
        <v>45</v>
      </c>
      <c r="L128" s="88"/>
      <c r="M128" s="15" t="s">
        <v>331</v>
      </c>
      <c r="N128" s="15" t="s">
        <v>218</v>
      </c>
      <c r="O128" s="15"/>
      <c r="P128" s="16" t="s">
        <v>385</v>
      </c>
      <c r="Q128" s="17">
        <v>13999</v>
      </c>
      <c r="R128" s="18">
        <v>40</v>
      </c>
      <c r="S128" s="19">
        <v>9659.31</v>
      </c>
      <c r="T128" s="20" t="s">
        <v>333</v>
      </c>
      <c r="U128" s="21" t="s">
        <v>334</v>
      </c>
      <c r="V128" s="29">
        <v>37.5</v>
      </c>
      <c r="W128" s="23">
        <v>1</v>
      </c>
      <c r="X128" s="24"/>
    </row>
    <row r="129" spans="1:24" s="1" customFormat="1" ht="26" customHeight="1" x14ac:dyDescent="0.3">
      <c r="A129" s="25" t="s">
        <v>327</v>
      </c>
      <c r="B129" s="25" t="s">
        <v>382</v>
      </c>
      <c r="C129" s="12" t="s">
        <v>383</v>
      </c>
      <c r="D129" s="87"/>
      <c r="E129" s="67" t="str">
        <f>HYPERLINK("https://www.google.ru/search?q=J1GD1840-61&amp;newwindow=1&amp;tbm=isch","Еще фото")</f>
        <v>Еще фото</v>
      </c>
      <c r="F129" s="14"/>
      <c r="G129" s="25" t="s">
        <v>153</v>
      </c>
      <c r="H129" s="25" t="s">
        <v>93</v>
      </c>
      <c r="I129" s="25" t="s">
        <v>154</v>
      </c>
      <c r="J129" s="15" t="s">
        <v>162</v>
      </c>
      <c r="K129" s="16" t="s">
        <v>45</v>
      </c>
      <c r="L129" s="84"/>
      <c r="M129" s="15" t="s">
        <v>331</v>
      </c>
      <c r="N129" s="15" t="s">
        <v>218</v>
      </c>
      <c r="O129" s="15"/>
      <c r="P129" s="16" t="s">
        <v>385</v>
      </c>
      <c r="Q129" s="17">
        <v>13999</v>
      </c>
      <c r="R129" s="18">
        <v>40</v>
      </c>
      <c r="S129" s="19">
        <v>9659.31</v>
      </c>
      <c r="T129" s="20" t="s">
        <v>333</v>
      </c>
      <c r="U129" s="21" t="s">
        <v>335</v>
      </c>
      <c r="V129" s="23">
        <v>38</v>
      </c>
      <c r="W129" s="23">
        <v>1</v>
      </c>
      <c r="X129" s="24"/>
    </row>
    <row r="130" spans="1:24" s="1" customFormat="1" ht="21" customHeight="1" x14ac:dyDescent="0.3">
      <c r="A130" s="11" t="s">
        <v>327</v>
      </c>
      <c r="B130" s="11" t="s">
        <v>386</v>
      </c>
      <c r="C130" s="27" t="s">
        <v>387</v>
      </c>
      <c r="D130" s="85"/>
      <c r="E130" s="67" t="str">
        <f>HYPERLINK("https://www.google.ru/search?q=J1GD2226-04&amp;newwindow=1&amp;tbm=isch","Еще фото")</f>
        <v>Еще фото</v>
      </c>
      <c r="F130" s="14"/>
      <c r="G130" s="11" t="s">
        <v>153</v>
      </c>
      <c r="H130" s="11" t="s">
        <v>93</v>
      </c>
      <c r="I130" s="15" t="s">
        <v>154</v>
      </c>
      <c r="J130" s="15" t="s">
        <v>162</v>
      </c>
      <c r="K130" s="16" t="s">
        <v>29</v>
      </c>
      <c r="L130" s="83" t="s">
        <v>388</v>
      </c>
      <c r="M130" s="15"/>
      <c r="N130" s="15" t="s">
        <v>38</v>
      </c>
      <c r="O130" s="15"/>
      <c r="P130" s="16" t="s">
        <v>362</v>
      </c>
      <c r="Q130" s="17">
        <v>16499</v>
      </c>
      <c r="R130" s="18">
        <v>40</v>
      </c>
      <c r="S130" s="19">
        <v>11384.31</v>
      </c>
      <c r="T130" s="20" t="s">
        <v>333</v>
      </c>
      <c r="U130" s="21" t="s">
        <v>354</v>
      </c>
      <c r="V130" s="23">
        <v>36</v>
      </c>
      <c r="W130" s="23">
        <v>1</v>
      </c>
      <c r="X130" s="24"/>
    </row>
    <row r="131" spans="1:24" s="1" customFormat="1" ht="21" customHeight="1" x14ac:dyDescent="0.3">
      <c r="A131" s="25" t="s">
        <v>327</v>
      </c>
      <c r="B131" s="25" t="s">
        <v>386</v>
      </c>
      <c r="C131" s="28" t="s">
        <v>387</v>
      </c>
      <c r="D131" s="86"/>
      <c r="E131" s="67" t="str">
        <f>HYPERLINK("https://www.google.ru/search?q=J1GD2226-04&amp;newwindow=1&amp;tbm=isch","Еще фото")</f>
        <v>Еще фото</v>
      </c>
      <c r="F131" s="14"/>
      <c r="G131" s="25" t="s">
        <v>153</v>
      </c>
      <c r="H131" s="25" t="s">
        <v>93</v>
      </c>
      <c r="I131" s="25" t="s">
        <v>154</v>
      </c>
      <c r="J131" s="15" t="s">
        <v>162</v>
      </c>
      <c r="K131" s="16" t="s">
        <v>29</v>
      </c>
      <c r="L131" s="88"/>
      <c r="M131" s="15"/>
      <c r="N131" s="15" t="s">
        <v>38</v>
      </c>
      <c r="O131" s="15"/>
      <c r="P131" s="16" t="s">
        <v>362</v>
      </c>
      <c r="Q131" s="17">
        <v>16499</v>
      </c>
      <c r="R131" s="18">
        <v>40</v>
      </c>
      <c r="S131" s="19">
        <v>11384.31</v>
      </c>
      <c r="T131" s="20" t="s">
        <v>333</v>
      </c>
      <c r="U131" s="21" t="s">
        <v>348</v>
      </c>
      <c r="V131" s="29">
        <v>36.5</v>
      </c>
      <c r="W131" s="23">
        <v>2</v>
      </c>
      <c r="X131" s="24"/>
    </row>
    <row r="132" spans="1:24" s="1" customFormat="1" ht="21" customHeight="1" x14ac:dyDescent="0.3">
      <c r="A132" s="25" t="s">
        <v>327</v>
      </c>
      <c r="B132" s="25" t="s">
        <v>386</v>
      </c>
      <c r="C132" s="28" t="s">
        <v>387</v>
      </c>
      <c r="D132" s="86"/>
      <c r="E132" s="67" t="str">
        <f>HYPERLINK("https://www.google.ru/search?q=J1GD2226-04&amp;newwindow=1&amp;tbm=isch","Еще фото")</f>
        <v>Еще фото</v>
      </c>
      <c r="F132" s="14"/>
      <c r="G132" s="25" t="s">
        <v>153</v>
      </c>
      <c r="H132" s="25" t="s">
        <v>93</v>
      </c>
      <c r="I132" s="25" t="s">
        <v>154</v>
      </c>
      <c r="J132" s="15" t="s">
        <v>162</v>
      </c>
      <c r="K132" s="16" t="s">
        <v>29</v>
      </c>
      <c r="L132" s="88"/>
      <c r="M132" s="15"/>
      <c r="N132" s="15" t="s">
        <v>38</v>
      </c>
      <c r="O132" s="15"/>
      <c r="P132" s="16" t="s">
        <v>362</v>
      </c>
      <c r="Q132" s="17">
        <v>16499</v>
      </c>
      <c r="R132" s="18">
        <v>40</v>
      </c>
      <c r="S132" s="19">
        <v>11384.31</v>
      </c>
      <c r="T132" s="20" t="s">
        <v>333</v>
      </c>
      <c r="U132" s="21" t="s">
        <v>334</v>
      </c>
      <c r="V132" s="29">
        <v>37.5</v>
      </c>
      <c r="W132" s="23">
        <v>5</v>
      </c>
      <c r="X132" s="24"/>
    </row>
    <row r="133" spans="1:24" s="1" customFormat="1" ht="21" customHeight="1" x14ac:dyDescent="0.3">
      <c r="A133" s="25" t="s">
        <v>327</v>
      </c>
      <c r="B133" s="25" t="s">
        <v>386</v>
      </c>
      <c r="C133" s="28" t="s">
        <v>387</v>
      </c>
      <c r="D133" s="86"/>
      <c r="E133" s="67" t="str">
        <f>HYPERLINK("https://www.google.ru/search?q=J1GD2226-04&amp;newwindow=1&amp;tbm=isch","Еще фото")</f>
        <v>Еще фото</v>
      </c>
      <c r="F133" s="14"/>
      <c r="G133" s="25" t="s">
        <v>153</v>
      </c>
      <c r="H133" s="25" t="s">
        <v>93</v>
      </c>
      <c r="I133" s="25" t="s">
        <v>154</v>
      </c>
      <c r="J133" s="15" t="s">
        <v>162</v>
      </c>
      <c r="K133" s="16" t="s">
        <v>29</v>
      </c>
      <c r="L133" s="88"/>
      <c r="M133" s="15"/>
      <c r="N133" s="15" t="s">
        <v>38</v>
      </c>
      <c r="O133" s="15"/>
      <c r="P133" s="16" t="s">
        <v>362</v>
      </c>
      <c r="Q133" s="17">
        <v>16499</v>
      </c>
      <c r="R133" s="18">
        <v>40</v>
      </c>
      <c r="S133" s="19">
        <v>11384.31</v>
      </c>
      <c r="T133" s="20" t="s">
        <v>333</v>
      </c>
      <c r="U133" s="21" t="s">
        <v>355</v>
      </c>
      <c r="V133" s="23">
        <v>39</v>
      </c>
      <c r="W133" s="23">
        <v>1</v>
      </c>
      <c r="X133" s="24"/>
    </row>
    <row r="134" spans="1:24" s="1" customFormat="1" ht="32" customHeight="1" x14ac:dyDescent="0.3">
      <c r="A134" s="25" t="s">
        <v>327</v>
      </c>
      <c r="B134" s="25" t="s">
        <v>386</v>
      </c>
      <c r="C134" s="28" t="s">
        <v>387</v>
      </c>
      <c r="D134" s="87"/>
      <c r="E134" s="67" t="str">
        <f>HYPERLINK("https://www.google.ru/search?q=J1GD2226-04&amp;newwindow=1&amp;tbm=isch","Еще фото")</f>
        <v>Еще фото</v>
      </c>
      <c r="F134" s="14"/>
      <c r="G134" s="25" t="s">
        <v>153</v>
      </c>
      <c r="H134" s="25" t="s">
        <v>93</v>
      </c>
      <c r="I134" s="25" t="s">
        <v>154</v>
      </c>
      <c r="J134" s="15" t="s">
        <v>162</v>
      </c>
      <c r="K134" s="16" t="s">
        <v>29</v>
      </c>
      <c r="L134" s="84"/>
      <c r="M134" s="15"/>
      <c r="N134" s="15" t="s">
        <v>38</v>
      </c>
      <c r="O134" s="15"/>
      <c r="P134" s="16" t="s">
        <v>362</v>
      </c>
      <c r="Q134" s="17">
        <v>16499</v>
      </c>
      <c r="R134" s="18">
        <v>40</v>
      </c>
      <c r="S134" s="19">
        <v>11384.31</v>
      </c>
      <c r="T134" s="20" t="s">
        <v>333</v>
      </c>
      <c r="U134" s="21" t="s">
        <v>356</v>
      </c>
      <c r="V134" s="29">
        <v>39.5</v>
      </c>
      <c r="W134" s="23">
        <v>1</v>
      </c>
      <c r="X134" s="24"/>
    </row>
    <row r="135" spans="1:24" s="1" customFormat="1" ht="35" customHeight="1" x14ac:dyDescent="0.3">
      <c r="A135" s="11" t="s">
        <v>327</v>
      </c>
      <c r="B135" s="11" t="s">
        <v>389</v>
      </c>
      <c r="C135" s="12" t="s">
        <v>390</v>
      </c>
      <c r="D135" s="85"/>
      <c r="E135" s="67" t="str">
        <f>HYPERLINK("https://www.google.ru/search?q=P1GA1925-01&amp;newwindow=1&amp;tbm=isch","Еще фото")</f>
        <v>Еще фото</v>
      </c>
      <c r="F135" s="14"/>
      <c r="G135" s="11" t="s">
        <v>338</v>
      </c>
      <c r="H135" s="11" t="s">
        <v>93</v>
      </c>
      <c r="I135" s="15" t="s">
        <v>154</v>
      </c>
      <c r="J135" s="15" t="s">
        <v>339</v>
      </c>
      <c r="K135" s="16" t="s">
        <v>45</v>
      </c>
      <c r="L135" s="83" t="s">
        <v>340</v>
      </c>
      <c r="M135" s="15"/>
      <c r="N135" s="15" t="s">
        <v>391</v>
      </c>
      <c r="O135" s="15"/>
      <c r="P135" s="16" t="s">
        <v>342</v>
      </c>
      <c r="Q135" s="17">
        <v>5199</v>
      </c>
      <c r="R135" s="18">
        <v>40</v>
      </c>
      <c r="S135" s="19">
        <v>3587.31</v>
      </c>
      <c r="T135" s="20" t="s">
        <v>333</v>
      </c>
      <c r="U135" s="21" t="s">
        <v>343</v>
      </c>
      <c r="V135" s="23">
        <v>41</v>
      </c>
      <c r="W135" s="23">
        <v>2</v>
      </c>
      <c r="X135" s="24"/>
    </row>
    <row r="136" spans="1:24" s="1" customFormat="1" ht="35" customHeight="1" x14ac:dyDescent="0.3">
      <c r="A136" s="25" t="s">
        <v>327</v>
      </c>
      <c r="B136" s="25" t="s">
        <v>389</v>
      </c>
      <c r="C136" s="12" t="s">
        <v>390</v>
      </c>
      <c r="D136" s="86"/>
      <c r="E136" s="67" t="str">
        <f>HYPERLINK("https://www.google.ru/search?q=P1GA1925-01&amp;newwindow=1&amp;tbm=isch","Еще фото")</f>
        <v>Еще фото</v>
      </c>
      <c r="F136" s="14"/>
      <c r="G136" s="25" t="s">
        <v>338</v>
      </c>
      <c r="H136" s="25" t="s">
        <v>93</v>
      </c>
      <c r="I136" s="25" t="s">
        <v>154</v>
      </c>
      <c r="J136" s="15" t="s">
        <v>339</v>
      </c>
      <c r="K136" s="16" t="s">
        <v>45</v>
      </c>
      <c r="L136" s="88"/>
      <c r="M136" s="15"/>
      <c r="N136" s="15" t="s">
        <v>391</v>
      </c>
      <c r="O136" s="15"/>
      <c r="P136" s="16" t="s">
        <v>342</v>
      </c>
      <c r="Q136" s="17">
        <v>5199</v>
      </c>
      <c r="R136" s="18">
        <v>40</v>
      </c>
      <c r="S136" s="19">
        <v>3587.31</v>
      </c>
      <c r="T136" s="20" t="s">
        <v>333</v>
      </c>
      <c r="U136" s="21" t="s">
        <v>345</v>
      </c>
      <c r="V136" s="23">
        <v>42</v>
      </c>
      <c r="W136" s="23">
        <v>13</v>
      </c>
      <c r="X136" s="24"/>
    </row>
    <row r="137" spans="1:24" s="1" customFormat="1" ht="37.049999999999997" customHeight="1" x14ac:dyDescent="0.3">
      <c r="A137" s="25" t="s">
        <v>327</v>
      </c>
      <c r="B137" s="25" t="s">
        <v>389</v>
      </c>
      <c r="C137" s="12" t="s">
        <v>390</v>
      </c>
      <c r="D137" s="87"/>
      <c r="E137" s="67" t="str">
        <f>HYPERLINK("https://www.google.ru/search?q=P1GA1925-01&amp;newwindow=1&amp;tbm=isch","Еще фото")</f>
        <v>Еще фото</v>
      </c>
      <c r="F137" s="14"/>
      <c r="G137" s="25" t="s">
        <v>338</v>
      </c>
      <c r="H137" s="25" t="s">
        <v>93</v>
      </c>
      <c r="I137" s="25" t="s">
        <v>154</v>
      </c>
      <c r="J137" s="15" t="s">
        <v>339</v>
      </c>
      <c r="K137" s="16" t="s">
        <v>45</v>
      </c>
      <c r="L137" s="84"/>
      <c r="M137" s="15"/>
      <c r="N137" s="15" t="s">
        <v>391</v>
      </c>
      <c r="O137" s="15"/>
      <c r="P137" s="16" t="s">
        <v>342</v>
      </c>
      <c r="Q137" s="17">
        <v>5199</v>
      </c>
      <c r="R137" s="18">
        <v>40</v>
      </c>
      <c r="S137" s="19">
        <v>3587.31</v>
      </c>
      <c r="T137" s="20" t="s">
        <v>333</v>
      </c>
      <c r="U137" s="21" t="s">
        <v>392</v>
      </c>
      <c r="V137" s="23">
        <v>43</v>
      </c>
      <c r="W137" s="23">
        <v>18</v>
      </c>
      <c r="X137" s="24"/>
    </row>
    <row r="138" spans="1:24" s="1" customFormat="1" ht="35" customHeight="1" x14ac:dyDescent="0.3">
      <c r="A138" s="11" t="s">
        <v>327</v>
      </c>
      <c r="B138" s="11" t="s">
        <v>393</v>
      </c>
      <c r="C138" s="12" t="s">
        <v>394</v>
      </c>
      <c r="D138" s="85"/>
      <c r="E138" s="67" t="str">
        <f>HYPERLINK("https://www.google.ru/search?q=P1GA1925-04&amp;newwindow=1&amp;tbm=isch","Еще фото")</f>
        <v>Еще фото</v>
      </c>
      <c r="F138" s="14" t="s">
        <v>253</v>
      </c>
      <c r="G138" s="11" t="s">
        <v>338</v>
      </c>
      <c r="H138" s="11" t="s">
        <v>93</v>
      </c>
      <c r="I138" s="15" t="s">
        <v>154</v>
      </c>
      <c r="J138" s="15" t="s">
        <v>339</v>
      </c>
      <c r="K138" s="16" t="s">
        <v>45</v>
      </c>
      <c r="L138" s="83" t="s">
        <v>340</v>
      </c>
      <c r="M138" s="15"/>
      <c r="N138" s="15" t="s">
        <v>341</v>
      </c>
      <c r="O138" s="15"/>
      <c r="P138" s="16" t="s">
        <v>342</v>
      </c>
      <c r="Q138" s="17">
        <v>5199</v>
      </c>
      <c r="R138" s="18">
        <v>40</v>
      </c>
      <c r="S138" s="19">
        <v>3587.31</v>
      </c>
      <c r="T138" s="20" t="s">
        <v>333</v>
      </c>
      <c r="U138" s="21" t="s">
        <v>357</v>
      </c>
      <c r="V138" s="23">
        <v>40</v>
      </c>
      <c r="W138" s="23">
        <v>21</v>
      </c>
      <c r="X138" s="24"/>
    </row>
    <row r="139" spans="1:24" s="1" customFormat="1" ht="35" customHeight="1" x14ac:dyDescent="0.3">
      <c r="A139" s="25" t="s">
        <v>327</v>
      </c>
      <c r="B139" s="25" t="s">
        <v>393</v>
      </c>
      <c r="C139" s="12" t="s">
        <v>394</v>
      </c>
      <c r="D139" s="86"/>
      <c r="E139" s="67" t="str">
        <f>HYPERLINK("https://www.google.ru/search?q=P1GA1925-04&amp;newwindow=1&amp;tbm=isch","Еще фото")</f>
        <v>Еще фото</v>
      </c>
      <c r="F139" s="14" t="s">
        <v>253</v>
      </c>
      <c r="G139" s="25" t="s">
        <v>338</v>
      </c>
      <c r="H139" s="25" t="s">
        <v>93</v>
      </c>
      <c r="I139" s="25" t="s">
        <v>154</v>
      </c>
      <c r="J139" s="15" t="s">
        <v>339</v>
      </c>
      <c r="K139" s="16" t="s">
        <v>45</v>
      </c>
      <c r="L139" s="88"/>
      <c r="M139" s="15"/>
      <c r="N139" s="15" t="s">
        <v>341</v>
      </c>
      <c r="O139" s="15"/>
      <c r="P139" s="16" t="s">
        <v>342</v>
      </c>
      <c r="Q139" s="17">
        <v>5199</v>
      </c>
      <c r="R139" s="18">
        <v>40</v>
      </c>
      <c r="S139" s="19">
        <v>3587.31</v>
      </c>
      <c r="T139" s="20" t="s">
        <v>333</v>
      </c>
      <c r="U139" s="21" t="s">
        <v>343</v>
      </c>
      <c r="V139" s="23">
        <v>41</v>
      </c>
      <c r="W139" s="23">
        <v>55</v>
      </c>
      <c r="X139" s="24"/>
    </row>
    <row r="140" spans="1:24" s="1" customFormat="1" ht="37.049999999999997" customHeight="1" x14ac:dyDescent="0.3">
      <c r="A140" s="25" t="s">
        <v>327</v>
      </c>
      <c r="B140" s="25" t="s">
        <v>393</v>
      </c>
      <c r="C140" s="12" t="s">
        <v>394</v>
      </c>
      <c r="D140" s="87"/>
      <c r="E140" s="67" t="str">
        <f>HYPERLINK("https://www.google.ru/search?q=P1GA1925-04&amp;newwindow=1&amp;tbm=isch","Еще фото")</f>
        <v>Еще фото</v>
      </c>
      <c r="F140" s="14" t="s">
        <v>253</v>
      </c>
      <c r="G140" s="25" t="s">
        <v>338</v>
      </c>
      <c r="H140" s="25" t="s">
        <v>93</v>
      </c>
      <c r="I140" s="25" t="s">
        <v>154</v>
      </c>
      <c r="J140" s="15" t="s">
        <v>339</v>
      </c>
      <c r="K140" s="16" t="s">
        <v>45</v>
      </c>
      <c r="L140" s="84"/>
      <c r="M140" s="15"/>
      <c r="N140" s="15" t="s">
        <v>341</v>
      </c>
      <c r="O140" s="15"/>
      <c r="P140" s="16" t="s">
        <v>342</v>
      </c>
      <c r="Q140" s="17">
        <v>5199</v>
      </c>
      <c r="R140" s="18">
        <v>40</v>
      </c>
      <c r="S140" s="19">
        <v>3587.31</v>
      </c>
      <c r="T140" s="20" t="s">
        <v>333</v>
      </c>
      <c r="U140" s="21" t="s">
        <v>345</v>
      </c>
      <c r="V140" s="23">
        <v>42</v>
      </c>
      <c r="W140" s="23">
        <v>7</v>
      </c>
      <c r="X140" s="24"/>
    </row>
    <row r="141" spans="1:24" s="1" customFormat="1" ht="52.05" customHeight="1" x14ac:dyDescent="0.3">
      <c r="A141" s="11" t="s">
        <v>327</v>
      </c>
      <c r="B141" s="11" t="s">
        <v>393</v>
      </c>
      <c r="C141" s="12" t="s">
        <v>395</v>
      </c>
      <c r="D141" s="81"/>
      <c r="E141" s="67" t="str">
        <f>HYPERLINK("https://www.google.ru/search?q=P1GA1925-54&amp;newwindow=1&amp;tbm=isch","Еще фото")</f>
        <v>Еще фото</v>
      </c>
      <c r="F141" s="14"/>
      <c r="G141" s="11" t="s">
        <v>338</v>
      </c>
      <c r="H141" s="11" t="s">
        <v>93</v>
      </c>
      <c r="I141" s="15" t="s">
        <v>154</v>
      </c>
      <c r="J141" s="15" t="s">
        <v>339</v>
      </c>
      <c r="K141" s="16" t="s">
        <v>45</v>
      </c>
      <c r="L141" s="83" t="s">
        <v>340</v>
      </c>
      <c r="M141" s="15"/>
      <c r="N141" s="15" t="s">
        <v>396</v>
      </c>
      <c r="O141" s="15"/>
      <c r="P141" s="16" t="s">
        <v>342</v>
      </c>
      <c r="Q141" s="17">
        <v>5199</v>
      </c>
      <c r="R141" s="18">
        <v>40</v>
      </c>
      <c r="S141" s="19">
        <v>3587.31</v>
      </c>
      <c r="T141" s="20" t="s">
        <v>333</v>
      </c>
      <c r="U141" s="21" t="s">
        <v>343</v>
      </c>
      <c r="V141" s="23">
        <v>41</v>
      </c>
      <c r="W141" s="23">
        <v>3</v>
      </c>
      <c r="X141" s="24"/>
    </row>
    <row r="142" spans="1:24" s="1" customFormat="1" ht="61.05" customHeight="1" x14ac:dyDescent="0.3">
      <c r="A142" s="25" t="s">
        <v>327</v>
      </c>
      <c r="B142" s="25" t="s">
        <v>393</v>
      </c>
      <c r="C142" s="12" t="s">
        <v>395</v>
      </c>
      <c r="D142" s="82"/>
      <c r="E142" s="67" t="str">
        <f>HYPERLINK("https://www.google.ru/search?q=P1GA1925-54&amp;newwindow=1&amp;tbm=isch","Еще фото")</f>
        <v>Еще фото</v>
      </c>
      <c r="F142" s="14"/>
      <c r="G142" s="25" t="s">
        <v>338</v>
      </c>
      <c r="H142" s="25" t="s">
        <v>93</v>
      </c>
      <c r="I142" s="25" t="s">
        <v>154</v>
      </c>
      <c r="J142" s="15" t="s">
        <v>339</v>
      </c>
      <c r="K142" s="16" t="s">
        <v>45</v>
      </c>
      <c r="L142" s="84"/>
      <c r="M142" s="15"/>
      <c r="N142" s="15" t="s">
        <v>396</v>
      </c>
      <c r="O142" s="15"/>
      <c r="P142" s="16" t="s">
        <v>342</v>
      </c>
      <c r="Q142" s="17">
        <v>5199</v>
      </c>
      <c r="R142" s="18">
        <v>40</v>
      </c>
      <c r="S142" s="19">
        <v>3587.31</v>
      </c>
      <c r="T142" s="20" t="s">
        <v>333</v>
      </c>
      <c r="U142" s="21" t="s">
        <v>345</v>
      </c>
      <c r="V142" s="23">
        <v>42</v>
      </c>
      <c r="W142" s="23">
        <v>1</v>
      </c>
      <c r="X142" s="24"/>
    </row>
    <row r="143" spans="1:24" s="1" customFormat="1" ht="35" customHeight="1" x14ac:dyDescent="0.3">
      <c r="A143" s="11" t="s">
        <v>327</v>
      </c>
      <c r="B143" s="11" t="s">
        <v>397</v>
      </c>
      <c r="C143" s="12" t="s">
        <v>398</v>
      </c>
      <c r="D143" s="85"/>
      <c r="E143" s="67" t="str">
        <f>HYPERLINK("https://www.google.ru/search?q=D1GA1925-60&amp;newwindow=1&amp;tbm=isch","Еще фото")</f>
        <v>Еще фото</v>
      </c>
      <c r="F143" s="14"/>
      <c r="G143" s="11" t="s">
        <v>153</v>
      </c>
      <c r="H143" s="11" t="s">
        <v>93</v>
      </c>
      <c r="I143" s="15" t="s">
        <v>196</v>
      </c>
      <c r="J143" s="15" t="s">
        <v>28</v>
      </c>
      <c r="K143" s="16" t="s">
        <v>45</v>
      </c>
      <c r="L143" s="83" t="s">
        <v>399</v>
      </c>
      <c r="M143" s="15" t="s">
        <v>331</v>
      </c>
      <c r="N143" s="15" t="s">
        <v>73</v>
      </c>
      <c r="O143" s="15" t="s">
        <v>400</v>
      </c>
      <c r="P143" s="16" t="s">
        <v>401</v>
      </c>
      <c r="Q143" s="17">
        <v>13199</v>
      </c>
      <c r="R143" s="18">
        <v>87.06</v>
      </c>
      <c r="S143" s="19">
        <v>1963.9354999999998</v>
      </c>
      <c r="T143" s="20" t="s">
        <v>333</v>
      </c>
      <c r="U143" s="21" t="s">
        <v>348</v>
      </c>
      <c r="V143" s="29">
        <v>36.5</v>
      </c>
      <c r="W143" s="23">
        <v>6</v>
      </c>
      <c r="X143" s="24"/>
    </row>
    <row r="144" spans="1:24" s="1" customFormat="1" ht="35" customHeight="1" x14ac:dyDescent="0.3">
      <c r="A144" s="25" t="s">
        <v>327</v>
      </c>
      <c r="B144" s="25" t="s">
        <v>397</v>
      </c>
      <c r="C144" s="12" t="s">
        <v>398</v>
      </c>
      <c r="D144" s="86"/>
      <c r="E144" s="67" t="str">
        <f>HYPERLINK("https://www.google.ru/search?q=D1GA1925-60&amp;newwindow=1&amp;tbm=isch","Еще фото")</f>
        <v>Еще фото</v>
      </c>
      <c r="F144" s="14"/>
      <c r="G144" s="25" t="s">
        <v>153</v>
      </c>
      <c r="H144" s="25" t="s">
        <v>93</v>
      </c>
      <c r="I144" s="25" t="s">
        <v>196</v>
      </c>
      <c r="J144" s="15" t="s">
        <v>28</v>
      </c>
      <c r="K144" s="16" t="s">
        <v>45</v>
      </c>
      <c r="L144" s="88"/>
      <c r="M144" s="15" t="s">
        <v>331</v>
      </c>
      <c r="N144" s="15" t="s">
        <v>73</v>
      </c>
      <c r="O144" s="15" t="s">
        <v>400</v>
      </c>
      <c r="P144" s="16" t="s">
        <v>401</v>
      </c>
      <c r="Q144" s="17">
        <v>13199</v>
      </c>
      <c r="R144" s="18">
        <v>87.06</v>
      </c>
      <c r="S144" s="19">
        <v>1963.9354999999998</v>
      </c>
      <c r="T144" s="20" t="s">
        <v>333</v>
      </c>
      <c r="U144" s="21" t="s">
        <v>349</v>
      </c>
      <c r="V144" s="23">
        <v>37</v>
      </c>
      <c r="W144" s="23">
        <v>8</v>
      </c>
      <c r="X144" s="24"/>
    </row>
    <row r="145" spans="1:24" s="1" customFormat="1" ht="37.049999999999997" customHeight="1" x14ac:dyDescent="0.3">
      <c r="A145" s="25" t="s">
        <v>327</v>
      </c>
      <c r="B145" s="25" t="s">
        <v>397</v>
      </c>
      <c r="C145" s="12" t="s">
        <v>398</v>
      </c>
      <c r="D145" s="87"/>
      <c r="E145" s="67" t="str">
        <f>HYPERLINK("https://www.google.ru/search?q=D1GA1925-60&amp;newwindow=1&amp;tbm=isch","Еще фото")</f>
        <v>Еще фото</v>
      </c>
      <c r="F145" s="14"/>
      <c r="G145" s="25" t="s">
        <v>153</v>
      </c>
      <c r="H145" s="25" t="s">
        <v>93</v>
      </c>
      <c r="I145" s="25" t="s">
        <v>196</v>
      </c>
      <c r="J145" s="15" t="s">
        <v>28</v>
      </c>
      <c r="K145" s="16" t="s">
        <v>45</v>
      </c>
      <c r="L145" s="84"/>
      <c r="M145" s="15" t="s">
        <v>331</v>
      </c>
      <c r="N145" s="15" t="s">
        <v>73</v>
      </c>
      <c r="O145" s="15" t="s">
        <v>400</v>
      </c>
      <c r="P145" s="16" t="s">
        <v>401</v>
      </c>
      <c r="Q145" s="17">
        <v>13199</v>
      </c>
      <c r="R145" s="18">
        <v>87.06</v>
      </c>
      <c r="S145" s="19">
        <v>1963.9354999999998</v>
      </c>
      <c r="T145" s="20" t="s">
        <v>333</v>
      </c>
      <c r="U145" s="21" t="s">
        <v>334</v>
      </c>
      <c r="V145" s="29">
        <v>37.5</v>
      </c>
      <c r="W145" s="23">
        <v>3</v>
      </c>
      <c r="X145" s="24"/>
    </row>
    <row r="146" spans="1:24" s="1" customFormat="1" ht="35" customHeight="1" x14ac:dyDescent="0.3">
      <c r="A146" s="11" t="s">
        <v>327</v>
      </c>
      <c r="B146" s="11" t="s">
        <v>402</v>
      </c>
      <c r="C146" s="12" t="s">
        <v>403</v>
      </c>
      <c r="D146" s="85"/>
      <c r="E146" s="67" t="str">
        <f>HYPERLINK("https://www.google.ru/search?q=D1GA1927-09&amp;newwindow=1&amp;tbm=isch","Еще фото")</f>
        <v>Еще фото</v>
      </c>
      <c r="F146" s="14"/>
      <c r="G146" s="11" t="s">
        <v>153</v>
      </c>
      <c r="H146" s="11" t="s">
        <v>93</v>
      </c>
      <c r="I146" s="15" t="s">
        <v>196</v>
      </c>
      <c r="J146" s="15" t="s">
        <v>28</v>
      </c>
      <c r="K146" s="16" t="s">
        <v>45</v>
      </c>
      <c r="L146" s="83" t="s">
        <v>399</v>
      </c>
      <c r="M146" s="15" t="s">
        <v>331</v>
      </c>
      <c r="N146" s="15" t="s">
        <v>38</v>
      </c>
      <c r="O146" s="15" t="s">
        <v>400</v>
      </c>
      <c r="P146" s="16" t="s">
        <v>404</v>
      </c>
      <c r="Q146" s="17">
        <v>13199</v>
      </c>
      <c r="R146" s="18">
        <v>76.83</v>
      </c>
      <c r="S146" s="19">
        <v>3516.4354999999996</v>
      </c>
      <c r="T146" s="20" t="s">
        <v>333</v>
      </c>
      <c r="U146" s="21" t="s">
        <v>348</v>
      </c>
      <c r="V146" s="29">
        <v>36.5</v>
      </c>
      <c r="W146" s="23">
        <v>9</v>
      </c>
      <c r="X146" s="24"/>
    </row>
    <row r="147" spans="1:24" s="1" customFormat="1" ht="35" customHeight="1" x14ac:dyDescent="0.3">
      <c r="A147" s="25" t="s">
        <v>327</v>
      </c>
      <c r="B147" s="25" t="s">
        <v>402</v>
      </c>
      <c r="C147" s="12" t="s">
        <v>403</v>
      </c>
      <c r="D147" s="86"/>
      <c r="E147" s="67" t="str">
        <f>HYPERLINK("https://www.google.ru/search?q=D1GA1927-09&amp;newwindow=1&amp;tbm=isch","Еще фото")</f>
        <v>Еще фото</v>
      </c>
      <c r="F147" s="14"/>
      <c r="G147" s="25" t="s">
        <v>153</v>
      </c>
      <c r="H147" s="25" t="s">
        <v>93</v>
      </c>
      <c r="I147" s="25" t="s">
        <v>196</v>
      </c>
      <c r="J147" s="15" t="s">
        <v>28</v>
      </c>
      <c r="K147" s="16" t="s">
        <v>45</v>
      </c>
      <c r="L147" s="88"/>
      <c r="M147" s="15" t="s">
        <v>331</v>
      </c>
      <c r="N147" s="15" t="s">
        <v>38</v>
      </c>
      <c r="O147" s="15" t="s">
        <v>400</v>
      </c>
      <c r="P147" s="16" t="s">
        <v>404</v>
      </c>
      <c r="Q147" s="17">
        <v>13199</v>
      </c>
      <c r="R147" s="18">
        <v>76.83</v>
      </c>
      <c r="S147" s="19">
        <v>3516.4354999999996</v>
      </c>
      <c r="T147" s="20" t="s">
        <v>333</v>
      </c>
      <c r="U147" s="21" t="s">
        <v>349</v>
      </c>
      <c r="V147" s="23">
        <v>37</v>
      </c>
      <c r="W147" s="23">
        <v>6</v>
      </c>
      <c r="X147" s="24"/>
    </row>
    <row r="148" spans="1:24" s="1" customFormat="1" ht="37.049999999999997" customHeight="1" x14ac:dyDescent="0.3">
      <c r="A148" s="25" t="s">
        <v>327</v>
      </c>
      <c r="B148" s="25" t="s">
        <v>402</v>
      </c>
      <c r="C148" s="12" t="s">
        <v>403</v>
      </c>
      <c r="D148" s="87"/>
      <c r="E148" s="67" t="str">
        <f>HYPERLINK("https://www.google.ru/search?q=D1GA1927-09&amp;newwindow=1&amp;tbm=isch","Еще фото")</f>
        <v>Еще фото</v>
      </c>
      <c r="F148" s="14"/>
      <c r="G148" s="25" t="s">
        <v>153</v>
      </c>
      <c r="H148" s="25" t="s">
        <v>93</v>
      </c>
      <c r="I148" s="25" t="s">
        <v>196</v>
      </c>
      <c r="J148" s="15" t="s">
        <v>28</v>
      </c>
      <c r="K148" s="16" t="s">
        <v>45</v>
      </c>
      <c r="L148" s="84"/>
      <c r="M148" s="15" t="s">
        <v>331</v>
      </c>
      <c r="N148" s="15" t="s">
        <v>38</v>
      </c>
      <c r="O148" s="15" t="s">
        <v>400</v>
      </c>
      <c r="P148" s="16" t="s">
        <v>404</v>
      </c>
      <c r="Q148" s="17">
        <v>13199</v>
      </c>
      <c r="R148" s="18">
        <v>76.83</v>
      </c>
      <c r="S148" s="19">
        <v>3516.4354999999996</v>
      </c>
      <c r="T148" s="20" t="s">
        <v>333</v>
      </c>
      <c r="U148" s="21" t="s">
        <v>334</v>
      </c>
      <c r="V148" s="29">
        <v>37.5</v>
      </c>
      <c r="W148" s="23">
        <v>4</v>
      </c>
      <c r="X148" s="24"/>
    </row>
    <row r="149" spans="1:24" s="1" customFormat="1" ht="52.05" customHeight="1" x14ac:dyDescent="0.3">
      <c r="A149" s="11" t="s">
        <v>327</v>
      </c>
      <c r="B149" s="11" t="s">
        <v>402</v>
      </c>
      <c r="C149" s="12" t="s">
        <v>405</v>
      </c>
      <c r="D149" s="81"/>
      <c r="E149" s="67" t="str">
        <f>HYPERLINK("https://www.google.ru/search?q=D1GA1927-14&amp;newwindow=1&amp;tbm=isch","Еще фото")</f>
        <v>Еще фото</v>
      </c>
      <c r="F149" s="14"/>
      <c r="G149" s="11" t="s">
        <v>153</v>
      </c>
      <c r="H149" s="11" t="s">
        <v>93</v>
      </c>
      <c r="I149" s="15" t="s">
        <v>196</v>
      </c>
      <c r="J149" s="15" t="s">
        <v>28</v>
      </c>
      <c r="K149" s="16" t="s">
        <v>45</v>
      </c>
      <c r="L149" s="83" t="s">
        <v>406</v>
      </c>
      <c r="M149" s="15" t="s">
        <v>331</v>
      </c>
      <c r="N149" s="15" t="s">
        <v>173</v>
      </c>
      <c r="O149" s="15" t="s">
        <v>400</v>
      </c>
      <c r="P149" s="16" t="s">
        <v>404</v>
      </c>
      <c r="Q149" s="17">
        <v>13199</v>
      </c>
      <c r="R149" s="18">
        <v>75.09</v>
      </c>
      <c r="S149" s="19">
        <v>3780.9354999999996</v>
      </c>
      <c r="T149" s="20" t="s">
        <v>333</v>
      </c>
      <c r="U149" s="21" t="s">
        <v>357</v>
      </c>
      <c r="V149" s="23">
        <v>40</v>
      </c>
      <c r="W149" s="23">
        <v>11</v>
      </c>
      <c r="X149" s="24"/>
    </row>
    <row r="150" spans="1:24" s="1" customFormat="1" ht="61.05" customHeight="1" x14ac:dyDescent="0.3">
      <c r="A150" s="25" t="s">
        <v>327</v>
      </c>
      <c r="B150" s="25" t="s">
        <v>402</v>
      </c>
      <c r="C150" s="12" t="s">
        <v>405</v>
      </c>
      <c r="D150" s="82"/>
      <c r="E150" s="67" t="str">
        <f>HYPERLINK("https://www.google.ru/search?q=D1GA1927-14&amp;newwindow=1&amp;tbm=isch","Еще фото")</f>
        <v>Еще фото</v>
      </c>
      <c r="F150" s="14"/>
      <c r="G150" s="25" t="s">
        <v>153</v>
      </c>
      <c r="H150" s="25" t="s">
        <v>93</v>
      </c>
      <c r="I150" s="25" t="s">
        <v>196</v>
      </c>
      <c r="J150" s="15" t="s">
        <v>28</v>
      </c>
      <c r="K150" s="16" t="s">
        <v>45</v>
      </c>
      <c r="L150" s="84"/>
      <c r="M150" s="15" t="s">
        <v>331</v>
      </c>
      <c r="N150" s="15" t="s">
        <v>173</v>
      </c>
      <c r="O150" s="15" t="s">
        <v>400</v>
      </c>
      <c r="P150" s="16" t="s">
        <v>404</v>
      </c>
      <c r="Q150" s="17">
        <v>13199</v>
      </c>
      <c r="R150" s="18">
        <v>75.09</v>
      </c>
      <c r="S150" s="19">
        <v>3780.9354999999996</v>
      </c>
      <c r="T150" s="20" t="s">
        <v>333</v>
      </c>
      <c r="U150" s="21" t="s">
        <v>343</v>
      </c>
      <c r="V150" s="23">
        <v>41</v>
      </c>
      <c r="W150" s="23">
        <v>1</v>
      </c>
      <c r="X150" s="24"/>
    </row>
    <row r="151" spans="1:24" s="1" customFormat="1" ht="26" customHeight="1" x14ac:dyDescent="0.3">
      <c r="A151" s="11" t="s">
        <v>327</v>
      </c>
      <c r="B151" s="11" t="s">
        <v>407</v>
      </c>
      <c r="C151" s="12" t="s">
        <v>408</v>
      </c>
      <c r="D151" s="85"/>
      <c r="E151" s="67" t="str">
        <f>HYPERLINK("https://www.google.ru/search?q=U1GE2160-64&amp;newwindow=1&amp;tbm=isch","Еще фото")</f>
        <v>Еще фото</v>
      </c>
      <c r="F151" s="14"/>
      <c r="G151" s="11" t="s">
        <v>153</v>
      </c>
      <c r="H151" s="11" t="s">
        <v>93</v>
      </c>
      <c r="I151" s="15" t="s">
        <v>196</v>
      </c>
      <c r="J151" s="15" t="s">
        <v>162</v>
      </c>
      <c r="K151" s="16" t="s">
        <v>29</v>
      </c>
      <c r="L151" s="83" t="s">
        <v>409</v>
      </c>
      <c r="M151" s="15"/>
      <c r="N151" s="15" t="s">
        <v>73</v>
      </c>
      <c r="O151" s="15"/>
      <c r="P151" s="16" t="s">
        <v>362</v>
      </c>
      <c r="Q151" s="17">
        <v>14399</v>
      </c>
      <c r="R151" s="18">
        <v>46</v>
      </c>
      <c r="S151" s="19">
        <v>8941.7789999999986</v>
      </c>
      <c r="T151" s="20" t="s">
        <v>333</v>
      </c>
      <c r="U151" s="21" t="s">
        <v>354</v>
      </c>
      <c r="V151" s="23">
        <v>36</v>
      </c>
      <c r="W151" s="23">
        <v>2</v>
      </c>
      <c r="X151" s="24"/>
    </row>
    <row r="152" spans="1:24" s="1" customFormat="1" ht="26" customHeight="1" x14ac:dyDescent="0.3">
      <c r="A152" s="25" t="s">
        <v>327</v>
      </c>
      <c r="B152" s="25" t="s">
        <v>407</v>
      </c>
      <c r="C152" s="12" t="s">
        <v>408</v>
      </c>
      <c r="D152" s="86"/>
      <c r="E152" s="67" t="str">
        <f>HYPERLINK("https://www.google.ru/search?q=U1GE2160-64&amp;newwindow=1&amp;tbm=isch","Еще фото")</f>
        <v>Еще фото</v>
      </c>
      <c r="F152" s="14"/>
      <c r="G152" s="25" t="s">
        <v>153</v>
      </c>
      <c r="H152" s="25" t="s">
        <v>93</v>
      </c>
      <c r="I152" s="25" t="s">
        <v>196</v>
      </c>
      <c r="J152" s="15" t="s">
        <v>162</v>
      </c>
      <c r="K152" s="16" t="s">
        <v>29</v>
      </c>
      <c r="L152" s="88"/>
      <c r="M152" s="15"/>
      <c r="N152" s="15" t="s">
        <v>73</v>
      </c>
      <c r="O152" s="15"/>
      <c r="P152" s="16" t="s">
        <v>362</v>
      </c>
      <c r="Q152" s="17">
        <v>14399</v>
      </c>
      <c r="R152" s="18">
        <v>46</v>
      </c>
      <c r="S152" s="19">
        <v>8941.7789999999986</v>
      </c>
      <c r="T152" s="20" t="s">
        <v>333</v>
      </c>
      <c r="U152" s="21" t="s">
        <v>348</v>
      </c>
      <c r="V152" s="29">
        <v>36.5</v>
      </c>
      <c r="W152" s="23">
        <v>2</v>
      </c>
      <c r="X152" s="24"/>
    </row>
    <row r="153" spans="1:24" s="1" customFormat="1" ht="26" customHeight="1" x14ac:dyDescent="0.3">
      <c r="A153" s="25" t="s">
        <v>327</v>
      </c>
      <c r="B153" s="25" t="s">
        <v>407</v>
      </c>
      <c r="C153" s="12" t="s">
        <v>408</v>
      </c>
      <c r="D153" s="86"/>
      <c r="E153" s="67" t="str">
        <f>HYPERLINK("https://www.google.ru/search?q=U1GE2160-64&amp;newwindow=1&amp;tbm=isch","Еще фото")</f>
        <v>Еще фото</v>
      </c>
      <c r="F153" s="14"/>
      <c r="G153" s="25" t="s">
        <v>153</v>
      </c>
      <c r="H153" s="25" t="s">
        <v>93</v>
      </c>
      <c r="I153" s="25" t="s">
        <v>196</v>
      </c>
      <c r="J153" s="15" t="s">
        <v>162</v>
      </c>
      <c r="K153" s="16" t="s">
        <v>29</v>
      </c>
      <c r="L153" s="88"/>
      <c r="M153" s="15"/>
      <c r="N153" s="15" t="s">
        <v>73</v>
      </c>
      <c r="O153" s="15"/>
      <c r="P153" s="16" t="s">
        <v>362</v>
      </c>
      <c r="Q153" s="17">
        <v>14399</v>
      </c>
      <c r="R153" s="18">
        <v>46</v>
      </c>
      <c r="S153" s="19">
        <v>8941.7789999999986</v>
      </c>
      <c r="T153" s="20" t="s">
        <v>333</v>
      </c>
      <c r="U153" s="21" t="s">
        <v>349</v>
      </c>
      <c r="V153" s="23">
        <v>37</v>
      </c>
      <c r="W153" s="23">
        <v>2</v>
      </c>
      <c r="X153" s="24"/>
    </row>
    <row r="154" spans="1:24" s="1" customFormat="1" ht="26" customHeight="1" x14ac:dyDescent="0.3">
      <c r="A154" s="25" t="s">
        <v>327</v>
      </c>
      <c r="B154" s="25" t="s">
        <v>407</v>
      </c>
      <c r="C154" s="12" t="s">
        <v>408</v>
      </c>
      <c r="D154" s="87"/>
      <c r="E154" s="67" t="str">
        <f>HYPERLINK("https://www.google.ru/search?q=U1GE2160-64&amp;newwindow=1&amp;tbm=isch","Еще фото")</f>
        <v>Еще фото</v>
      </c>
      <c r="F154" s="14"/>
      <c r="G154" s="25" t="s">
        <v>153</v>
      </c>
      <c r="H154" s="25" t="s">
        <v>93</v>
      </c>
      <c r="I154" s="25" t="s">
        <v>196</v>
      </c>
      <c r="J154" s="15" t="s">
        <v>162</v>
      </c>
      <c r="K154" s="16" t="s">
        <v>29</v>
      </c>
      <c r="L154" s="84"/>
      <c r="M154" s="15"/>
      <c r="N154" s="15" t="s">
        <v>73</v>
      </c>
      <c r="O154" s="15"/>
      <c r="P154" s="16" t="s">
        <v>362</v>
      </c>
      <c r="Q154" s="17">
        <v>14399</v>
      </c>
      <c r="R154" s="18">
        <v>46</v>
      </c>
      <c r="S154" s="19">
        <v>8941.7789999999986</v>
      </c>
      <c r="T154" s="20" t="s">
        <v>333</v>
      </c>
      <c r="U154" s="21" t="s">
        <v>334</v>
      </c>
      <c r="V154" s="29">
        <v>37.5</v>
      </c>
      <c r="W154" s="23">
        <v>3</v>
      </c>
      <c r="X154" s="24"/>
    </row>
    <row r="155" spans="1:24" s="1" customFormat="1" ht="108" customHeight="1" x14ac:dyDescent="0.3">
      <c r="A155" s="11" t="s">
        <v>327</v>
      </c>
      <c r="B155" s="11" t="s">
        <v>410</v>
      </c>
      <c r="C155" s="12" t="s">
        <v>411</v>
      </c>
      <c r="D155" s="13"/>
      <c r="E155" s="67" t="str">
        <f>HYPERLINK("https://www.google.ru/search?q=D1GA1922-60&amp;newwindow=1&amp;tbm=isch","Еще фото")</f>
        <v>Еще фото</v>
      </c>
      <c r="F155" s="14"/>
      <c r="G155" s="11" t="s">
        <v>153</v>
      </c>
      <c r="H155" s="11" t="s">
        <v>93</v>
      </c>
      <c r="I155" s="15" t="s">
        <v>196</v>
      </c>
      <c r="J155" s="15" t="s">
        <v>28</v>
      </c>
      <c r="K155" s="16" t="s">
        <v>29</v>
      </c>
      <c r="L155" s="15" t="s">
        <v>412</v>
      </c>
      <c r="M155" s="15" t="s">
        <v>61</v>
      </c>
      <c r="N155" s="15" t="s">
        <v>413</v>
      </c>
      <c r="O155" s="15" t="s">
        <v>400</v>
      </c>
      <c r="P155" s="16" t="s">
        <v>401</v>
      </c>
      <c r="Q155" s="17">
        <v>12299</v>
      </c>
      <c r="R155" s="18">
        <v>45.52</v>
      </c>
      <c r="S155" s="19">
        <v>7704.9884999999995</v>
      </c>
      <c r="T155" s="20" t="s">
        <v>333</v>
      </c>
      <c r="U155" s="21" t="s">
        <v>343</v>
      </c>
      <c r="V155" s="23">
        <v>41</v>
      </c>
      <c r="W155" s="23">
        <v>2</v>
      </c>
      <c r="X155" s="24"/>
    </row>
    <row r="156" spans="1:24" s="1" customFormat="1" ht="52.05" customHeight="1" x14ac:dyDescent="0.3">
      <c r="A156" s="11" t="s">
        <v>327</v>
      </c>
      <c r="B156" s="11" t="s">
        <v>402</v>
      </c>
      <c r="C156" s="12" t="s">
        <v>414</v>
      </c>
      <c r="D156" s="81"/>
      <c r="E156" s="67" t="str">
        <f>HYPERLINK("https://www.google.ru/search?q=D1GA1927-01&amp;newwindow=1&amp;tbm=isch","Еще фото")</f>
        <v>Еще фото</v>
      </c>
      <c r="F156" s="14"/>
      <c r="G156" s="11" t="s">
        <v>153</v>
      </c>
      <c r="H156" s="11" t="s">
        <v>93</v>
      </c>
      <c r="I156" s="15" t="s">
        <v>196</v>
      </c>
      <c r="J156" s="15" t="s">
        <v>28</v>
      </c>
      <c r="K156" s="16" t="s">
        <v>45</v>
      </c>
      <c r="L156" s="83" t="s">
        <v>406</v>
      </c>
      <c r="M156" s="15" t="s">
        <v>331</v>
      </c>
      <c r="N156" s="15" t="s">
        <v>173</v>
      </c>
      <c r="O156" s="15" t="s">
        <v>400</v>
      </c>
      <c r="P156" s="16" t="s">
        <v>404</v>
      </c>
      <c r="Q156" s="17">
        <v>13199</v>
      </c>
      <c r="R156" s="18">
        <v>45.45</v>
      </c>
      <c r="S156" s="19">
        <v>8279.9884999999995</v>
      </c>
      <c r="T156" s="20" t="s">
        <v>333</v>
      </c>
      <c r="U156" s="21" t="s">
        <v>354</v>
      </c>
      <c r="V156" s="23">
        <v>36</v>
      </c>
      <c r="W156" s="23">
        <v>4</v>
      </c>
      <c r="X156" s="24"/>
    </row>
    <row r="157" spans="1:24" s="1" customFormat="1" ht="61.05" customHeight="1" x14ac:dyDescent="0.3">
      <c r="A157" s="25" t="s">
        <v>327</v>
      </c>
      <c r="B157" s="25" t="s">
        <v>402</v>
      </c>
      <c r="C157" s="12" t="s">
        <v>414</v>
      </c>
      <c r="D157" s="82"/>
      <c r="E157" s="67" t="str">
        <f>HYPERLINK("https://www.google.ru/search?q=D1GA1927-01&amp;newwindow=1&amp;tbm=isch","Еще фото")</f>
        <v>Еще фото</v>
      </c>
      <c r="F157" s="14"/>
      <c r="G157" s="25" t="s">
        <v>153</v>
      </c>
      <c r="H157" s="25" t="s">
        <v>93</v>
      </c>
      <c r="I157" s="25" t="s">
        <v>196</v>
      </c>
      <c r="J157" s="15" t="s">
        <v>28</v>
      </c>
      <c r="K157" s="16" t="s">
        <v>45</v>
      </c>
      <c r="L157" s="84"/>
      <c r="M157" s="15" t="s">
        <v>331</v>
      </c>
      <c r="N157" s="15" t="s">
        <v>173</v>
      </c>
      <c r="O157" s="15" t="s">
        <v>400</v>
      </c>
      <c r="P157" s="16" t="s">
        <v>404</v>
      </c>
      <c r="Q157" s="17">
        <v>13199</v>
      </c>
      <c r="R157" s="18">
        <v>45.45</v>
      </c>
      <c r="S157" s="19">
        <v>8279.9884999999995</v>
      </c>
      <c r="T157" s="20" t="s">
        <v>333</v>
      </c>
      <c r="U157" s="21" t="s">
        <v>356</v>
      </c>
      <c r="V157" s="29">
        <v>39.5</v>
      </c>
      <c r="W157" s="23">
        <v>1</v>
      </c>
      <c r="X157" s="24"/>
    </row>
    <row r="158" spans="1:24" s="1" customFormat="1" ht="35" customHeight="1" x14ac:dyDescent="0.3">
      <c r="A158" s="11" t="s">
        <v>327</v>
      </c>
      <c r="B158" s="11" t="s">
        <v>415</v>
      </c>
      <c r="C158" s="12" t="s">
        <v>416</v>
      </c>
      <c r="D158" s="85"/>
      <c r="E158" s="67" t="str">
        <f>HYPERLINK("https://www.google.ru/search?q=D1GA1932-67&amp;newwindow=1&amp;tbm=isch","Еще фото")</f>
        <v>Еще фото</v>
      </c>
      <c r="F158" s="14"/>
      <c r="G158" s="11" t="s">
        <v>153</v>
      </c>
      <c r="H158" s="11" t="s">
        <v>93</v>
      </c>
      <c r="I158" s="15" t="s">
        <v>196</v>
      </c>
      <c r="J158" s="15" t="s">
        <v>28</v>
      </c>
      <c r="K158" s="16" t="s">
        <v>71</v>
      </c>
      <c r="L158" s="83" t="s">
        <v>417</v>
      </c>
      <c r="M158" s="15" t="s">
        <v>331</v>
      </c>
      <c r="N158" s="15" t="s">
        <v>413</v>
      </c>
      <c r="O158" s="15" t="s">
        <v>400</v>
      </c>
      <c r="P158" s="16" t="s">
        <v>418</v>
      </c>
      <c r="Q158" s="17">
        <v>13199</v>
      </c>
      <c r="R158" s="18">
        <v>45.45</v>
      </c>
      <c r="S158" s="19">
        <v>8279.9884999999995</v>
      </c>
      <c r="T158" s="20" t="s">
        <v>333</v>
      </c>
      <c r="U158" s="21" t="s">
        <v>348</v>
      </c>
      <c r="V158" s="29">
        <v>36.5</v>
      </c>
      <c r="W158" s="23">
        <v>5</v>
      </c>
      <c r="X158" s="24"/>
    </row>
    <row r="159" spans="1:24" s="1" customFormat="1" ht="35" customHeight="1" x14ac:dyDescent="0.3">
      <c r="A159" s="25" t="s">
        <v>327</v>
      </c>
      <c r="B159" s="25" t="s">
        <v>415</v>
      </c>
      <c r="C159" s="12" t="s">
        <v>416</v>
      </c>
      <c r="D159" s="86"/>
      <c r="E159" s="67" t="str">
        <f>HYPERLINK("https://www.google.ru/search?q=D1GA1932-67&amp;newwindow=1&amp;tbm=isch","Еще фото")</f>
        <v>Еще фото</v>
      </c>
      <c r="F159" s="14"/>
      <c r="G159" s="25" t="s">
        <v>153</v>
      </c>
      <c r="H159" s="25" t="s">
        <v>93</v>
      </c>
      <c r="I159" s="25" t="s">
        <v>196</v>
      </c>
      <c r="J159" s="15" t="s">
        <v>28</v>
      </c>
      <c r="K159" s="16" t="s">
        <v>71</v>
      </c>
      <c r="L159" s="88"/>
      <c r="M159" s="15" t="s">
        <v>331</v>
      </c>
      <c r="N159" s="15" t="s">
        <v>413</v>
      </c>
      <c r="O159" s="15" t="s">
        <v>400</v>
      </c>
      <c r="P159" s="16" t="s">
        <v>418</v>
      </c>
      <c r="Q159" s="17">
        <v>13199</v>
      </c>
      <c r="R159" s="18">
        <v>45.45</v>
      </c>
      <c r="S159" s="19">
        <v>8279.9884999999995</v>
      </c>
      <c r="T159" s="20" t="s">
        <v>333</v>
      </c>
      <c r="U159" s="21" t="s">
        <v>349</v>
      </c>
      <c r="V159" s="23">
        <v>37</v>
      </c>
      <c r="W159" s="23">
        <v>2</v>
      </c>
      <c r="X159" s="24"/>
    </row>
    <row r="160" spans="1:24" s="1" customFormat="1" ht="37.049999999999997" customHeight="1" x14ac:dyDescent="0.3">
      <c r="A160" s="25" t="s">
        <v>327</v>
      </c>
      <c r="B160" s="25" t="s">
        <v>415</v>
      </c>
      <c r="C160" s="12" t="s">
        <v>416</v>
      </c>
      <c r="D160" s="87"/>
      <c r="E160" s="67" t="str">
        <f>HYPERLINK("https://www.google.ru/search?q=D1GA1932-67&amp;newwindow=1&amp;tbm=isch","Еще фото")</f>
        <v>Еще фото</v>
      </c>
      <c r="F160" s="14"/>
      <c r="G160" s="25" t="s">
        <v>153</v>
      </c>
      <c r="H160" s="25" t="s">
        <v>93</v>
      </c>
      <c r="I160" s="25" t="s">
        <v>196</v>
      </c>
      <c r="J160" s="15" t="s">
        <v>28</v>
      </c>
      <c r="K160" s="16" t="s">
        <v>71</v>
      </c>
      <c r="L160" s="84"/>
      <c r="M160" s="15" t="s">
        <v>331</v>
      </c>
      <c r="N160" s="15" t="s">
        <v>413</v>
      </c>
      <c r="O160" s="15" t="s">
        <v>400</v>
      </c>
      <c r="P160" s="16" t="s">
        <v>418</v>
      </c>
      <c r="Q160" s="17">
        <v>13199</v>
      </c>
      <c r="R160" s="18">
        <v>45.45</v>
      </c>
      <c r="S160" s="19">
        <v>8279.9884999999995</v>
      </c>
      <c r="T160" s="20" t="s">
        <v>333</v>
      </c>
      <c r="U160" s="21" t="s">
        <v>334</v>
      </c>
      <c r="V160" s="29">
        <v>37.5</v>
      </c>
      <c r="W160" s="23">
        <v>1</v>
      </c>
      <c r="X160" s="24"/>
    </row>
    <row r="161" spans="1:24" s="1" customFormat="1" ht="52.05" customHeight="1" x14ac:dyDescent="0.3">
      <c r="A161" s="11" t="s">
        <v>327</v>
      </c>
      <c r="B161" s="11" t="s">
        <v>419</v>
      </c>
      <c r="C161" s="12" t="s">
        <v>420</v>
      </c>
      <c r="D161" s="81"/>
      <c r="E161" s="67" t="str">
        <f>HYPERLINK("https://www.google.ru/search?q=D1GA2003-47&amp;newwindow=1&amp;tbm=isch","Еще фото")</f>
        <v>Еще фото</v>
      </c>
      <c r="F161" s="14"/>
      <c r="G161" s="11" t="s">
        <v>153</v>
      </c>
      <c r="H161" s="11" t="s">
        <v>93</v>
      </c>
      <c r="I161" s="15" t="s">
        <v>196</v>
      </c>
      <c r="J161" s="15" t="s">
        <v>28</v>
      </c>
      <c r="K161" s="16" t="s">
        <v>45</v>
      </c>
      <c r="L161" s="83" t="s">
        <v>421</v>
      </c>
      <c r="M161" s="15" t="s">
        <v>331</v>
      </c>
      <c r="N161" s="15" t="s">
        <v>173</v>
      </c>
      <c r="O161" s="15" t="s">
        <v>400</v>
      </c>
      <c r="P161" s="16" t="s">
        <v>401</v>
      </c>
      <c r="Q161" s="17">
        <v>13199</v>
      </c>
      <c r="R161" s="18">
        <v>45.45</v>
      </c>
      <c r="S161" s="19">
        <v>8279.9884999999995</v>
      </c>
      <c r="T161" s="20" t="s">
        <v>333</v>
      </c>
      <c r="U161" s="21" t="s">
        <v>354</v>
      </c>
      <c r="V161" s="23">
        <v>36</v>
      </c>
      <c r="W161" s="23">
        <v>1</v>
      </c>
      <c r="X161" s="24"/>
    </row>
    <row r="162" spans="1:24" s="1" customFormat="1" ht="61.05" customHeight="1" x14ac:dyDescent="0.3">
      <c r="A162" s="25" t="s">
        <v>327</v>
      </c>
      <c r="B162" s="25" t="s">
        <v>419</v>
      </c>
      <c r="C162" s="12" t="s">
        <v>420</v>
      </c>
      <c r="D162" s="82"/>
      <c r="E162" s="67" t="str">
        <f>HYPERLINK("https://www.google.ru/search?q=D1GA2003-47&amp;newwindow=1&amp;tbm=isch","Еще фото")</f>
        <v>Еще фото</v>
      </c>
      <c r="F162" s="14"/>
      <c r="G162" s="25" t="s">
        <v>153</v>
      </c>
      <c r="H162" s="25" t="s">
        <v>93</v>
      </c>
      <c r="I162" s="25" t="s">
        <v>196</v>
      </c>
      <c r="J162" s="15" t="s">
        <v>28</v>
      </c>
      <c r="K162" s="16" t="s">
        <v>45</v>
      </c>
      <c r="L162" s="84"/>
      <c r="M162" s="15" t="s">
        <v>331</v>
      </c>
      <c r="N162" s="15" t="s">
        <v>173</v>
      </c>
      <c r="O162" s="15" t="s">
        <v>400</v>
      </c>
      <c r="P162" s="16" t="s">
        <v>401</v>
      </c>
      <c r="Q162" s="17">
        <v>13199</v>
      </c>
      <c r="R162" s="18">
        <v>45.45</v>
      </c>
      <c r="S162" s="19">
        <v>8279.9884999999995</v>
      </c>
      <c r="T162" s="20" t="s">
        <v>333</v>
      </c>
      <c r="U162" s="21" t="s">
        <v>392</v>
      </c>
      <c r="V162" s="23">
        <v>43</v>
      </c>
      <c r="W162" s="23">
        <v>1</v>
      </c>
      <c r="X162" s="24"/>
    </row>
    <row r="163" spans="1:24" s="1" customFormat="1" ht="108" customHeight="1" x14ac:dyDescent="0.3">
      <c r="A163" s="11" t="s">
        <v>327</v>
      </c>
      <c r="B163" s="11" t="s">
        <v>415</v>
      </c>
      <c r="C163" s="12" t="s">
        <v>422</v>
      </c>
      <c r="D163" s="13"/>
      <c r="E163" s="67" t="str">
        <f>HYPERLINK("https://www.google.ru/search?q=D1GA1932-63&amp;newwindow=1&amp;tbm=isch","Еще фото")</f>
        <v>Еще фото</v>
      </c>
      <c r="F163" s="14"/>
      <c r="G163" s="11" t="s">
        <v>153</v>
      </c>
      <c r="H163" s="11" t="s">
        <v>93</v>
      </c>
      <c r="I163" s="15" t="s">
        <v>196</v>
      </c>
      <c r="J163" s="15" t="s">
        <v>28</v>
      </c>
      <c r="K163" s="16" t="s">
        <v>71</v>
      </c>
      <c r="L163" s="15" t="s">
        <v>417</v>
      </c>
      <c r="M163" s="15" t="s">
        <v>331</v>
      </c>
      <c r="N163" s="15" t="s">
        <v>423</v>
      </c>
      <c r="O163" s="15" t="s">
        <v>400</v>
      </c>
      <c r="P163" s="16" t="s">
        <v>418</v>
      </c>
      <c r="Q163" s="17">
        <v>15199</v>
      </c>
      <c r="R163" s="18">
        <v>45.39</v>
      </c>
      <c r="S163" s="19">
        <v>9544.9884999999995</v>
      </c>
      <c r="T163" s="20" t="s">
        <v>333</v>
      </c>
      <c r="U163" s="21" t="s">
        <v>348</v>
      </c>
      <c r="V163" s="29">
        <v>36.5</v>
      </c>
      <c r="W163" s="23">
        <v>1</v>
      </c>
      <c r="X163" s="24"/>
    </row>
    <row r="164" spans="1:24" s="1" customFormat="1" ht="26" customHeight="1" x14ac:dyDescent="0.3">
      <c r="A164" s="11" t="s">
        <v>327</v>
      </c>
      <c r="B164" s="11" t="s">
        <v>415</v>
      </c>
      <c r="C164" s="12" t="s">
        <v>424</v>
      </c>
      <c r="D164" s="85"/>
      <c r="E164" s="67" t="str">
        <f>HYPERLINK("https://www.google.ru/search?q=D1GA1932-66&amp;newwindow=1&amp;tbm=isch","Еще фото")</f>
        <v>Еще фото</v>
      </c>
      <c r="F164" s="14"/>
      <c r="G164" s="11" t="s">
        <v>153</v>
      </c>
      <c r="H164" s="11" t="s">
        <v>93</v>
      </c>
      <c r="I164" s="15" t="s">
        <v>196</v>
      </c>
      <c r="J164" s="15" t="s">
        <v>28</v>
      </c>
      <c r="K164" s="16" t="s">
        <v>71</v>
      </c>
      <c r="L164" s="83" t="s">
        <v>417</v>
      </c>
      <c r="M164" s="15" t="s">
        <v>331</v>
      </c>
      <c r="N164" s="15" t="s">
        <v>212</v>
      </c>
      <c r="O164" s="15" t="s">
        <v>400</v>
      </c>
      <c r="P164" s="16" t="s">
        <v>418</v>
      </c>
      <c r="Q164" s="17">
        <v>13199</v>
      </c>
      <c r="R164" s="18">
        <v>40</v>
      </c>
      <c r="S164" s="19">
        <v>9107.31</v>
      </c>
      <c r="T164" s="20" t="s">
        <v>333</v>
      </c>
      <c r="U164" s="21" t="s">
        <v>354</v>
      </c>
      <c r="V164" s="23">
        <v>36</v>
      </c>
      <c r="W164" s="23">
        <v>2</v>
      </c>
      <c r="X164" s="24"/>
    </row>
    <row r="165" spans="1:24" s="1" customFormat="1" ht="26" customHeight="1" x14ac:dyDescent="0.3">
      <c r="A165" s="25" t="s">
        <v>327</v>
      </c>
      <c r="B165" s="25" t="s">
        <v>415</v>
      </c>
      <c r="C165" s="12" t="s">
        <v>424</v>
      </c>
      <c r="D165" s="86"/>
      <c r="E165" s="67" t="str">
        <f>HYPERLINK("https://www.google.ru/search?q=D1GA1932-66&amp;newwindow=1&amp;tbm=isch","Еще фото")</f>
        <v>Еще фото</v>
      </c>
      <c r="F165" s="14"/>
      <c r="G165" s="25" t="s">
        <v>153</v>
      </c>
      <c r="H165" s="25" t="s">
        <v>93</v>
      </c>
      <c r="I165" s="25" t="s">
        <v>196</v>
      </c>
      <c r="J165" s="15" t="s">
        <v>28</v>
      </c>
      <c r="K165" s="16" t="s">
        <v>71</v>
      </c>
      <c r="L165" s="88"/>
      <c r="M165" s="15" t="s">
        <v>331</v>
      </c>
      <c r="N165" s="15" t="s">
        <v>212</v>
      </c>
      <c r="O165" s="15" t="s">
        <v>400</v>
      </c>
      <c r="P165" s="16" t="s">
        <v>418</v>
      </c>
      <c r="Q165" s="17">
        <v>13199</v>
      </c>
      <c r="R165" s="18">
        <v>40</v>
      </c>
      <c r="S165" s="19">
        <v>9107.31</v>
      </c>
      <c r="T165" s="20" t="s">
        <v>333</v>
      </c>
      <c r="U165" s="21" t="s">
        <v>348</v>
      </c>
      <c r="V165" s="29">
        <v>36.5</v>
      </c>
      <c r="W165" s="23">
        <v>4</v>
      </c>
      <c r="X165" s="24"/>
    </row>
    <row r="166" spans="1:24" s="1" customFormat="1" ht="26" customHeight="1" x14ac:dyDescent="0.3">
      <c r="A166" s="25" t="s">
        <v>327</v>
      </c>
      <c r="B166" s="25" t="s">
        <v>415</v>
      </c>
      <c r="C166" s="12" t="s">
        <v>424</v>
      </c>
      <c r="D166" s="86"/>
      <c r="E166" s="67" t="str">
        <f>HYPERLINK("https://www.google.ru/search?q=D1GA1932-66&amp;newwindow=1&amp;tbm=isch","Еще фото")</f>
        <v>Еще фото</v>
      </c>
      <c r="F166" s="14"/>
      <c r="G166" s="25" t="s">
        <v>153</v>
      </c>
      <c r="H166" s="25" t="s">
        <v>93</v>
      </c>
      <c r="I166" s="25" t="s">
        <v>196</v>
      </c>
      <c r="J166" s="15" t="s">
        <v>28</v>
      </c>
      <c r="K166" s="16" t="s">
        <v>71</v>
      </c>
      <c r="L166" s="88"/>
      <c r="M166" s="15" t="s">
        <v>331</v>
      </c>
      <c r="N166" s="15" t="s">
        <v>212</v>
      </c>
      <c r="O166" s="15" t="s">
        <v>400</v>
      </c>
      <c r="P166" s="16" t="s">
        <v>418</v>
      </c>
      <c r="Q166" s="17">
        <v>13199</v>
      </c>
      <c r="R166" s="18">
        <v>40</v>
      </c>
      <c r="S166" s="19">
        <v>9107.31</v>
      </c>
      <c r="T166" s="20" t="s">
        <v>333</v>
      </c>
      <c r="U166" s="21" t="s">
        <v>349</v>
      </c>
      <c r="V166" s="23">
        <v>37</v>
      </c>
      <c r="W166" s="23">
        <v>3</v>
      </c>
      <c r="X166" s="24"/>
    </row>
    <row r="167" spans="1:24" s="1" customFormat="1" ht="26" customHeight="1" x14ac:dyDescent="0.3">
      <c r="A167" s="25" t="s">
        <v>327</v>
      </c>
      <c r="B167" s="25" t="s">
        <v>415</v>
      </c>
      <c r="C167" s="12" t="s">
        <v>424</v>
      </c>
      <c r="D167" s="87"/>
      <c r="E167" s="67" t="str">
        <f>HYPERLINK("https://www.google.ru/search?q=D1GA1932-66&amp;newwindow=1&amp;tbm=isch","Еще фото")</f>
        <v>Еще фото</v>
      </c>
      <c r="F167" s="14"/>
      <c r="G167" s="25" t="s">
        <v>153</v>
      </c>
      <c r="H167" s="25" t="s">
        <v>93</v>
      </c>
      <c r="I167" s="25" t="s">
        <v>196</v>
      </c>
      <c r="J167" s="15" t="s">
        <v>28</v>
      </c>
      <c r="K167" s="16" t="s">
        <v>71</v>
      </c>
      <c r="L167" s="84"/>
      <c r="M167" s="15" t="s">
        <v>331</v>
      </c>
      <c r="N167" s="15" t="s">
        <v>212</v>
      </c>
      <c r="O167" s="15" t="s">
        <v>400</v>
      </c>
      <c r="P167" s="16" t="s">
        <v>418</v>
      </c>
      <c r="Q167" s="17">
        <v>13199</v>
      </c>
      <c r="R167" s="18">
        <v>40</v>
      </c>
      <c r="S167" s="19">
        <v>9107.31</v>
      </c>
      <c r="T167" s="20" t="s">
        <v>333</v>
      </c>
      <c r="U167" s="21" t="s">
        <v>334</v>
      </c>
      <c r="V167" s="29">
        <v>37.5</v>
      </c>
      <c r="W167" s="23">
        <v>1</v>
      </c>
      <c r="X167" s="24"/>
    </row>
    <row r="168" spans="1:24" s="1" customFormat="1" ht="108" customHeight="1" x14ac:dyDescent="0.3">
      <c r="A168" s="11" t="s">
        <v>327</v>
      </c>
      <c r="B168" s="11" t="s">
        <v>425</v>
      </c>
      <c r="C168" s="12" t="s">
        <v>426</v>
      </c>
      <c r="D168" s="13"/>
      <c r="E168" s="67" t="str">
        <f>HYPERLINK("https://www.google.ru/search?q=J3GD3015-09&amp;newwindow=1&amp;tbm=isch","Еще фото")</f>
        <v>Еще фото</v>
      </c>
      <c r="F168" s="14"/>
      <c r="G168" s="11" t="s">
        <v>427</v>
      </c>
      <c r="H168" s="11" t="s">
        <v>69</v>
      </c>
      <c r="I168" s="15" t="s">
        <v>287</v>
      </c>
      <c r="J168" s="15" t="s">
        <v>162</v>
      </c>
      <c r="K168" s="16" t="s">
        <v>71</v>
      </c>
      <c r="L168" s="15" t="s">
        <v>428</v>
      </c>
      <c r="M168" s="15"/>
      <c r="N168" s="15" t="s">
        <v>38</v>
      </c>
      <c r="O168" s="15"/>
      <c r="P168" s="16" t="s">
        <v>429</v>
      </c>
      <c r="Q168" s="17">
        <v>2099</v>
      </c>
      <c r="R168" s="18">
        <v>40</v>
      </c>
      <c r="S168" s="19">
        <v>1448.31</v>
      </c>
      <c r="T168" s="20" t="s">
        <v>75</v>
      </c>
      <c r="U168" s="21" t="s">
        <v>430</v>
      </c>
      <c r="V168" s="22" t="s">
        <v>77</v>
      </c>
      <c r="W168" s="23">
        <v>11</v>
      </c>
      <c r="X168" s="24"/>
    </row>
    <row r="169" spans="1:24" s="1" customFormat="1" ht="52.05" customHeight="1" x14ac:dyDescent="0.3">
      <c r="A169" s="11" t="s">
        <v>327</v>
      </c>
      <c r="B169" s="11" t="s">
        <v>431</v>
      </c>
      <c r="C169" s="12" t="s">
        <v>432</v>
      </c>
      <c r="D169" s="81"/>
      <c r="E169" s="67" t="str">
        <f>HYPERLINK("https://www.google.ru/search?q=32EG7201C-22&amp;newwindow=1&amp;tbm=isch","Еще фото")</f>
        <v>Еще фото</v>
      </c>
      <c r="F169" s="14"/>
      <c r="G169" s="11" t="s">
        <v>433</v>
      </c>
      <c r="H169" s="11" t="s">
        <v>27</v>
      </c>
      <c r="I169" s="15" t="s">
        <v>434</v>
      </c>
      <c r="J169" s="15" t="s">
        <v>162</v>
      </c>
      <c r="K169" s="16" t="s">
        <v>29</v>
      </c>
      <c r="L169" s="83" t="s">
        <v>435</v>
      </c>
      <c r="M169" s="15"/>
      <c r="N169" s="15" t="s">
        <v>436</v>
      </c>
      <c r="O169" s="15"/>
      <c r="P169" s="16" t="s">
        <v>106</v>
      </c>
      <c r="Q169" s="17">
        <v>7199</v>
      </c>
      <c r="R169" s="18">
        <v>40</v>
      </c>
      <c r="S169" s="19">
        <v>4967.3099999999995</v>
      </c>
      <c r="T169" s="20" t="s">
        <v>33</v>
      </c>
      <c r="U169" s="21" t="s">
        <v>34</v>
      </c>
      <c r="V169" s="22" t="s">
        <v>35</v>
      </c>
      <c r="W169" s="23">
        <v>1</v>
      </c>
      <c r="X169" s="24"/>
    </row>
    <row r="170" spans="1:24" s="1" customFormat="1" ht="61.05" customHeight="1" x14ac:dyDescent="0.3">
      <c r="A170" s="25" t="s">
        <v>327</v>
      </c>
      <c r="B170" s="25" t="s">
        <v>431</v>
      </c>
      <c r="C170" s="12" t="s">
        <v>432</v>
      </c>
      <c r="D170" s="82"/>
      <c r="E170" s="67" t="str">
        <f>HYPERLINK("https://www.google.ru/search?q=32EG7201C-22&amp;newwindow=1&amp;tbm=isch","Еще фото")</f>
        <v>Еще фото</v>
      </c>
      <c r="F170" s="14"/>
      <c r="G170" s="25" t="s">
        <v>433</v>
      </c>
      <c r="H170" s="25" t="s">
        <v>27</v>
      </c>
      <c r="I170" s="25" t="s">
        <v>434</v>
      </c>
      <c r="J170" s="15" t="s">
        <v>162</v>
      </c>
      <c r="K170" s="16" t="s">
        <v>29</v>
      </c>
      <c r="L170" s="84"/>
      <c r="M170" s="15"/>
      <c r="N170" s="15" t="s">
        <v>436</v>
      </c>
      <c r="O170" s="15"/>
      <c r="P170" s="16" t="s">
        <v>106</v>
      </c>
      <c r="Q170" s="17">
        <v>7199</v>
      </c>
      <c r="R170" s="18">
        <v>40</v>
      </c>
      <c r="S170" s="19">
        <v>4967.3099999999995</v>
      </c>
      <c r="T170" s="20" t="s">
        <v>33</v>
      </c>
      <c r="U170" s="21" t="s">
        <v>52</v>
      </c>
      <c r="V170" s="23">
        <v>44</v>
      </c>
      <c r="W170" s="23">
        <v>2</v>
      </c>
      <c r="X170" s="24"/>
    </row>
    <row r="171" spans="1:24" s="1" customFormat="1" ht="26" customHeight="1" x14ac:dyDescent="0.3">
      <c r="A171" s="11" t="s">
        <v>327</v>
      </c>
      <c r="B171" s="11" t="s">
        <v>437</v>
      </c>
      <c r="C171" s="12" t="s">
        <v>438</v>
      </c>
      <c r="D171" s="85"/>
      <c r="E171" s="67" t="str">
        <f>HYPERLINK("https://www.google.ru/search?q=62GB1215-01&amp;newwindow=1&amp;tbm=isch","Еще фото")</f>
        <v>Еще фото</v>
      </c>
      <c r="F171" s="14"/>
      <c r="G171" s="11" t="s">
        <v>439</v>
      </c>
      <c r="H171" s="11" t="s">
        <v>27</v>
      </c>
      <c r="I171" s="15" t="s">
        <v>439</v>
      </c>
      <c r="J171" s="15" t="s">
        <v>360</v>
      </c>
      <c r="K171" s="16" t="s">
        <v>29</v>
      </c>
      <c r="L171" s="83" t="s">
        <v>440</v>
      </c>
      <c r="M171" s="15"/>
      <c r="N171" s="15" t="s">
        <v>173</v>
      </c>
      <c r="O171" s="15"/>
      <c r="P171" s="16" t="s">
        <v>441</v>
      </c>
      <c r="Q171" s="17">
        <v>3399</v>
      </c>
      <c r="R171" s="18">
        <v>46</v>
      </c>
      <c r="S171" s="19">
        <v>2110.779</v>
      </c>
      <c r="T171" s="20" t="s">
        <v>33</v>
      </c>
      <c r="U171" s="21" t="s">
        <v>442</v>
      </c>
      <c r="V171" s="23">
        <v>42</v>
      </c>
      <c r="W171" s="23">
        <v>3</v>
      </c>
      <c r="X171" s="24"/>
    </row>
    <row r="172" spans="1:24" s="1" customFormat="1" ht="26" customHeight="1" x14ac:dyDescent="0.3">
      <c r="A172" s="25" t="s">
        <v>327</v>
      </c>
      <c r="B172" s="25" t="s">
        <v>437</v>
      </c>
      <c r="C172" s="12" t="s">
        <v>438</v>
      </c>
      <c r="D172" s="86"/>
      <c r="E172" s="67" t="str">
        <f>HYPERLINK("https://www.google.ru/search?q=62GB1215-01&amp;newwindow=1&amp;tbm=isch","Еще фото")</f>
        <v>Еще фото</v>
      </c>
      <c r="F172" s="14"/>
      <c r="G172" s="25" t="s">
        <v>439</v>
      </c>
      <c r="H172" s="25" t="s">
        <v>27</v>
      </c>
      <c r="I172" s="25" t="s">
        <v>439</v>
      </c>
      <c r="J172" s="15" t="s">
        <v>360</v>
      </c>
      <c r="K172" s="16" t="s">
        <v>29</v>
      </c>
      <c r="L172" s="88"/>
      <c r="M172" s="15"/>
      <c r="N172" s="15" t="s">
        <v>173</v>
      </c>
      <c r="O172" s="15"/>
      <c r="P172" s="16" t="s">
        <v>441</v>
      </c>
      <c r="Q172" s="17">
        <v>3399</v>
      </c>
      <c r="R172" s="18">
        <v>46</v>
      </c>
      <c r="S172" s="19">
        <v>2110.779</v>
      </c>
      <c r="T172" s="20" t="s">
        <v>33</v>
      </c>
      <c r="U172" s="21" t="s">
        <v>52</v>
      </c>
      <c r="V172" s="23">
        <v>44</v>
      </c>
      <c r="W172" s="23">
        <v>1</v>
      </c>
      <c r="X172" s="24"/>
    </row>
    <row r="173" spans="1:24" s="1" customFormat="1" ht="26" customHeight="1" x14ac:dyDescent="0.3">
      <c r="A173" s="25" t="s">
        <v>327</v>
      </c>
      <c r="B173" s="25" t="s">
        <v>437</v>
      </c>
      <c r="C173" s="12" t="s">
        <v>438</v>
      </c>
      <c r="D173" s="86"/>
      <c r="E173" s="67" t="str">
        <f>HYPERLINK("https://www.google.ru/search?q=62GB1215-01&amp;newwindow=1&amp;tbm=isch","Еще фото")</f>
        <v>Еще фото</v>
      </c>
      <c r="F173" s="14"/>
      <c r="G173" s="25" t="s">
        <v>439</v>
      </c>
      <c r="H173" s="25" t="s">
        <v>27</v>
      </c>
      <c r="I173" s="25" t="s">
        <v>439</v>
      </c>
      <c r="J173" s="15" t="s">
        <v>360</v>
      </c>
      <c r="K173" s="16" t="s">
        <v>29</v>
      </c>
      <c r="L173" s="88"/>
      <c r="M173" s="15"/>
      <c r="N173" s="15" t="s">
        <v>173</v>
      </c>
      <c r="O173" s="15"/>
      <c r="P173" s="16" t="s">
        <v>441</v>
      </c>
      <c r="Q173" s="17">
        <v>3399</v>
      </c>
      <c r="R173" s="18">
        <v>46</v>
      </c>
      <c r="S173" s="19">
        <v>2110.779</v>
      </c>
      <c r="T173" s="20" t="s">
        <v>33</v>
      </c>
      <c r="U173" s="21" t="s">
        <v>40</v>
      </c>
      <c r="V173" s="23">
        <v>46</v>
      </c>
      <c r="W173" s="23">
        <v>2</v>
      </c>
      <c r="X173" s="24"/>
    </row>
    <row r="174" spans="1:24" s="1" customFormat="1" ht="26" customHeight="1" x14ac:dyDescent="0.3">
      <c r="A174" s="25" t="s">
        <v>327</v>
      </c>
      <c r="B174" s="25" t="s">
        <v>437</v>
      </c>
      <c r="C174" s="12" t="s">
        <v>438</v>
      </c>
      <c r="D174" s="87"/>
      <c r="E174" s="67" t="str">
        <f>HYPERLINK("https://www.google.ru/search?q=62GB1215-01&amp;newwindow=1&amp;tbm=isch","Еще фото")</f>
        <v>Еще фото</v>
      </c>
      <c r="F174" s="14"/>
      <c r="G174" s="25" t="s">
        <v>439</v>
      </c>
      <c r="H174" s="25" t="s">
        <v>27</v>
      </c>
      <c r="I174" s="25" t="s">
        <v>439</v>
      </c>
      <c r="J174" s="15" t="s">
        <v>360</v>
      </c>
      <c r="K174" s="16" t="s">
        <v>29</v>
      </c>
      <c r="L174" s="84"/>
      <c r="M174" s="15"/>
      <c r="N174" s="15" t="s">
        <v>173</v>
      </c>
      <c r="O174" s="15"/>
      <c r="P174" s="16" t="s">
        <v>441</v>
      </c>
      <c r="Q174" s="17">
        <v>3399</v>
      </c>
      <c r="R174" s="18">
        <v>46</v>
      </c>
      <c r="S174" s="19">
        <v>2110.779</v>
      </c>
      <c r="T174" s="20" t="s">
        <v>33</v>
      </c>
      <c r="U174" s="21" t="s">
        <v>42</v>
      </c>
      <c r="V174" s="22" t="s">
        <v>43</v>
      </c>
      <c r="W174" s="23">
        <v>1</v>
      </c>
      <c r="X174" s="24"/>
    </row>
    <row r="175" spans="1:24" s="1" customFormat="1" ht="52.05" customHeight="1" x14ac:dyDescent="0.3">
      <c r="A175" s="11" t="s">
        <v>327</v>
      </c>
      <c r="B175" s="11" t="s">
        <v>437</v>
      </c>
      <c r="C175" s="12" t="s">
        <v>443</v>
      </c>
      <c r="D175" s="81"/>
      <c r="E175" s="67" t="str">
        <f>HYPERLINK("https://www.google.ru/search?q=62GB1215-09&amp;newwindow=1&amp;tbm=isch","Еще фото")</f>
        <v>Еще фото</v>
      </c>
      <c r="F175" s="14"/>
      <c r="G175" s="11" t="s">
        <v>439</v>
      </c>
      <c r="H175" s="11" t="s">
        <v>27</v>
      </c>
      <c r="I175" s="15" t="s">
        <v>439</v>
      </c>
      <c r="J175" s="15" t="s">
        <v>360</v>
      </c>
      <c r="K175" s="16" t="s">
        <v>29</v>
      </c>
      <c r="L175" s="83" t="s">
        <v>440</v>
      </c>
      <c r="M175" s="15"/>
      <c r="N175" s="15" t="s">
        <v>38</v>
      </c>
      <c r="O175" s="15"/>
      <c r="P175" s="16" t="s">
        <v>441</v>
      </c>
      <c r="Q175" s="17">
        <v>3790</v>
      </c>
      <c r="R175" s="18">
        <v>40</v>
      </c>
      <c r="S175" s="19">
        <v>2615.1</v>
      </c>
      <c r="T175" s="20" t="s">
        <v>33</v>
      </c>
      <c r="U175" s="21" t="s">
        <v>34</v>
      </c>
      <c r="V175" s="22" t="s">
        <v>35</v>
      </c>
      <c r="W175" s="23">
        <v>2</v>
      </c>
      <c r="X175" s="24"/>
    </row>
    <row r="176" spans="1:24" s="1" customFormat="1" ht="61.05" customHeight="1" x14ac:dyDescent="0.3">
      <c r="A176" s="25" t="s">
        <v>327</v>
      </c>
      <c r="B176" s="25" t="s">
        <v>437</v>
      </c>
      <c r="C176" s="12" t="s">
        <v>443</v>
      </c>
      <c r="D176" s="82"/>
      <c r="E176" s="67" t="str">
        <f>HYPERLINK("https://www.google.ru/search?q=62GB1215-09&amp;newwindow=1&amp;tbm=isch","Еще фото")</f>
        <v>Еще фото</v>
      </c>
      <c r="F176" s="14"/>
      <c r="G176" s="25" t="s">
        <v>439</v>
      </c>
      <c r="H176" s="25" t="s">
        <v>27</v>
      </c>
      <c r="I176" s="25" t="s">
        <v>439</v>
      </c>
      <c r="J176" s="15" t="s">
        <v>360</v>
      </c>
      <c r="K176" s="16" t="s">
        <v>29</v>
      </c>
      <c r="L176" s="84"/>
      <c r="M176" s="15"/>
      <c r="N176" s="15" t="s">
        <v>38</v>
      </c>
      <c r="O176" s="15"/>
      <c r="P176" s="16" t="s">
        <v>441</v>
      </c>
      <c r="Q176" s="17">
        <v>3790</v>
      </c>
      <c r="R176" s="18">
        <v>40</v>
      </c>
      <c r="S176" s="19">
        <v>2615.1</v>
      </c>
      <c r="T176" s="20" t="s">
        <v>33</v>
      </c>
      <c r="U176" s="21" t="s">
        <v>52</v>
      </c>
      <c r="V176" s="23">
        <v>44</v>
      </c>
      <c r="W176" s="23">
        <v>5</v>
      </c>
      <c r="X176" s="24"/>
    </row>
    <row r="177" spans="1:24" s="1" customFormat="1" ht="35" customHeight="1" x14ac:dyDescent="0.3">
      <c r="A177" s="11" t="s">
        <v>327</v>
      </c>
      <c r="B177" s="11" t="s">
        <v>444</v>
      </c>
      <c r="C177" s="12" t="s">
        <v>445</v>
      </c>
      <c r="D177" s="85"/>
      <c r="E177" s="67" t="str">
        <f>HYPERLINK("https://www.google.ru/search?q=62GB1211-01&amp;newwindow=1&amp;tbm=isch","Еще фото")</f>
        <v>Еще фото</v>
      </c>
      <c r="F177" s="14"/>
      <c r="G177" s="11" t="s">
        <v>446</v>
      </c>
      <c r="H177" s="11" t="s">
        <v>27</v>
      </c>
      <c r="I177" s="15" t="s">
        <v>447</v>
      </c>
      <c r="J177" s="15" t="s">
        <v>360</v>
      </c>
      <c r="K177" s="16" t="s">
        <v>29</v>
      </c>
      <c r="L177" s="83" t="s">
        <v>448</v>
      </c>
      <c r="M177" s="15"/>
      <c r="N177" s="15" t="s">
        <v>173</v>
      </c>
      <c r="O177" s="15"/>
      <c r="P177" s="16" t="s">
        <v>441</v>
      </c>
      <c r="Q177" s="17">
        <v>3490</v>
      </c>
      <c r="R177" s="18">
        <v>46</v>
      </c>
      <c r="S177" s="19">
        <v>2167.2899999999995</v>
      </c>
      <c r="T177" s="20" t="s">
        <v>33</v>
      </c>
      <c r="U177" s="21" t="s">
        <v>442</v>
      </c>
      <c r="V177" s="23">
        <v>42</v>
      </c>
      <c r="W177" s="23">
        <v>4</v>
      </c>
      <c r="X177" s="24"/>
    </row>
    <row r="178" spans="1:24" s="1" customFormat="1" ht="35" customHeight="1" x14ac:dyDescent="0.3">
      <c r="A178" s="25" t="s">
        <v>327</v>
      </c>
      <c r="B178" s="25" t="s">
        <v>444</v>
      </c>
      <c r="C178" s="12" t="s">
        <v>445</v>
      </c>
      <c r="D178" s="86"/>
      <c r="E178" s="67" t="str">
        <f>HYPERLINK("https://www.google.ru/search?q=62GB1211-01&amp;newwindow=1&amp;tbm=isch","Еще фото")</f>
        <v>Еще фото</v>
      </c>
      <c r="F178" s="14"/>
      <c r="G178" s="25" t="s">
        <v>446</v>
      </c>
      <c r="H178" s="25" t="s">
        <v>27</v>
      </c>
      <c r="I178" s="25" t="s">
        <v>447</v>
      </c>
      <c r="J178" s="15" t="s">
        <v>360</v>
      </c>
      <c r="K178" s="16" t="s">
        <v>29</v>
      </c>
      <c r="L178" s="88"/>
      <c r="M178" s="15"/>
      <c r="N178" s="15" t="s">
        <v>173</v>
      </c>
      <c r="O178" s="15"/>
      <c r="P178" s="16" t="s">
        <v>441</v>
      </c>
      <c r="Q178" s="17">
        <v>3490</v>
      </c>
      <c r="R178" s="18">
        <v>46</v>
      </c>
      <c r="S178" s="19">
        <v>2167.2899999999995</v>
      </c>
      <c r="T178" s="20" t="s">
        <v>33</v>
      </c>
      <c r="U178" s="21" t="s">
        <v>34</v>
      </c>
      <c r="V178" s="22" t="s">
        <v>35</v>
      </c>
      <c r="W178" s="23">
        <v>3</v>
      </c>
      <c r="X178" s="24"/>
    </row>
    <row r="179" spans="1:24" s="1" customFormat="1" ht="37.049999999999997" customHeight="1" x14ac:dyDescent="0.3">
      <c r="A179" s="25" t="s">
        <v>327</v>
      </c>
      <c r="B179" s="25" t="s">
        <v>444</v>
      </c>
      <c r="C179" s="12" t="s">
        <v>445</v>
      </c>
      <c r="D179" s="87"/>
      <c r="E179" s="67" t="str">
        <f>HYPERLINK("https://www.google.ru/search?q=62GB1211-01&amp;newwindow=1&amp;tbm=isch","Еще фото")</f>
        <v>Еще фото</v>
      </c>
      <c r="F179" s="14"/>
      <c r="G179" s="25" t="s">
        <v>446</v>
      </c>
      <c r="H179" s="25" t="s">
        <v>27</v>
      </c>
      <c r="I179" s="25" t="s">
        <v>447</v>
      </c>
      <c r="J179" s="15" t="s">
        <v>360</v>
      </c>
      <c r="K179" s="16" t="s">
        <v>29</v>
      </c>
      <c r="L179" s="84"/>
      <c r="M179" s="15"/>
      <c r="N179" s="15" t="s">
        <v>173</v>
      </c>
      <c r="O179" s="15"/>
      <c r="P179" s="16" t="s">
        <v>441</v>
      </c>
      <c r="Q179" s="17">
        <v>3490</v>
      </c>
      <c r="R179" s="18">
        <v>46</v>
      </c>
      <c r="S179" s="19">
        <v>2167.2899999999995</v>
      </c>
      <c r="T179" s="20" t="s">
        <v>33</v>
      </c>
      <c r="U179" s="21" t="s">
        <v>40</v>
      </c>
      <c r="V179" s="23">
        <v>46</v>
      </c>
      <c r="W179" s="23">
        <v>2</v>
      </c>
      <c r="X179" s="24"/>
    </row>
    <row r="180" spans="1:24" s="1" customFormat="1" ht="21" customHeight="1" x14ac:dyDescent="0.3">
      <c r="A180" s="11" t="s">
        <v>327</v>
      </c>
      <c r="B180" s="11" t="s">
        <v>449</v>
      </c>
      <c r="C180" s="27" t="s">
        <v>450</v>
      </c>
      <c r="D180" s="85"/>
      <c r="E180" s="67" t="str">
        <f>HYPERLINK("https://www.google.ru/search?q=62GB2201-13&amp;newwindow=1&amp;tbm=isch","Еще фото")</f>
        <v>Еще фото</v>
      </c>
      <c r="F180" s="14"/>
      <c r="G180" s="11" t="s">
        <v>446</v>
      </c>
      <c r="H180" s="11" t="s">
        <v>27</v>
      </c>
      <c r="I180" s="15" t="s">
        <v>447</v>
      </c>
      <c r="J180" s="15" t="s">
        <v>360</v>
      </c>
      <c r="K180" s="16" t="s">
        <v>29</v>
      </c>
      <c r="L180" s="83" t="s">
        <v>451</v>
      </c>
      <c r="M180" s="15"/>
      <c r="N180" s="15" t="s">
        <v>55</v>
      </c>
      <c r="O180" s="15"/>
      <c r="P180" s="16" t="s">
        <v>452</v>
      </c>
      <c r="Q180" s="17">
        <v>4490</v>
      </c>
      <c r="R180" s="18">
        <v>46</v>
      </c>
      <c r="S180" s="19">
        <v>2788.2899999999995</v>
      </c>
      <c r="T180" s="20" t="s">
        <v>33</v>
      </c>
      <c r="U180" s="21" t="s">
        <v>442</v>
      </c>
      <c r="V180" s="23">
        <v>42</v>
      </c>
      <c r="W180" s="23">
        <v>3</v>
      </c>
      <c r="X180" s="24"/>
    </row>
    <row r="181" spans="1:24" s="1" customFormat="1" ht="21" customHeight="1" x14ac:dyDescent="0.3">
      <c r="A181" s="25" t="s">
        <v>327</v>
      </c>
      <c r="B181" s="25" t="s">
        <v>449</v>
      </c>
      <c r="C181" s="28" t="s">
        <v>450</v>
      </c>
      <c r="D181" s="86"/>
      <c r="E181" s="67" t="str">
        <f>HYPERLINK("https://www.google.ru/search?q=62GB2201-13&amp;newwindow=1&amp;tbm=isch","Еще фото")</f>
        <v>Еще фото</v>
      </c>
      <c r="F181" s="14"/>
      <c r="G181" s="25" t="s">
        <v>446</v>
      </c>
      <c r="H181" s="25" t="s">
        <v>27</v>
      </c>
      <c r="I181" s="25" t="s">
        <v>447</v>
      </c>
      <c r="J181" s="15" t="s">
        <v>360</v>
      </c>
      <c r="K181" s="16" t="s">
        <v>29</v>
      </c>
      <c r="L181" s="88"/>
      <c r="M181" s="15"/>
      <c r="N181" s="15" t="s">
        <v>55</v>
      </c>
      <c r="O181" s="15"/>
      <c r="P181" s="16" t="s">
        <v>452</v>
      </c>
      <c r="Q181" s="17">
        <v>4490</v>
      </c>
      <c r="R181" s="18">
        <v>46</v>
      </c>
      <c r="S181" s="19">
        <v>2788.2899999999995</v>
      </c>
      <c r="T181" s="20" t="s">
        <v>33</v>
      </c>
      <c r="U181" s="21" t="s">
        <v>34</v>
      </c>
      <c r="V181" s="22" t="s">
        <v>35</v>
      </c>
      <c r="W181" s="23">
        <v>5</v>
      </c>
      <c r="X181" s="24"/>
    </row>
    <row r="182" spans="1:24" s="1" customFormat="1" ht="21" customHeight="1" x14ac:dyDescent="0.3">
      <c r="A182" s="25" t="s">
        <v>327</v>
      </c>
      <c r="B182" s="25" t="s">
        <v>449</v>
      </c>
      <c r="C182" s="28" t="s">
        <v>450</v>
      </c>
      <c r="D182" s="86"/>
      <c r="E182" s="67" t="str">
        <f>HYPERLINK("https://www.google.ru/search?q=62GB2201-13&amp;newwindow=1&amp;tbm=isch","Еще фото")</f>
        <v>Еще фото</v>
      </c>
      <c r="F182" s="14"/>
      <c r="G182" s="25" t="s">
        <v>446</v>
      </c>
      <c r="H182" s="25" t="s">
        <v>27</v>
      </c>
      <c r="I182" s="25" t="s">
        <v>447</v>
      </c>
      <c r="J182" s="15" t="s">
        <v>360</v>
      </c>
      <c r="K182" s="16" t="s">
        <v>29</v>
      </c>
      <c r="L182" s="88"/>
      <c r="M182" s="15"/>
      <c r="N182" s="15" t="s">
        <v>55</v>
      </c>
      <c r="O182" s="15"/>
      <c r="P182" s="16" t="s">
        <v>452</v>
      </c>
      <c r="Q182" s="17">
        <v>4490</v>
      </c>
      <c r="R182" s="18">
        <v>46</v>
      </c>
      <c r="S182" s="19">
        <v>2788.2899999999995</v>
      </c>
      <c r="T182" s="20" t="s">
        <v>33</v>
      </c>
      <c r="U182" s="21" t="s">
        <v>52</v>
      </c>
      <c r="V182" s="23">
        <v>44</v>
      </c>
      <c r="W182" s="23">
        <v>7</v>
      </c>
      <c r="X182" s="24"/>
    </row>
    <row r="183" spans="1:24" s="1" customFormat="1" ht="21" customHeight="1" x14ac:dyDescent="0.3">
      <c r="A183" s="25" t="s">
        <v>327</v>
      </c>
      <c r="B183" s="25" t="s">
        <v>449</v>
      </c>
      <c r="C183" s="28" t="s">
        <v>450</v>
      </c>
      <c r="D183" s="86"/>
      <c r="E183" s="67" t="str">
        <f>HYPERLINK("https://www.google.ru/search?q=62GB2201-13&amp;newwindow=1&amp;tbm=isch","Еще фото")</f>
        <v>Еще фото</v>
      </c>
      <c r="F183" s="14"/>
      <c r="G183" s="25" t="s">
        <v>446</v>
      </c>
      <c r="H183" s="25" t="s">
        <v>27</v>
      </c>
      <c r="I183" s="25" t="s">
        <v>447</v>
      </c>
      <c r="J183" s="15" t="s">
        <v>360</v>
      </c>
      <c r="K183" s="16" t="s">
        <v>29</v>
      </c>
      <c r="L183" s="88"/>
      <c r="M183" s="15"/>
      <c r="N183" s="15" t="s">
        <v>55</v>
      </c>
      <c r="O183" s="15"/>
      <c r="P183" s="16" t="s">
        <v>452</v>
      </c>
      <c r="Q183" s="17">
        <v>4490</v>
      </c>
      <c r="R183" s="18">
        <v>46</v>
      </c>
      <c r="S183" s="19">
        <v>2788.2899999999995</v>
      </c>
      <c r="T183" s="20" t="s">
        <v>33</v>
      </c>
      <c r="U183" s="21" t="s">
        <v>40</v>
      </c>
      <c r="V183" s="23">
        <v>46</v>
      </c>
      <c r="W183" s="23">
        <v>3</v>
      </c>
      <c r="X183" s="24"/>
    </row>
    <row r="184" spans="1:24" s="1" customFormat="1" ht="32" customHeight="1" x14ac:dyDescent="0.3">
      <c r="A184" s="25" t="s">
        <v>327</v>
      </c>
      <c r="B184" s="25" t="s">
        <v>449</v>
      </c>
      <c r="C184" s="28" t="s">
        <v>450</v>
      </c>
      <c r="D184" s="87"/>
      <c r="E184" s="67" t="str">
        <f>HYPERLINK("https://www.google.ru/search?q=62GB2201-13&amp;newwindow=1&amp;tbm=isch","Еще фото")</f>
        <v>Еще фото</v>
      </c>
      <c r="F184" s="14"/>
      <c r="G184" s="25" t="s">
        <v>446</v>
      </c>
      <c r="H184" s="25" t="s">
        <v>27</v>
      </c>
      <c r="I184" s="25" t="s">
        <v>447</v>
      </c>
      <c r="J184" s="15" t="s">
        <v>360</v>
      </c>
      <c r="K184" s="16" t="s">
        <v>29</v>
      </c>
      <c r="L184" s="84"/>
      <c r="M184" s="15"/>
      <c r="N184" s="15" t="s">
        <v>55</v>
      </c>
      <c r="O184" s="15"/>
      <c r="P184" s="16" t="s">
        <v>452</v>
      </c>
      <c r="Q184" s="17">
        <v>4490</v>
      </c>
      <c r="R184" s="18">
        <v>46</v>
      </c>
      <c r="S184" s="19">
        <v>2788.2899999999995</v>
      </c>
      <c r="T184" s="20" t="s">
        <v>33</v>
      </c>
      <c r="U184" s="21" t="s">
        <v>42</v>
      </c>
      <c r="V184" s="22" t="s">
        <v>43</v>
      </c>
      <c r="W184" s="23">
        <v>1</v>
      </c>
      <c r="X184" s="24"/>
    </row>
    <row r="185" spans="1:24" s="1" customFormat="1" ht="26" customHeight="1" x14ac:dyDescent="0.3">
      <c r="A185" s="11" t="s">
        <v>327</v>
      </c>
      <c r="B185" s="11" t="s">
        <v>453</v>
      </c>
      <c r="C185" s="12" t="s">
        <v>454</v>
      </c>
      <c r="D185" s="85"/>
      <c r="E185" s="67" t="str">
        <f>HYPERLINK("https://www.google.ru/search?q=62GBA701-53&amp;newwindow=1&amp;tbm=isch","Еще фото")</f>
        <v>Еще фото</v>
      </c>
      <c r="F185" s="14"/>
      <c r="G185" s="11" t="s">
        <v>446</v>
      </c>
      <c r="H185" s="11" t="s">
        <v>27</v>
      </c>
      <c r="I185" s="15" t="s">
        <v>447</v>
      </c>
      <c r="J185" s="15" t="s">
        <v>162</v>
      </c>
      <c r="K185" s="16" t="s">
        <v>29</v>
      </c>
      <c r="L185" s="83" t="s">
        <v>455</v>
      </c>
      <c r="M185" s="15"/>
      <c r="N185" s="15" t="s">
        <v>212</v>
      </c>
      <c r="O185" s="15"/>
      <c r="P185" s="16" t="s">
        <v>456</v>
      </c>
      <c r="Q185" s="17">
        <v>4199</v>
      </c>
      <c r="R185" s="18">
        <v>43</v>
      </c>
      <c r="S185" s="19">
        <v>2752.4444999999996</v>
      </c>
      <c r="T185" s="20" t="s">
        <v>33</v>
      </c>
      <c r="U185" s="21" t="s">
        <v>442</v>
      </c>
      <c r="V185" s="23">
        <v>42</v>
      </c>
      <c r="W185" s="23">
        <v>2</v>
      </c>
      <c r="X185" s="24"/>
    </row>
    <row r="186" spans="1:24" s="1" customFormat="1" ht="26" customHeight="1" x14ac:dyDescent="0.3">
      <c r="A186" s="25" t="s">
        <v>327</v>
      </c>
      <c r="B186" s="25" t="s">
        <v>453</v>
      </c>
      <c r="C186" s="12" t="s">
        <v>454</v>
      </c>
      <c r="D186" s="86"/>
      <c r="E186" s="67" t="str">
        <f>HYPERLINK("https://www.google.ru/search?q=62GBA701-53&amp;newwindow=1&amp;tbm=isch","Еще фото")</f>
        <v>Еще фото</v>
      </c>
      <c r="F186" s="14"/>
      <c r="G186" s="25" t="s">
        <v>446</v>
      </c>
      <c r="H186" s="25" t="s">
        <v>27</v>
      </c>
      <c r="I186" s="25" t="s">
        <v>447</v>
      </c>
      <c r="J186" s="15" t="s">
        <v>162</v>
      </c>
      <c r="K186" s="16" t="s">
        <v>29</v>
      </c>
      <c r="L186" s="88"/>
      <c r="M186" s="15"/>
      <c r="N186" s="15" t="s">
        <v>212</v>
      </c>
      <c r="O186" s="15"/>
      <c r="P186" s="16" t="s">
        <v>456</v>
      </c>
      <c r="Q186" s="17">
        <v>4199</v>
      </c>
      <c r="R186" s="18">
        <v>43</v>
      </c>
      <c r="S186" s="19">
        <v>2752.4444999999996</v>
      </c>
      <c r="T186" s="20" t="s">
        <v>33</v>
      </c>
      <c r="U186" s="21" t="s">
        <v>34</v>
      </c>
      <c r="V186" s="22" t="s">
        <v>35</v>
      </c>
      <c r="W186" s="23">
        <v>3</v>
      </c>
      <c r="X186" s="24"/>
    </row>
    <row r="187" spans="1:24" s="1" customFormat="1" ht="26" customHeight="1" x14ac:dyDescent="0.3">
      <c r="A187" s="25" t="s">
        <v>327</v>
      </c>
      <c r="B187" s="25" t="s">
        <v>453</v>
      </c>
      <c r="C187" s="12" t="s">
        <v>454</v>
      </c>
      <c r="D187" s="86"/>
      <c r="E187" s="67" t="str">
        <f>HYPERLINK("https://www.google.ru/search?q=62GBA701-53&amp;newwindow=1&amp;tbm=isch","Еще фото")</f>
        <v>Еще фото</v>
      </c>
      <c r="F187" s="14"/>
      <c r="G187" s="25" t="s">
        <v>446</v>
      </c>
      <c r="H187" s="25" t="s">
        <v>27</v>
      </c>
      <c r="I187" s="25" t="s">
        <v>447</v>
      </c>
      <c r="J187" s="15" t="s">
        <v>162</v>
      </c>
      <c r="K187" s="16" t="s">
        <v>29</v>
      </c>
      <c r="L187" s="88"/>
      <c r="M187" s="15"/>
      <c r="N187" s="15" t="s">
        <v>212</v>
      </c>
      <c r="O187" s="15"/>
      <c r="P187" s="16" t="s">
        <v>456</v>
      </c>
      <c r="Q187" s="17">
        <v>4199</v>
      </c>
      <c r="R187" s="18">
        <v>43</v>
      </c>
      <c r="S187" s="19">
        <v>2752.4444999999996</v>
      </c>
      <c r="T187" s="20" t="s">
        <v>33</v>
      </c>
      <c r="U187" s="21" t="s">
        <v>52</v>
      </c>
      <c r="V187" s="23">
        <v>44</v>
      </c>
      <c r="W187" s="23">
        <v>3</v>
      </c>
      <c r="X187" s="24"/>
    </row>
    <row r="188" spans="1:24" s="1" customFormat="1" ht="26" customHeight="1" x14ac:dyDescent="0.3">
      <c r="A188" s="25" t="s">
        <v>327</v>
      </c>
      <c r="B188" s="25" t="s">
        <v>453</v>
      </c>
      <c r="C188" s="12" t="s">
        <v>454</v>
      </c>
      <c r="D188" s="87"/>
      <c r="E188" s="67" t="str">
        <f>HYPERLINK("https://www.google.ru/search?q=62GBA701-53&amp;newwindow=1&amp;tbm=isch","Еще фото")</f>
        <v>Еще фото</v>
      </c>
      <c r="F188" s="14"/>
      <c r="G188" s="25" t="s">
        <v>446</v>
      </c>
      <c r="H188" s="25" t="s">
        <v>27</v>
      </c>
      <c r="I188" s="25" t="s">
        <v>447</v>
      </c>
      <c r="J188" s="15" t="s">
        <v>162</v>
      </c>
      <c r="K188" s="16" t="s">
        <v>29</v>
      </c>
      <c r="L188" s="84"/>
      <c r="M188" s="15"/>
      <c r="N188" s="15" t="s">
        <v>212</v>
      </c>
      <c r="O188" s="15"/>
      <c r="P188" s="16" t="s">
        <v>456</v>
      </c>
      <c r="Q188" s="17">
        <v>4199</v>
      </c>
      <c r="R188" s="18">
        <v>43</v>
      </c>
      <c r="S188" s="19">
        <v>2752.4444999999996</v>
      </c>
      <c r="T188" s="20" t="s">
        <v>33</v>
      </c>
      <c r="U188" s="21" t="s">
        <v>40</v>
      </c>
      <c r="V188" s="23">
        <v>46</v>
      </c>
      <c r="W188" s="23">
        <v>2</v>
      </c>
      <c r="X188" s="24"/>
    </row>
    <row r="189" spans="1:24" s="1" customFormat="1" ht="52.05" customHeight="1" x14ac:dyDescent="0.3">
      <c r="A189" s="11" t="s">
        <v>327</v>
      </c>
      <c r="B189" s="11" t="s">
        <v>457</v>
      </c>
      <c r="C189" s="12" t="s">
        <v>458</v>
      </c>
      <c r="D189" s="81"/>
      <c r="E189" s="67" t="str">
        <f>HYPERLINK("https://www.google.ru/search?q=62GH2201-13&amp;newwindow=1&amp;tbm=isch","Еще фото")</f>
        <v>Еще фото</v>
      </c>
      <c r="F189" s="14"/>
      <c r="G189" s="11" t="s">
        <v>459</v>
      </c>
      <c r="H189" s="11" t="s">
        <v>27</v>
      </c>
      <c r="I189" s="15" t="s">
        <v>447</v>
      </c>
      <c r="J189" s="15" t="s">
        <v>162</v>
      </c>
      <c r="K189" s="16" t="s">
        <v>29</v>
      </c>
      <c r="L189" s="83" t="s">
        <v>460</v>
      </c>
      <c r="M189" s="15"/>
      <c r="N189" s="15" t="s">
        <v>55</v>
      </c>
      <c r="O189" s="15"/>
      <c r="P189" s="16" t="s">
        <v>461</v>
      </c>
      <c r="Q189" s="17">
        <v>6599</v>
      </c>
      <c r="R189" s="18">
        <v>40</v>
      </c>
      <c r="S189" s="19">
        <v>4553.3099999999995</v>
      </c>
      <c r="T189" s="20" t="s">
        <v>33</v>
      </c>
      <c r="U189" s="21" t="s">
        <v>34</v>
      </c>
      <c r="V189" s="22" t="s">
        <v>35</v>
      </c>
      <c r="W189" s="23">
        <v>1</v>
      </c>
      <c r="X189" s="24"/>
    </row>
    <row r="190" spans="1:24" s="1" customFormat="1" ht="61.05" customHeight="1" x14ac:dyDescent="0.3">
      <c r="A190" s="25" t="s">
        <v>327</v>
      </c>
      <c r="B190" s="25" t="s">
        <v>457</v>
      </c>
      <c r="C190" s="12" t="s">
        <v>458</v>
      </c>
      <c r="D190" s="82"/>
      <c r="E190" s="67" t="str">
        <f>HYPERLINK("https://www.google.ru/search?q=62GH2201-13&amp;newwindow=1&amp;tbm=isch","Еще фото")</f>
        <v>Еще фото</v>
      </c>
      <c r="F190" s="14"/>
      <c r="G190" s="25" t="s">
        <v>459</v>
      </c>
      <c r="H190" s="25" t="s">
        <v>27</v>
      </c>
      <c r="I190" s="25" t="s">
        <v>447</v>
      </c>
      <c r="J190" s="15" t="s">
        <v>162</v>
      </c>
      <c r="K190" s="16" t="s">
        <v>29</v>
      </c>
      <c r="L190" s="84"/>
      <c r="M190" s="15"/>
      <c r="N190" s="15" t="s">
        <v>55</v>
      </c>
      <c r="O190" s="15"/>
      <c r="P190" s="16" t="s">
        <v>461</v>
      </c>
      <c r="Q190" s="17">
        <v>6599</v>
      </c>
      <c r="R190" s="18">
        <v>40</v>
      </c>
      <c r="S190" s="19">
        <v>4553.3099999999995</v>
      </c>
      <c r="T190" s="20" t="s">
        <v>33</v>
      </c>
      <c r="U190" s="21" t="s">
        <v>52</v>
      </c>
      <c r="V190" s="23">
        <v>44</v>
      </c>
      <c r="W190" s="23">
        <v>2</v>
      </c>
      <c r="X190" s="24"/>
    </row>
    <row r="191" spans="1:24" s="1" customFormat="1" ht="108" customHeight="1" x14ac:dyDescent="0.3">
      <c r="A191" s="11" t="s">
        <v>462</v>
      </c>
      <c r="B191" s="31">
        <v>619</v>
      </c>
      <c r="C191" s="12" t="s">
        <v>463</v>
      </c>
      <c r="D191" s="13"/>
      <c r="E191" s="67" t="str">
        <f>HYPERLINK("https://www.google.ru/search?q=619-1342A-676&amp;newwindow=1&amp;tbm=isch","Еще фото")</f>
        <v>Еще фото</v>
      </c>
      <c r="F191" s="14"/>
      <c r="G191" s="11" t="s">
        <v>26</v>
      </c>
      <c r="H191" s="11" t="s">
        <v>27</v>
      </c>
      <c r="I191" s="15" t="s">
        <v>26</v>
      </c>
      <c r="J191" s="15" t="s">
        <v>82</v>
      </c>
      <c r="K191" s="16" t="s">
        <v>45</v>
      </c>
      <c r="L191" s="15" t="s">
        <v>464</v>
      </c>
      <c r="M191" s="15"/>
      <c r="N191" s="15" t="s">
        <v>31</v>
      </c>
      <c r="O191" s="15"/>
      <c r="P191" s="16" t="s">
        <v>74</v>
      </c>
      <c r="Q191" s="17">
        <v>8990</v>
      </c>
      <c r="R191" s="18">
        <v>45</v>
      </c>
      <c r="S191" s="19">
        <v>5686.1749999999993</v>
      </c>
      <c r="T191" s="20" t="s">
        <v>465</v>
      </c>
      <c r="U191" s="21" t="s">
        <v>158</v>
      </c>
      <c r="V191" s="23">
        <v>44</v>
      </c>
      <c r="W191" s="23">
        <v>2</v>
      </c>
      <c r="X191" s="24"/>
    </row>
    <row r="192" spans="1:24" s="1" customFormat="1" ht="52.05" customHeight="1" x14ac:dyDescent="0.3">
      <c r="A192" s="11" t="s">
        <v>462</v>
      </c>
      <c r="B192" s="31">
        <v>619</v>
      </c>
      <c r="C192" s="12" t="s">
        <v>466</v>
      </c>
      <c r="D192" s="81"/>
      <c r="E192" s="67" t="str">
        <f>HYPERLINK("https://www.google.ru/search?q=619-1342A-765&amp;newwindow=1&amp;tbm=isch","Еще фото")</f>
        <v>Еще фото</v>
      </c>
      <c r="F192" s="14"/>
      <c r="G192" s="11" t="s">
        <v>26</v>
      </c>
      <c r="H192" s="11" t="s">
        <v>27</v>
      </c>
      <c r="I192" s="15" t="s">
        <v>26</v>
      </c>
      <c r="J192" s="15" t="s">
        <v>82</v>
      </c>
      <c r="K192" s="16" t="s">
        <v>45</v>
      </c>
      <c r="L192" s="83" t="s">
        <v>464</v>
      </c>
      <c r="M192" s="15"/>
      <c r="N192" s="15" t="s">
        <v>55</v>
      </c>
      <c r="O192" s="15"/>
      <c r="P192" s="16" t="s">
        <v>74</v>
      </c>
      <c r="Q192" s="17">
        <v>8990</v>
      </c>
      <c r="R192" s="18">
        <v>45</v>
      </c>
      <c r="S192" s="19">
        <v>5686.1749999999993</v>
      </c>
      <c r="T192" s="20" t="s">
        <v>465</v>
      </c>
      <c r="U192" s="21" t="s">
        <v>158</v>
      </c>
      <c r="V192" s="23">
        <v>44</v>
      </c>
      <c r="W192" s="23">
        <v>2</v>
      </c>
      <c r="X192" s="24"/>
    </row>
    <row r="193" spans="1:24" s="1" customFormat="1" ht="61.05" customHeight="1" x14ac:dyDescent="0.3">
      <c r="A193" s="25" t="s">
        <v>462</v>
      </c>
      <c r="B193" s="32">
        <v>619</v>
      </c>
      <c r="C193" s="12" t="s">
        <v>466</v>
      </c>
      <c r="D193" s="82"/>
      <c r="E193" s="67" t="str">
        <f>HYPERLINK("https://www.google.ru/search?q=619-1342A-765&amp;newwindow=1&amp;tbm=isch","Еще фото")</f>
        <v>Еще фото</v>
      </c>
      <c r="F193" s="14"/>
      <c r="G193" s="25" t="s">
        <v>26</v>
      </c>
      <c r="H193" s="25" t="s">
        <v>27</v>
      </c>
      <c r="I193" s="25" t="s">
        <v>26</v>
      </c>
      <c r="J193" s="15" t="s">
        <v>82</v>
      </c>
      <c r="K193" s="16" t="s">
        <v>45</v>
      </c>
      <c r="L193" s="84"/>
      <c r="M193" s="15"/>
      <c r="N193" s="15" t="s">
        <v>55</v>
      </c>
      <c r="O193" s="15"/>
      <c r="P193" s="16" t="s">
        <v>74</v>
      </c>
      <c r="Q193" s="17">
        <v>8990</v>
      </c>
      <c r="R193" s="18">
        <v>45</v>
      </c>
      <c r="S193" s="19">
        <v>5686.1749999999993</v>
      </c>
      <c r="T193" s="20" t="s">
        <v>465</v>
      </c>
      <c r="U193" s="21" t="s">
        <v>467</v>
      </c>
      <c r="V193" s="23">
        <v>48</v>
      </c>
      <c r="W193" s="23">
        <v>1</v>
      </c>
      <c r="X193" s="24"/>
    </row>
    <row r="194" spans="1:24" s="1" customFormat="1" ht="108" customHeight="1" x14ac:dyDescent="0.3">
      <c r="A194" s="11" t="s">
        <v>462</v>
      </c>
      <c r="B194" s="31">
        <v>624</v>
      </c>
      <c r="C194" s="12" t="s">
        <v>468</v>
      </c>
      <c r="D194" s="13"/>
      <c r="E194" s="67" t="str">
        <f>HYPERLINK("https://www.google.ru/search?q=624-0942A-264&amp;newwindow=1&amp;tbm=isch","Еще фото")</f>
        <v>Еще фото</v>
      </c>
      <c r="F194" s="14"/>
      <c r="G194" s="11" t="s">
        <v>26</v>
      </c>
      <c r="H194" s="11" t="s">
        <v>27</v>
      </c>
      <c r="I194" s="15" t="s">
        <v>26</v>
      </c>
      <c r="J194" s="15" t="s">
        <v>82</v>
      </c>
      <c r="K194" s="16" t="s">
        <v>45</v>
      </c>
      <c r="L194" s="15" t="s">
        <v>469</v>
      </c>
      <c r="M194" s="15"/>
      <c r="N194" s="15" t="s">
        <v>132</v>
      </c>
      <c r="O194" s="15"/>
      <c r="P194" s="16" t="s">
        <v>470</v>
      </c>
      <c r="Q194" s="17">
        <v>8990</v>
      </c>
      <c r="R194" s="18">
        <v>45</v>
      </c>
      <c r="S194" s="19">
        <v>5686.1749999999993</v>
      </c>
      <c r="T194" s="20" t="s">
        <v>465</v>
      </c>
      <c r="U194" s="21" t="s">
        <v>158</v>
      </c>
      <c r="V194" s="23">
        <v>44</v>
      </c>
      <c r="W194" s="23">
        <v>1</v>
      </c>
      <c r="X194" s="24"/>
    </row>
    <row r="195" spans="1:24" s="1" customFormat="1" ht="108" customHeight="1" x14ac:dyDescent="0.3">
      <c r="A195" s="11" t="s">
        <v>462</v>
      </c>
      <c r="B195" s="31">
        <v>624</v>
      </c>
      <c r="C195" s="12" t="s">
        <v>471</v>
      </c>
      <c r="D195" s="13"/>
      <c r="E195" s="67" t="str">
        <f>HYPERLINK("https://www.google.ru/search?q=624-0942A-676T&amp;newwindow=1&amp;tbm=isch","Еще фото")</f>
        <v>Еще фото</v>
      </c>
      <c r="F195" s="14"/>
      <c r="G195" s="11" t="s">
        <v>26</v>
      </c>
      <c r="H195" s="11" t="s">
        <v>27</v>
      </c>
      <c r="I195" s="15" t="s">
        <v>26</v>
      </c>
      <c r="J195" s="15" t="s">
        <v>82</v>
      </c>
      <c r="K195" s="16" t="s">
        <v>45</v>
      </c>
      <c r="L195" s="15" t="s">
        <v>469</v>
      </c>
      <c r="M195" s="15"/>
      <c r="N195" s="15" t="s">
        <v>31</v>
      </c>
      <c r="O195" s="15"/>
      <c r="P195" s="16" t="s">
        <v>472</v>
      </c>
      <c r="Q195" s="17">
        <v>8990</v>
      </c>
      <c r="R195" s="18">
        <v>45</v>
      </c>
      <c r="S195" s="19">
        <v>5686.1749999999993</v>
      </c>
      <c r="T195" s="20" t="s">
        <v>465</v>
      </c>
      <c r="U195" s="21" t="s">
        <v>158</v>
      </c>
      <c r="V195" s="23">
        <v>44</v>
      </c>
      <c r="W195" s="23">
        <v>3</v>
      </c>
      <c r="X195" s="24"/>
    </row>
    <row r="196" spans="1:24" s="1" customFormat="1" ht="108" customHeight="1" x14ac:dyDescent="0.3">
      <c r="A196" s="11" t="s">
        <v>462</v>
      </c>
      <c r="B196" s="31">
        <v>700</v>
      </c>
      <c r="C196" s="12" t="s">
        <v>473</v>
      </c>
      <c r="D196" s="13"/>
      <c r="E196" s="67" t="str">
        <f>HYPERLINK("https://www.google.ru/search?q=700-1342A-262&amp;newwindow=1&amp;tbm=isch","Еще фото")</f>
        <v>Еще фото</v>
      </c>
      <c r="F196" s="14"/>
      <c r="G196" s="11" t="s">
        <v>26</v>
      </c>
      <c r="H196" s="11" t="s">
        <v>27</v>
      </c>
      <c r="I196" s="15" t="s">
        <v>26</v>
      </c>
      <c r="J196" s="15" t="s">
        <v>82</v>
      </c>
      <c r="K196" s="16" t="s">
        <v>45</v>
      </c>
      <c r="L196" s="15" t="s">
        <v>474</v>
      </c>
      <c r="M196" s="15"/>
      <c r="N196" s="15" t="s">
        <v>475</v>
      </c>
      <c r="O196" s="15"/>
      <c r="P196" s="16" t="s">
        <v>74</v>
      </c>
      <c r="Q196" s="17">
        <v>8990</v>
      </c>
      <c r="R196" s="18">
        <v>45</v>
      </c>
      <c r="S196" s="19">
        <v>5686.1749999999993</v>
      </c>
      <c r="T196" s="20" t="s">
        <v>465</v>
      </c>
      <c r="U196" s="21" t="s">
        <v>158</v>
      </c>
      <c r="V196" s="23">
        <v>44</v>
      </c>
      <c r="W196" s="23">
        <v>3</v>
      </c>
      <c r="X196" s="24"/>
    </row>
    <row r="197" spans="1:24" s="1" customFormat="1" ht="108" customHeight="1" x14ac:dyDescent="0.3">
      <c r="A197" s="11" t="s">
        <v>462</v>
      </c>
      <c r="B197" s="31">
        <v>700</v>
      </c>
      <c r="C197" s="12" t="s">
        <v>476</v>
      </c>
      <c r="D197" s="13"/>
      <c r="E197" s="67" t="str">
        <f>HYPERLINK("https://www.google.ru/search?q=700-0921S-051&amp;newwindow=1&amp;tbm=isch","Еще фото")</f>
        <v>Еще фото</v>
      </c>
      <c r="F197" s="14"/>
      <c r="G197" s="11" t="s">
        <v>81</v>
      </c>
      <c r="H197" s="11" t="s">
        <v>27</v>
      </c>
      <c r="I197" s="15" t="s">
        <v>81</v>
      </c>
      <c r="J197" s="15" t="s">
        <v>82</v>
      </c>
      <c r="K197" s="16" t="s">
        <v>45</v>
      </c>
      <c r="L197" s="15" t="s">
        <v>477</v>
      </c>
      <c r="M197" s="15"/>
      <c r="N197" s="15" t="s">
        <v>122</v>
      </c>
      <c r="O197" s="15"/>
      <c r="P197" s="16" t="s">
        <v>85</v>
      </c>
      <c r="Q197" s="17">
        <v>9990</v>
      </c>
      <c r="R197" s="18">
        <v>45</v>
      </c>
      <c r="S197" s="19">
        <v>6318.6749999999993</v>
      </c>
      <c r="T197" s="20" t="s">
        <v>465</v>
      </c>
      <c r="U197" s="21" t="s">
        <v>158</v>
      </c>
      <c r="V197" s="23">
        <v>44</v>
      </c>
      <c r="W197" s="23">
        <v>1</v>
      </c>
      <c r="X197" s="24"/>
    </row>
    <row r="198" spans="1:24" s="1" customFormat="1" ht="108" customHeight="1" x14ac:dyDescent="0.3">
      <c r="A198" s="11" t="s">
        <v>462</v>
      </c>
      <c r="B198" s="31">
        <v>710</v>
      </c>
      <c r="C198" s="12" t="s">
        <v>478</v>
      </c>
      <c r="D198" s="13"/>
      <c r="E198" s="67" t="str">
        <f>HYPERLINK("https://www.google.ru/search?q=710-0970A-501&amp;newwindow=1&amp;tbm=isch","Еще фото")</f>
        <v>Еще фото</v>
      </c>
      <c r="F198" s="14"/>
      <c r="G198" s="11" t="s">
        <v>81</v>
      </c>
      <c r="H198" s="11" t="s">
        <v>27</v>
      </c>
      <c r="I198" s="15" t="s">
        <v>81</v>
      </c>
      <c r="J198" s="15" t="s">
        <v>82</v>
      </c>
      <c r="K198" s="16" t="s">
        <v>45</v>
      </c>
      <c r="L198" s="15" t="s">
        <v>479</v>
      </c>
      <c r="M198" s="15"/>
      <c r="N198" s="15" t="s">
        <v>122</v>
      </c>
      <c r="O198" s="15"/>
      <c r="P198" s="16" t="s">
        <v>480</v>
      </c>
      <c r="Q198" s="17">
        <v>9990</v>
      </c>
      <c r="R198" s="18">
        <v>45</v>
      </c>
      <c r="S198" s="19">
        <v>6318.6749999999993</v>
      </c>
      <c r="T198" s="20" t="s">
        <v>465</v>
      </c>
      <c r="U198" s="21" t="s">
        <v>158</v>
      </c>
      <c r="V198" s="23">
        <v>44</v>
      </c>
      <c r="W198" s="23">
        <v>4</v>
      </c>
      <c r="X198" s="24"/>
    </row>
    <row r="199" spans="1:24" s="1" customFormat="1" ht="52.05" customHeight="1" x14ac:dyDescent="0.3">
      <c r="A199" s="11" t="s">
        <v>462</v>
      </c>
      <c r="B199" s="33">
        <v>717</v>
      </c>
      <c r="C199" s="12" t="s">
        <v>481</v>
      </c>
      <c r="D199" s="81"/>
      <c r="E199" s="67" t="str">
        <f>HYPERLINK("https://www.google.ru/search?q=717E-0970X-76H&amp;newwindow=1&amp;tbm=isch","Еще фото")</f>
        <v>Еще фото</v>
      </c>
      <c r="F199" s="14"/>
      <c r="G199" s="11" t="s">
        <v>81</v>
      </c>
      <c r="H199" s="11" t="s">
        <v>27</v>
      </c>
      <c r="I199" s="15" t="s">
        <v>81</v>
      </c>
      <c r="J199" s="15" t="s">
        <v>82</v>
      </c>
      <c r="K199" s="16" t="s">
        <v>45</v>
      </c>
      <c r="L199" s="83" t="s">
        <v>482</v>
      </c>
      <c r="M199" s="15"/>
      <c r="N199" s="15" t="s">
        <v>31</v>
      </c>
      <c r="O199" s="15"/>
      <c r="P199" s="16" t="s">
        <v>480</v>
      </c>
      <c r="Q199" s="17">
        <v>11990</v>
      </c>
      <c r="R199" s="18">
        <v>45</v>
      </c>
      <c r="S199" s="19">
        <v>7583.6749999999993</v>
      </c>
      <c r="T199" s="20" t="s">
        <v>465</v>
      </c>
      <c r="U199" s="21" t="s">
        <v>149</v>
      </c>
      <c r="V199" s="23">
        <v>46</v>
      </c>
      <c r="W199" s="23">
        <v>1</v>
      </c>
      <c r="X199" s="24"/>
    </row>
    <row r="200" spans="1:24" s="1" customFormat="1" ht="61.05" customHeight="1" x14ac:dyDescent="0.3">
      <c r="A200" s="25" t="s">
        <v>462</v>
      </c>
      <c r="B200" s="34">
        <v>717</v>
      </c>
      <c r="C200" s="12" t="s">
        <v>481</v>
      </c>
      <c r="D200" s="82"/>
      <c r="E200" s="67" t="str">
        <f>HYPERLINK("https://www.google.ru/search?q=717E-0970X-76H&amp;newwindow=1&amp;tbm=isch","Еще фото")</f>
        <v>Еще фото</v>
      </c>
      <c r="F200" s="14"/>
      <c r="G200" s="25" t="s">
        <v>81</v>
      </c>
      <c r="H200" s="25" t="s">
        <v>27</v>
      </c>
      <c r="I200" s="25" t="s">
        <v>81</v>
      </c>
      <c r="J200" s="15" t="s">
        <v>82</v>
      </c>
      <c r="K200" s="16" t="s">
        <v>45</v>
      </c>
      <c r="L200" s="84"/>
      <c r="M200" s="15"/>
      <c r="N200" s="15" t="s">
        <v>31</v>
      </c>
      <c r="O200" s="15"/>
      <c r="P200" s="16" t="s">
        <v>480</v>
      </c>
      <c r="Q200" s="17">
        <v>11990</v>
      </c>
      <c r="R200" s="18">
        <v>45</v>
      </c>
      <c r="S200" s="19">
        <v>7583.6749999999993</v>
      </c>
      <c r="T200" s="20" t="s">
        <v>465</v>
      </c>
      <c r="U200" s="21" t="s">
        <v>467</v>
      </c>
      <c r="V200" s="23">
        <v>48</v>
      </c>
      <c r="W200" s="23">
        <v>1</v>
      </c>
      <c r="X200" s="24"/>
    </row>
    <row r="201" spans="1:24" s="1" customFormat="1" ht="35" customHeight="1" x14ac:dyDescent="0.3">
      <c r="A201" s="11" t="s">
        <v>462</v>
      </c>
      <c r="B201" s="35">
        <v>717</v>
      </c>
      <c r="C201" s="12" t="s">
        <v>483</v>
      </c>
      <c r="D201" s="85"/>
      <c r="E201" s="67" t="str">
        <f>HYPERLINK("https://www.google.ru/search?q=717R-0900A-512&amp;newwindow=1&amp;tbm=isch","Еще фото")</f>
        <v>Еще фото</v>
      </c>
      <c r="F201" s="14"/>
      <c r="G201" s="11" t="s">
        <v>81</v>
      </c>
      <c r="H201" s="11" t="s">
        <v>27</v>
      </c>
      <c r="I201" s="15" t="s">
        <v>81</v>
      </c>
      <c r="J201" s="15" t="s">
        <v>82</v>
      </c>
      <c r="K201" s="16" t="s">
        <v>45</v>
      </c>
      <c r="L201" s="83" t="s">
        <v>484</v>
      </c>
      <c r="M201" s="15"/>
      <c r="N201" s="15" t="s">
        <v>122</v>
      </c>
      <c r="O201" s="15"/>
      <c r="P201" s="16" t="s">
        <v>485</v>
      </c>
      <c r="Q201" s="17">
        <v>9990</v>
      </c>
      <c r="R201" s="18">
        <v>45</v>
      </c>
      <c r="S201" s="19">
        <v>6318.6749999999993</v>
      </c>
      <c r="T201" s="20" t="s">
        <v>465</v>
      </c>
      <c r="U201" s="21" t="s">
        <v>158</v>
      </c>
      <c r="V201" s="23">
        <v>44</v>
      </c>
      <c r="W201" s="23">
        <v>1</v>
      </c>
      <c r="X201" s="24"/>
    </row>
    <row r="202" spans="1:24" s="1" customFormat="1" ht="35" customHeight="1" x14ac:dyDescent="0.3">
      <c r="A202" s="25" t="s">
        <v>462</v>
      </c>
      <c r="B202" s="36">
        <v>717</v>
      </c>
      <c r="C202" s="12" t="s">
        <v>483</v>
      </c>
      <c r="D202" s="86"/>
      <c r="E202" s="67" t="str">
        <f>HYPERLINK("https://www.google.ru/search?q=717R-0900A-512&amp;newwindow=1&amp;tbm=isch","Еще фото")</f>
        <v>Еще фото</v>
      </c>
      <c r="F202" s="14"/>
      <c r="G202" s="25" t="s">
        <v>81</v>
      </c>
      <c r="H202" s="25" t="s">
        <v>27</v>
      </c>
      <c r="I202" s="25" t="s">
        <v>81</v>
      </c>
      <c r="J202" s="15" t="s">
        <v>82</v>
      </c>
      <c r="K202" s="16" t="s">
        <v>45</v>
      </c>
      <c r="L202" s="88"/>
      <c r="M202" s="15"/>
      <c r="N202" s="15" t="s">
        <v>122</v>
      </c>
      <c r="O202" s="15"/>
      <c r="P202" s="16" t="s">
        <v>485</v>
      </c>
      <c r="Q202" s="17">
        <v>9990</v>
      </c>
      <c r="R202" s="18">
        <v>45</v>
      </c>
      <c r="S202" s="19">
        <v>6318.6749999999993</v>
      </c>
      <c r="T202" s="20" t="s">
        <v>465</v>
      </c>
      <c r="U202" s="21" t="s">
        <v>149</v>
      </c>
      <c r="V202" s="23">
        <v>46</v>
      </c>
      <c r="W202" s="23">
        <v>2</v>
      </c>
      <c r="X202" s="24"/>
    </row>
    <row r="203" spans="1:24" s="1" customFormat="1" ht="37.049999999999997" customHeight="1" x14ac:dyDescent="0.3">
      <c r="A203" s="25" t="s">
        <v>462</v>
      </c>
      <c r="B203" s="36">
        <v>717</v>
      </c>
      <c r="C203" s="12" t="s">
        <v>483</v>
      </c>
      <c r="D203" s="87"/>
      <c r="E203" s="67" t="str">
        <f>HYPERLINK("https://www.google.ru/search?q=717R-0900A-512&amp;newwindow=1&amp;tbm=isch","Еще фото")</f>
        <v>Еще фото</v>
      </c>
      <c r="F203" s="14"/>
      <c r="G203" s="25" t="s">
        <v>81</v>
      </c>
      <c r="H203" s="25" t="s">
        <v>27</v>
      </c>
      <c r="I203" s="25" t="s">
        <v>81</v>
      </c>
      <c r="J203" s="15" t="s">
        <v>82</v>
      </c>
      <c r="K203" s="16" t="s">
        <v>45</v>
      </c>
      <c r="L203" s="84"/>
      <c r="M203" s="15"/>
      <c r="N203" s="15" t="s">
        <v>122</v>
      </c>
      <c r="O203" s="15"/>
      <c r="P203" s="16" t="s">
        <v>485</v>
      </c>
      <c r="Q203" s="17">
        <v>9990</v>
      </c>
      <c r="R203" s="18">
        <v>45</v>
      </c>
      <c r="S203" s="19">
        <v>6318.6749999999993</v>
      </c>
      <c r="T203" s="20" t="s">
        <v>465</v>
      </c>
      <c r="U203" s="21" t="s">
        <v>467</v>
      </c>
      <c r="V203" s="23">
        <v>48</v>
      </c>
      <c r="W203" s="23">
        <v>3</v>
      </c>
      <c r="X203" s="24"/>
    </row>
    <row r="204" spans="1:24" s="1" customFormat="1" ht="21" customHeight="1" x14ac:dyDescent="0.3">
      <c r="A204" s="11" t="s">
        <v>462</v>
      </c>
      <c r="B204" s="37">
        <v>752</v>
      </c>
      <c r="C204" s="27" t="s">
        <v>486</v>
      </c>
      <c r="D204" s="85"/>
      <c r="E204" s="67" t="str">
        <f>HYPERLINK("https://www.google.ru/search?q=752A-0987A-511&amp;newwindow=1&amp;tbm=isch","Еще фото")</f>
        <v>Еще фото</v>
      </c>
      <c r="F204" s="14"/>
      <c r="G204" s="11" t="s">
        <v>81</v>
      </c>
      <c r="H204" s="11" t="s">
        <v>27</v>
      </c>
      <c r="I204" s="15" t="s">
        <v>81</v>
      </c>
      <c r="J204" s="15" t="s">
        <v>82</v>
      </c>
      <c r="K204" s="16" t="s">
        <v>29</v>
      </c>
      <c r="L204" s="83" t="s">
        <v>487</v>
      </c>
      <c r="M204" s="15"/>
      <c r="N204" s="15" t="s">
        <v>122</v>
      </c>
      <c r="O204" s="15"/>
      <c r="P204" s="16" t="s">
        <v>488</v>
      </c>
      <c r="Q204" s="17">
        <v>8990</v>
      </c>
      <c r="R204" s="18">
        <v>45</v>
      </c>
      <c r="S204" s="19">
        <v>5686.1749999999993</v>
      </c>
      <c r="T204" s="20" t="s">
        <v>465</v>
      </c>
      <c r="U204" s="21" t="s">
        <v>202</v>
      </c>
      <c r="V204" s="23">
        <v>38</v>
      </c>
      <c r="W204" s="23">
        <v>3</v>
      </c>
      <c r="X204" s="24"/>
    </row>
    <row r="205" spans="1:24" s="1" customFormat="1" ht="21" customHeight="1" x14ac:dyDescent="0.3">
      <c r="A205" s="25" t="s">
        <v>462</v>
      </c>
      <c r="B205" s="38">
        <v>752</v>
      </c>
      <c r="C205" s="28" t="s">
        <v>486</v>
      </c>
      <c r="D205" s="86"/>
      <c r="E205" s="67" t="str">
        <f>HYPERLINK("https://www.google.ru/search?q=752A-0987A-511&amp;newwindow=1&amp;tbm=isch","Еще фото")</f>
        <v>Еще фото</v>
      </c>
      <c r="F205" s="14"/>
      <c r="G205" s="25" t="s">
        <v>81</v>
      </c>
      <c r="H205" s="25" t="s">
        <v>27</v>
      </c>
      <c r="I205" s="25" t="s">
        <v>81</v>
      </c>
      <c r="J205" s="15" t="s">
        <v>82</v>
      </c>
      <c r="K205" s="16" t="s">
        <v>29</v>
      </c>
      <c r="L205" s="88"/>
      <c r="M205" s="15"/>
      <c r="N205" s="15" t="s">
        <v>122</v>
      </c>
      <c r="O205" s="15"/>
      <c r="P205" s="16" t="s">
        <v>488</v>
      </c>
      <c r="Q205" s="17">
        <v>8990</v>
      </c>
      <c r="R205" s="18">
        <v>45</v>
      </c>
      <c r="S205" s="19">
        <v>5686.1749999999993</v>
      </c>
      <c r="T205" s="20" t="s">
        <v>465</v>
      </c>
      <c r="U205" s="21" t="s">
        <v>100</v>
      </c>
      <c r="V205" s="23">
        <v>40</v>
      </c>
      <c r="W205" s="23">
        <v>3</v>
      </c>
      <c r="X205" s="24"/>
    </row>
    <row r="206" spans="1:24" s="1" customFormat="1" ht="21" customHeight="1" x14ac:dyDescent="0.3">
      <c r="A206" s="25" t="s">
        <v>462</v>
      </c>
      <c r="B206" s="38">
        <v>752</v>
      </c>
      <c r="C206" s="28" t="s">
        <v>486</v>
      </c>
      <c r="D206" s="86"/>
      <c r="E206" s="67" t="str">
        <f>HYPERLINK("https://www.google.ru/search?q=752A-0987A-511&amp;newwindow=1&amp;tbm=isch","Еще фото")</f>
        <v>Еще фото</v>
      </c>
      <c r="F206" s="14"/>
      <c r="G206" s="25" t="s">
        <v>81</v>
      </c>
      <c r="H206" s="25" t="s">
        <v>27</v>
      </c>
      <c r="I206" s="25" t="s">
        <v>81</v>
      </c>
      <c r="J206" s="15" t="s">
        <v>82</v>
      </c>
      <c r="K206" s="16" t="s">
        <v>29</v>
      </c>
      <c r="L206" s="88"/>
      <c r="M206" s="15"/>
      <c r="N206" s="15" t="s">
        <v>122</v>
      </c>
      <c r="O206" s="15"/>
      <c r="P206" s="16" t="s">
        <v>488</v>
      </c>
      <c r="Q206" s="17">
        <v>8990</v>
      </c>
      <c r="R206" s="18">
        <v>45</v>
      </c>
      <c r="S206" s="19">
        <v>5686.1749999999993</v>
      </c>
      <c r="T206" s="20" t="s">
        <v>465</v>
      </c>
      <c r="U206" s="21" t="s">
        <v>158</v>
      </c>
      <c r="V206" s="23">
        <v>44</v>
      </c>
      <c r="W206" s="23">
        <v>1</v>
      </c>
      <c r="X206" s="24"/>
    </row>
    <row r="207" spans="1:24" s="1" customFormat="1" ht="21" customHeight="1" x14ac:dyDescent="0.3">
      <c r="A207" s="25" t="s">
        <v>462</v>
      </c>
      <c r="B207" s="38">
        <v>752</v>
      </c>
      <c r="C207" s="28" t="s">
        <v>486</v>
      </c>
      <c r="D207" s="86"/>
      <c r="E207" s="67" t="str">
        <f>HYPERLINK("https://www.google.ru/search?q=752A-0987A-511&amp;newwindow=1&amp;tbm=isch","Еще фото")</f>
        <v>Еще фото</v>
      </c>
      <c r="F207" s="14"/>
      <c r="G207" s="25" t="s">
        <v>81</v>
      </c>
      <c r="H207" s="25" t="s">
        <v>27</v>
      </c>
      <c r="I207" s="25" t="s">
        <v>81</v>
      </c>
      <c r="J207" s="15" t="s">
        <v>82</v>
      </c>
      <c r="K207" s="16" t="s">
        <v>29</v>
      </c>
      <c r="L207" s="88"/>
      <c r="M207" s="15"/>
      <c r="N207" s="15" t="s">
        <v>122</v>
      </c>
      <c r="O207" s="15"/>
      <c r="P207" s="16" t="s">
        <v>488</v>
      </c>
      <c r="Q207" s="17">
        <v>8990</v>
      </c>
      <c r="R207" s="18">
        <v>45</v>
      </c>
      <c r="S207" s="19">
        <v>5686.1749999999993</v>
      </c>
      <c r="T207" s="20" t="s">
        <v>465</v>
      </c>
      <c r="U207" s="21" t="s">
        <v>149</v>
      </c>
      <c r="V207" s="23">
        <v>46</v>
      </c>
      <c r="W207" s="23">
        <v>1</v>
      </c>
      <c r="X207" s="24"/>
    </row>
    <row r="208" spans="1:24" s="1" customFormat="1" ht="32" customHeight="1" x14ac:dyDescent="0.3">
      <c r="A208" s="25" t="s">
        <v>462</v>
      </c>
      <c r="B208" s="38">
        <v>752</v>
      </c>
      <c r="C208" s="28" t="s">
        <v>486</v>
      </c>
      <c r="D208" s="87"/>
      <c r="E208" s="67" t="str">
        <f>HYPERLINK("https://www.google.ru/search?q=752A-0987A-511&amp;newwindow=1&amp;tbm=isch","Еще фото")</f>
        <v>Еще фото</v>
      </c>
      <c r="F208" s="14"/>
      <c r="G208" s="25" t="s">
        <v>81</v>
      </c>
      <c r="H208" s="25" t="s">
        <v>27</v>
      </c>
      <c r="I208" s="25" t="s">
        <v>81</v>
      </c>
      <c r="J208" s="15" t="s">
        <v>82</v>
      </c>
      <c r="K208" s="16" t="s">
        <v>29</v>
      </c>
      <c r="L208" s="84"/>
      <c r="M208" s="15"/>
      <c r="N208" s="15" t="s">
        <v>122</v>
      </c>
      <c r="O208" s="15"/>
      <c r="P208" s="16" t="s">
        <v>488</v>
      </c>
      <c r="Q208" s="17">
        <v>8990</v>
      </c>
      <c r="R208" s="18">
        <v>45</v>
      </c>
      <c r="S208" s="19">
        <v>5686.1749999999993</v>
      </c>
      <c r="T208" s="20" t="s">
        <v>465</v>
      </c>
      <c r="U208" s="21" t="s">
        <v>467</v>
      </c>
      <c r="V208" s="23">
        <v>48</v>
      </c>
      <c r="W208" s="23">
        <v>2</v>
      </c>
      <c r="X208" s="24"/>
    </row>
    <row r="209" spans="1:24" s="1" customFormat="1" ht="17" customHeight="1" x14ac:dyDescent="0.3">
      <c r="A209" s="11" t="s">
        <v>462</v>
      </c>
      <c r="B209" s="39">
        <v>753</v>
      </c>
      <c r="C209" s="12" t="s">
        <v>489</v>
      </c>
      <c r="D209" s="85"/>
      <c r="E209" s="67" t="str">
        <f t="shared" ref="E209:E214" si="1">HYPERLINK("https://www.google.ru/search?q=753RS-0970A-560&amp;newwindow=1&amp;tbm=isch","Еще фото")</f>
        <v>Еще фото</v>
      </c>
      <c r="F209" s="14"/>
      <c r="G209" s="11" t="s">
        <v>81</v>
      </c>
      <c r="H209" s="11" t="s">
        <v>27</v>
      </c>
      <c r="I209" s="15" t="s">
        <v>81</v>
      </c>
      <c r="J209" s="15" t="s">
        <v>82</v>
      </c>
      <c r="K209" s="16" t="s">
        <v>29</v>
      </c>
      <c r="L209" s="83" t="s">
        <v>490</v>
      </c>
      <c r="M209" s="15"/>
      <c r="N209" s="15" t="s">
        <v>122</v>
      </c>
      <c r="O209" s="15"/>
      <c r="P209" s="16" t="s">
        <v>480</v>
      </c>
      <c r="Q209" s="17">
        <v>10990</v>
      </c>
      <c r="R209" s="18">
        <v>45</v>
      </c>
      <c r="S209" s="19">
        <v>6951.1749999999993</v>
      </c>
      <c r="T209" s="20" t="s">
        <v>465</v>
      </c>
      <c r="U209" s="21" t="s">
        <v>202</v>
      </c>
      <c r="V209" s="23">
        <v>38</v>
      </c>
      <c r="W209" s="23">
        <v>3</v>
      </c>
      <c r="X209" s="24"/>
    </row>
    <row r="210" spans="1:24" s="1" customFormat="1" ht="17" customHeight="1" x14ac:dyDescent="0.3">
      <c r="A210" s="25" t="s">
        <v>462</v>
      </c>
      <c r="B210" s="40">
        <v>753</v>
      </c>
      <c r="C210" s="12" t="s">
        <v>489</v>
      </c>
      <c r="D210" s="86"/>
      <c r="E210" s="67" t="str">
        <f t="shared" si="1"/>
        <v>Еще фото</v>
      </c>
      <c r="F210" s="14"/>
      <c r="G210" s="25" t="s">
        <v>81</v>
      </c>
      <c r="H210" s="25" t="s">
        <v>27</v>
      </c>
      <c r="I210" s="25" t="s">
        <v>81</v>
      </c>
      <c r="J210" s="15" t="s">
        <v>82</v>
      </c>
      <c r="K210" s="16" t="s">
        <v>29</v>
      </c>
      <c r="L210" s="88"/>
      <c r="M210" s="15"/>
      <c r="N210" s="15" t="s">
        <v>122</v>
      </c>
      <c r="O210" s="15"/>
      <c r="P210" s="16" t="s">
        <v>480</v>
      </c>
      <c r="Q210" s="17">
        <v>10990</v>
      </c>
      <c r="R210" s="18">
        <v>45</v>
      </c>
      <c r="S210" s="19">
        <v>6951.1749999999993</v>
      </c>
      <c r="T210" s="20" t="s">
        <v>465</v>
      </c>
      <c r="U210" s="21" t="s">
        <v>100</v>
      </c>
      <c r="V210" s="23">
        <v>40</v>
      </c>
      <c r="W210" s="23">
        <v>5</v>
      </c>
      <c r="X210" s="24"/>
    </row>
    <row r="211" spans="1:24" s="1" customFormat="1" ht="17" customHeight="1" x14ac:dyDescent="0.3">
      <c r="A211" s="25" t="s">
        <v>462</v>
      </c>
      <c r="B211" s="40">
        <v>753</v>
      </c>
      <c r="C211" s="12" t="s">
        <v>489</v>
      </c>
      <c r="D211" s="86"/>
      <c r="E211" s="67" t="str">
        <f t="shared" si="1"/>
        <v>Еще фото</v>
      </c>
      <c r="F211" s="14"/>
      <c r="G211" s="25" t="s">
        <v>81</v>
      </c>
      <c r="H211" s="25" t="s">
        <v>27</v>
      </c>
      <c r="I211" s="25" t="s">
        <v>81</v>
      </c>
      <c r="J211" s="15" t="s">
        <v>82</v>
      </c>
      <c r="K211" s="16" t="s">
        <v>29</v>
      </c>
      <c r="L211" s="88"/>
      <c r="M211" s="15"/>
      <c r="N211" s="15" t="s">
        <v>122</v>
      </c>
      <c r="O211" s="15"/>
      <c r="P211" s="16" t="s">
        <v>480</v>
      </c>
      <c r="Q211" s="17">
        <v>10990</v>
      </c>
      <c r="R211" s="18">
        <v>45</v>
      </c>
      <c r="S211" s="19">
        <v>6951.1749999999993</v>
      </c>
      <c r="T211" s="20" t="s">
        <v>465</v>
      </c>
      <c r="U211" s="21" t="s">
        <v>164</v>
      </c>
      <c r="V211" s="23">
        <v>42</v>
      </c>
      <c r="W211" s="23">
        <v>2</v>
      </c>
      <c r="X211" s="24"/>
    </row>
    <row r="212" spans="1:24" s="1" customFormat="1" ht="17" customHeight="1" x14ac:dyDescent="0.3">
      <c r="A212" s="25" t="s">
        <v>462</v>
      </c>
      <c r="B212" s="40">
        <v>753</v>
      </c>
      <c r="C212" s="12" t="s">
        <v>489</v>
      </c>
      <c r="D212" s="86"/>
      <c r="E212" s="67" t="str">
        <f t="shared" si="1"/>
        <v>Еще фото</v>
      </c>
      <c r="F212" s="14"/>
      <c r="G212" s="25" t="s">
        <v>81</v>
      </c>
      <c r="H212" s="25" t="s">
        <v>27</v>
      </c>
      <c r="I212" s="25" t="s">
        <v>81</v>
      </c>
      <c r="J212" s="15" t="s">
        <v>82</v>
      </c>
      <c r="K212" s="16" t="s">
        <v>29</v>
      </c>
      <c r="L212" s="88"/>
      <c r="M212" s="15"/>
      <c r="N212" s="15" t="s">
        <v>122</v>
      </c>
      <c r="O212" s="15"/>
      <c r="P212" s="16" t="s">
        <v>480</v>
      </c>
      <c r="Q212" s="17">
        <v>10990</v>
      </c>
      <c r="R212" s="18">
        <v>45</v>
      </c>
      <c r="S212" s="19">
        <v>6951.1749999999993</v>
      </c>
      <c r="T212" s="20" t="s">
        <v>465</v>
      </c>
      <c r="U212" s="21" t="s">
        <v>158</v>
      </c>
      <c r="V212" s="23">
        <v>44</v>
      </c>
      <c r="W212" s="23">
        <v>4</v>
      </c>
      <c r="X212" s="24"/>
    </row>
    <row r="213" spans="1:24" s="1" customFormat="1" ht="17" customHeight="1" x14ac:dyDescent="0.3">
      <c r="A213" s="25" t="s">
        <v>462</v>
      </c>
      <c r="B213" s="40">
        <v>753</v>
      </c>
      <c r="C213" s="12" t="s">
        <v>489</v>
      </c>
      <c r="D213" s="86"/>
      <c r="E213" s="67" t="str">
        <f t="shared" si="1"/>
        <v>Еще фото</v>
      </c>
      <c r="F213" s="14"/>
      <c r="G213" s="25" t="s">
        <v>81</v>
      </c>
      <c r="H213" s="25" t="s">
        <v>27</v>
      </c>
      <c r="I213" s="25" t="s">
        <v>81</v>
      </c>
      <c r="J213" s="15" t="s">
        <v>82</v>
      </c>
      <c r="K213" s="16" t="s">
        <v>29</v>
      </c>
      <c r="L213" s="88"/>
      <c r="M213" s="15"/>
      <c r="N213" s="15" t="s">
        <v>122</v>
      </c>
      <c r="O213" s="15"/>
      <c r="P213" s="16" t="s">
        <v>480</v>
      </c>
      <c r="Q213" s="17">
        <v>10990</v>
      </c>
      <c r="R213" s="18">
        <v>45</v>
      </c>
      <c r="S213" s="19">
        <v>6951.1749999999993</v>
      </c>
      <c r="T213" s="20" t="s">
        <v>465</v>
      </c>
      <c r="U213" s="21" t="s">
        <v>149</v>
      </c>
      <c r="V213" s="23">
        <v>46</v>
      </c>
      <c r="W213" s="23">
        <v>5</v>
      </c>
      <c r="X213" s="24"/>
    </row>
    <row r="214" spans="1:24" s="1" customFormat="1" ht="22.05" customHeight="1" x14ac:dyDescent="0.3">
      <c r="A214" s="25" t="s">
        <v>462</v>
      </c>
      <c r="B214" s="40">
        <v>753</v>
      </c>
      <c r="C214" s="12" t="s">
        <v>489</v>
      </c>
      <c r="D214" s="87"/>
      <c r="E214" s="67" t="str">
        <f t="shared" si="1"/>
        <v>Еще фото</v>
      </c>
      <c r="F214" s="14"/>
      <c r="G214" s="25" t="s">
        <v>81</v>
      </c>
      <c r="H214" s="25" t="s">
        <v>27</v>
      </c>
      <c r="I214" s="25" t="s">
        <v>81</v>
      </c>
      <c r="J214" s="15" t="s">
        <v>82</v>
      </c>
      <c r="K214" s="16" t="s">
        <v>29</v>
      </c>
      <c r="L214" s="84"/>
      <c r="M214" s="15"/>
      <c r="N214" s="15" t="s">
        <v>122</v>
      </c>
      <c r="O214" s="15"/>
      <c r="P214" s="16" t="s">
        <v>480</v>
      </c>
      <c r="Q214" s="17">
        <v>10990</v>
      </c>
      <c r="R214" s="18">
        <v>45</v>
      </c>
      <c r="S214" s="19">
        <v>6951.1749999999993</v>
      </c>
      <c r="T214" s="20" t="s">
        <v>465</v>
      </c>
      <c r="U214" s="21" t="s">
        <v>467</v>
      </c>
      <c r="V214" s="23">
        <v>48</v>
      </c>
      <c r="W214" s="23">
        <v>3</v>
      </c>
      <c r="X214" s="24"/>
    </row>
    <row r="215" spans="1:24" s="1" customFormat="1" ht="17" customHeight="1" x14ac:dyDescent="0.3">
      <c r="A215" s="11" t="s">
        <v>462</v>
      </c>
      <c r="B215" s="41">
        <v>797</v>
      </c>
      <c r="C215" s="12" t="s">
        <v>491</v>
      </c>
      <c r="D215" s="85"/>
      <c r="E215" s="67" t="str">
        <f t="shared" ref="E215:E220" si="2">HYPERLINK("https://www.google.ru/search?q=797L-810AL-510&amp;newwindow=1&amp;tbm=isch","Еще фото")</f>
        <v>Еще фото</v>
      </c>
      <c r="F215" s="14"/>
      <c r="G215" s="11" t="s">
        <v>81</v>
      </c>
      <c r="H215" s="11" t="s">
        <v>27</v>
      </c>
      <c r="I215" s="15" t="s">
        <v>81</v>
      </c>
      <c r="J215" s="15" t="s">
        <v>82</v>
      </c>
      <c r="K215" s="16" t="s">
        <v>29</v>
      </c>
      <c r="L215" s="83" t="s">
        <v>492</v>
      </c>
      <c r="M215" s="15"/>
      <c r="N215" s="15" t="s">
        <v>122</v>
      </c>
      <c r="O215" s="15"/>
      <c r="P215" s="16" t="s">
        <v>480</v>
      </c>
      <c r="Q215" s="17">
        <v>10990</v>
      </c>
      <c r="R215" s="18">
        <v>45</v>
      </c>
      <c r="S215" s="19">
        <v>6951.1749999999993</v>
      </c>
      <c r="T215" s="20" t="s">
        <v>465</v>
      </c>
      <c r="U215" s="21" t="s">
        <v>442</v>
      </c>
      <c r="V215" s="23">
        <v>40</v>
      </c>
      <c r="W215" s="23">
        <v>5</v>
      </c>
      <c r="X215" s="24"/>
    </row>
    <row r="216" spans="1:24" s="1" customFormat="1" ht="17" customHeight="1" x14ac:dyDescent="0.3">
      <c r="A216" s="25" t="s">
        <v>462</v>
      </c>
      <c r="B216" s="42">
        <v>797</v>
      </c>
      <c r="C216" s="12" t="s">
        <v>491</v>
      </c>
      <c r="D216" s="86"/>
      <c r="E216" s="67" t="str">
        <f t="shared" si="2"/>
        <v>Еще фото</v>
      </c>
      <c r="F216" s="14"/>
      <c r="G216" s="25" t="s">
        <v>81</v>
      </c>
      <c r="H216" s="25" t="s">
        <v>27</v>
      </c>
      <c r="I216" s="25" t="s">
        <v>81</v>
      </c>
      <c r="J216" s="15" t="s">
        <v>82</v>
      </c>
      <c r="K216" s="16" t="s">
        <v>29</v>
      </c>
      <c r="L216" s="88"/>
      <c r="M216" s="15"/>
      <c r="N216" s="15" t="s">
        <v>122</v>
      </c>
      <c r="O216" s="15"/>
      <c r="P216" s="16" t="s">
        <v>480</v>
      </c>
      <c r="Q216" s="17">
        <v>10990</v>
      </c>
      <c r="R216" s="18">
        <v>45</v>
      </c>
      <c r="S216" s="19">
        <v>6951.1749999999993</v>
      </c>
      <c r="T216" s="20" t="s">
        <v>465</v>
      </c>
      <c r="U216" s="21" t="s">
        <v>34</v>
      </c>
      <c r="V216" s="23">
        <v>42</v>
      </c>
      <c r="W216" s="23">
        <v>5</v>
      </c>
      <c r="X216" s="24"/>
    </row>
    <row r="217" spans="1:24" s="1" customFormat="1" ht="17" customHeight="1" x14ac:dyDescent="0.3">
      <c r="A217" s="25" t="s">
        <v>462</v>
      </c>
      <c r="B217" s="42">
        <v>797</v>
      </c>
      <c r="C217" s="12" t="s">
        <v>491</v>
      </c>
      <c r="D217" s="86"/>
      <c r="E217" s="67" t="str">
        <f t="shared" si="2"/>
        <v>Еще фото</v>
      </c>
      <c r="F217" s="14"/>
      <c r="G217" s="25" t="s">
        <v>81</v>
      </c>
      <c r="H217" s="25" t="s">
        <v>27</v>
      </c>
      <c r="I217" s="25" t="s">
        <v>81</v>
      </c>
      <c r="J217" s="15" t="s">
        <v>82</v>
      </c>
      <c r="K217" s="16" t="s">
        <v>29</v>
      </c>
      <c r="L217" s="88"/>
      <c r="M217" s="15"/>
      <c r="N217" s="15" t="s">
        <v>122</v>
      </c>
      <c r="O217" s="15"/>
      <c r="P217" s="16" t="s">
        <v>480</v>
      </c>
      <c r="Q217" s="17">
        <v>10990</v>
      </c>
      <c r="R217" s="18">
        <v>45</v>
      </c>
      <c r="S217" s="19">
        <v>6951.1749999999993</v>
      </c>
      <c r="T217" s="20" t="s">
        <v>465</v>
      </c>
      <c r="U217" s="21" t="s">
        <v>52</v>
      </c>
      <c r="V217" s="23">
        <v>44</v>
      </c>
      <c r="W217" s="23">
        <v>3</v>
      </c>
      <c r="X217" s="24"/>
    </row>
    <row r="218" spans="1:24" s="1" customFormat="1" ht="17" customHeight="1" x14ac:dyDescent="0.3">
      <c r="A218" s="25" t="s">
        <v>462</v>
      </c>
      <c r="B218" s="42">
        <v>797</v>
      </c>
      <c r="C218" s="12" t="s">
        <v>491</v>
      </c>
      <c r="D218" s="86"/>
      <c r="E218" s="67" t="str">
        <f t="shared" si="2"/>
        <v>Еще фото</v>
      </c>
      <c r="F218" s="14"/>
      <c r="G218" s="25" t="s">
        <v>81</v>
      </c>
      <c r="H218" s="25" t="s">
        <v>27</v>
      </c>
      <c r="I218" s="25" t="s">
        <v>81</v>
      </c>
      <c r="J218" s="15" t="s">
        <v>82</v>
      </c>
      <c r="K218" s="16" t="s">
        <v>29</v>
      </c>
      <c r="L218" s="88"/>
      <c r="M218" s="15"/>
      <c r="N218" s="15" t="s">
        <v>122</v>
      </c>
      <c r="O218" s="15"/>
      <c r="P218" s="16" t="s">
        <v>480</v>
      </c>
      <c r="Q218" s="17">
        <v>10990</v>
      </c>
      <c r="R218" s="18">
        <v>45</v>
      </c>
      <c r="S218" s="19">
        <v>6951.1749999999993</v>
      </c>
      <c r="T218" s="20" t="s">
        <v>465</v>
      </c>
      <c r="U218" s="21" t="s">
        <v>40</v>
      </c>
      <c r="V218" s="23">
        <v>46</v>
      </c>
      <c r="W218" s="23">
        <v>1</v>
      </c>
      <c r="X218" s="24"/>
    </row>
    <row r="219" spans="1:24" s="1" customFormat="1" ht="17" customHeight="1" x14ac:dyDescent="0.3">
      <c r="A219" s="25" t="s">
        <v>462</v>
      </c>
      <c r="B219" s="42">
        <v>797</v>
      </c>
      <c r="C219" s="12" t="s">
        <v>491</v>
      </c>
      <c r="D219" s="86"/>
      <c r="E219" s="67" t="str">
        <f t="shared" si="2"/>
        <v>Еще фото</v>
      </c>
      <c r="F219" s="14"/>
      <c r="G219" s="25" t="s">
        <v>81</v>
      </c>
      <c r="H219" s="25" t="s">
        <v>27</v>
      </c>
      <c r="I219" s="25" t="s">
        <v>81</v>
      </c>
      <c r="J219" s="15" t="s">
        <v>82</v>
      </c>
      <c r="K219" s="16" t="s">
        <v>29</v>
      </c>
      <c r="L219" s="88"/>
      <c r="M219" s="15"/>
      <c r="N219" s="15" t="s">
        <v>122</v>
      </c>
      <c r="O219" s="15"/>
      <c r="P219" s="16" t="s">
        <v>480</v>
      </c>
      <c r="Q219" s="17">
        <v>10990</v>
      </c>
      <c r="R219" s="18">
        <v>45</v>
      </c>
      <c r="S219" s="19">
        <v>6951.1749999999993</v>
      </c>
      <c r="T219" s="20" t="s">
        <v>465</v>
      </c>
      <c r="U219" s="21" t="s">
        <v>42</v>
      </c>
      <c r="V219" s="23">
        <v>48</v>
      </c>
      <c r="W219" s="23">
        <v>2</v>
      </c>
      <c r="X219" s="24"/>
    </row>
    <row r="220" spans="1:24" s="1" customFormat="1" ht="22.05" customHeight="1" x14ac:dyDescent="0.3">
      <c r="A220" s="25" t="s">
        <v>462</v>
      </c>
      <c r="B220" s="42">
        <v>797</v>
      </c>
      <c r="C220" s="12" t="s">
        <v>491</v>
      </c>
      <c r="D220" s="87"/>
      <c r="E220" s="67" t="str">
        <f t="shared" si="2"/>
        <v>Еще фото</v>
      </c>
      <c r="F220" s="14"/>
      <c r="G220" s="25" t="s">
        <v>81</v>
      </c>
      <c r="H220" s="25" t="s">
        <v>27</v>
      </c>
      <c r="I220" s="25" t="s">
        <v>81</v>
      </c>
      <c r="J220" s="15" t="s">
        <v>82</v>
      </c>
      <c r="K220" s="16" t="s">
        <v>29</v>
      </c>
      <c r="L220" s="84"/>
      <c r="M220" s="15"/>
      <c r="N220" s="15" t="s">
        <v>122</v>
      </c>
      <c r="O220" s="15"/>
      <c r="P220" s="16" t="s">
        <v>480</v>
      </c>
      <c r="Q220" s="17">
        <v>10990</v>
      </c>
      <c r="R220" s="18">
        <v>45</v>
      </c>
      <c r="S220" s="19">
        <v>6951.1749999999993</v>
      </c>
      <c r="T220" s="20" t="s">
        <v>465</v>
      </c>
      <c r="U220" s="21" t="s">
        <v>493</v>
      </c>
      <c r="V220" s="23">
        <v>50</v>
      </c>
      <c r="W220" s="23">
        <v>5</v>
      </c>
      <c r="X220" s="24"/>
    </row>
    <row r="221" spans="1:24" s="1" customFormat="1" ht="108" customHeight="1" x14ac:dyDescent="0.3">
      <c r="A221" s="11" t="s">
        <v>462</v>
      </c>
      <c r="B221" s="31">
        <v>409</v>
      </c>
      <c r="C221" s="12" t="s">
        <v>494</v>
      </c>
      <c r="D221" s="13"/>
      <c r="E221" s="67" t="str">
        <f>HYPERLINK("https://www.google.ru/search?q=409-1412X-665&amp;newwindow=1&amp;tbm=isch","Еще фото")</f>
        <v>Еще фото</v>
      </c>
      <c r="F221" s="14"/>
      <c r="G221" s="11" t="s">
        <v>140</v>
      </c>
      <c r="H221" s="11" t="s">
        <v>27</v>
      </c>
      <c r="I221" s="15" t="s">
        <v>130</v>
      </c>
      <c r="J221" s="15" t="s">
        <v>82</v>
      </c>
      <c r="K221" s="16" t="s">
        <v>45</v>
      </c>
      <c r="L221" s="15" t="s">
        <v>495</v>
      </c>
      <c r="M221" s="15"/>
      <c r="N221" s="15" t="s">
        <v>31</v>
      </c>
      <c r="O221" s="15"/>
      <c r="P221" s="16" t="s">
        <v>496</v>
      </c>
      <c r="Q221" s="17">
        <v>27990</v>
      </c>
      <c r="R221" s="18">
        <v>45</v>
      </c>
      <c r="S221" s="19">
        <v>17703.674999999999</v>
      </c>
      <c r="T221" s="20" t="s">
        <v>465</v>
      </c>
      <c r="U221" s="21" t="s">
        <v>42</v>
      </c>
      <c r="V221" s="23">
        <v>52</v>
      </c>
      <c r="W221" s="23">
        <v>1</v>
      </c>
      <c r="X221" s="24"/>
    </row>
    <row r="222" spans="1:24" s="1" customFormat="1" ht="108" customHeight="1" x14ac:dyDescent="0.3">
      <c r="A222" s="11" t="s">
        <v>462</v>
      </c>
      <c r="B222" s="31">
        <v>409</v>
      </c>
      <c r="C222" s="12" t="s">
        <v>497</v>
      </c>
      <c r="D222" s="13"/>
      <c r="E222" s="67" t="str">
        <f>HYPERLINK("https://www.google.ru/search?q=409-1412X-899&amp;newwindow=1&amp;tbm=isch","Еще фото")</f>
        <v>Еще фото</v>
      </c>
      <c r="F222" s="14"/>
      <c r="G222" s="11" t="s">
        <v>140</v>
      </c>
      <c r="H222" s="11" t="s">
        <v>27</v>
      </c>
      <c r="I222" s="15" t="s">
        <v>130</v>
      </c>
      <c r="J222" s="15" t="s">
        <v>82</v>
      </c>
      <c r="K222" s="16" t="s">
        <v>45</v>
      </c>
      <c r="L222" s="15" t="s">
        <v>495</v>
      </c>
      <c r="M222" s="15"/>
      <c r="N222" s="15" t="s">
        <v>38</v>
      </c>
      <c r="O222" s="15"/>
      <c r="P222" s="16" t="s">
        <v>496</v>
      </c>
      <c r="Q222" s="17">
        <v>27990</v>
      </c>
      <c r="R222" s="18">
        <v>45</v>
      </c>
      <c r="S222" s="19">
        <v>17703.674999999999</v>
      </c>
      <c r="T222" s="20" t="s">
        <v>465</v>
      </c>
      <c r="U222" s="21" t="s">
        <v>40</v>
      </c>
      <c r="V222" s="23">
        <v>50</v>
      </c>
      <c r="W222" s="23">
        <v>1</v>
      </c>
      <c r="X222" s="24"/>
    </row>
    <row r="223" spans="1:24" s="1" customFormat="1" ht="108" customHeight="1" x14ac:dyDescent="0.3">
      <c r="A223" s="11" t="s">
        <v>462</v>
      </c>
      <c r="B223" s="31">
        <v>413</v>
      </c>
      <c r="C223" s="12" t="s">
        <v>498</v>
      </c>
      <c r="D223" s="13"/>
      <c r="E223" s="67" t="str">
        <f>HYPERLINK("https://www.google.ru/search?q=413-1425A-676&amp;newwindow=1&amp;tbm=isch","Еще фото")</f>
        <v>Еще фото</v>
      </c>
      <c r="F223" s="14"/>
      <c r="G223" s="11" t="s">
        <v>140</v>
      </c>
      <c r="H223" s="11" t="s">
        <v>27</v>
      </c>
      <c r="I223" s="15" t="s">
        <v>130</v>
      </c>
      <c r="J223" s="15" t="s">
        <v>82</v>
      </c>
      <c r="K223" s="16" t="s">
        <v>45</v>
      </c>
      <c r="L223" s="15" t="s">
        <v>499</v>
      </c>
      <c r="M223" s="15"/>
      <c r="N223" s="15" t="s">
        <v>31</v>
      </c>
      <c r="O223" s="15"/>
      <c r="P223" s="16" t="s">
        <v>500</v>
      </c>
      <c r="Q223" s="17">
        <v>30990</v>
      </c>
      <c r="R223" s="18">
        <v>45</v>
      </c>
      <c r="S223" s="19">
        <v>19601.174999999999</v>
      </c>
      <c r="T223" s="20" t="s">
        <v>465</v>
      </c>
      <c r="U223" s="21" t="s">
        <v>42</v>
      </c>
      <c r="V223" s="23">
        <v>52</v>
      </c>
      <c r="W223" s="23">
        <v>2</v>
      </c>
      <c r="X223" s="24"/>
    </row>
    <row r="224" spans="1:24" s="1" customFormat="1" ht="35" customHeight="1" x14ac:dyDescent="0.3">
      <c r="A224" s="11" t="s">
        <v>462</v>
      </c>
      <c r="B224" s="37">
        <v>213</v>
      </c>
      <c r="C224" s="12" t="s">
        <v>501</v>
      </c>
      <c r="D224" s="85"/>
      <c r="E224" s="67" t="str">
        <f>HYPERLINK("https://www.google.ru/search?q=213A-1230A-03K&amp;newwindow=1&amp;tbm=isch","Еще фото")</f>
        <v>Еще фото</v>
      </c>
      <c r="F224" s="14"/>
      <c r="G224" s="11" t="s">
        <v>502</v>
      </c>
      <c r="H224" s="11" t="s">
        <v>27</v>
      </c>
      <c r="I224" s="15" t="s">
        <v>503</v>
      </c>
      <c r="J224" s="15" t="s">
        <v>82</v>
      </c>
      <c r="K224" s="16" t="s">
        <v>45</v>
      </c>
      <c r="L224" s="83" t="s">
        <v>504</v>
      </c>
      <c r="M224" s="15"/>
      <c r="N224" s="15" t="s">
        <v>173</v>
      </c>
      <c r="O224" s="15"/>
      <c r="P224" s="16" t="s">
        <v>74</v>
      </c>
      <c r="Q224" s="17">
        <v>6990</v>
      </c>
      <c r="R224" s="18">
        <v>45</v>
      </c>
      <c r="S224" s="19">
        <v>4421.1749999999993</v>
      </c>
      <c r="T224" s="20" t="s">
        <v>465</v>
      </c>
      <c r="U224" s="21" t="s">
        <v>40</v>
      </c>
      <c r="V224" s="23">
        <v>50</v>
      </c>
      <c r="W224" s="23">
        <v>1</v>
      </c>
      <c r="X224" s="24"/>
    </row>
    <row r="225" spans="1:24" s="1" customFormat="1" ht="35" customHeight="1" x14ac:dyDescent="0.3">
      <c r="A225" s="25" t="s">
        <v>462</v>
      </c>
      <c r="B225" s="38">
        <v>213</v>
      </c>
      <c r="C225" s="12" t="s">
        <v>501</v>
      </c>
      <c r="D225" s="86"/>
      <c r="E225" s="67" t="str">
        <f>HYPERLINK("https://www.google.ru/search?q=213A-1230A-03K&amp;newwindow=1&amp;tbm=isch","Еще фото")</f>
        <v>Еще фото</v>
      </c>
      <c r="F225" s="14"/>
      <c r="G225" s="25" t="s">
        <v>502</v>
      </c>
      <c r="H225" s="25" t="s">
        <v>27</v>
      </c>
      <c r="I225" s="25" t="s">
        <v>503</v>
      </c>
      <c r="J225" s="15" t="s">
        <v>82</v>
      </c>
      <c r="K225" s="16" t="s">
        <v>45</v>
      </c>
      <c r="L225" s="88"/>
      <c r="M225" s="15"/>
      <c r="N225" s="15" t="s">
        <v>173</v>
      </c>
      <c r="O225" s="15"/>
      <c r="P225" s="16" t="s">
        <v>74</v>
      </c>
      <c r="Q225" s="17">
        <v>6990</v>
      </c>
      <c r="R225" s="18">
        <v>45</v>
      </c>
      <c r="S225" s="19">
        <v>4421.1749999999993</v>
      </c>
      <c r="T225" s="20" t="s">
        <v>465</v>
      </c>
      <c r="U225" s="21" t="s">
        <v>42</v>
      </c>
      <c r="V225" s="23">
        <v>52</v>
      </c>
      <c r="W225" s="23">
        <v>1</v>
      </c>
      <c r="X225" s="24"/>
    </row>
    <row r="226" spans="1:24" s="1" customFormat="1" ht="37.049999999999997" customHeight="1" x14ac:dyDescent="0.3">
      <c r="A226" s="25" t="s">
        <v>462</v>
      </c>
      <c r="B226" s="38">
        <v>213</v>
      </c>
      <c r="C226" s="12" t="s">
        <v>501</v>
      </c>
      <c r="D226" s="87"/>
      <c r="E226" s="67" t="str">
        <f>HYPERLINK("https://www.google.ru/search?q=213A-1230A-03K&amp;newwindow=1&amp;tbm=isch","Еще фото")</f>
        <v>Еще фото</v>
      </c>
      <c r="F226" s="14"/>
      <c r="G226" s="25" t="s">
        <v>502</v>
      </c>
      <c r="H226" s="25" t="s">
        <v>27</v>
      </c>
      <c r="I226" s="25" t="s">
        <v>503</v>
      </c>
      <c r="J226" s="15" t="s">
        <v>82</v>
      </c>
      <c r="K226" s="16" t="s">
        <v>45</v>
      </c>
      <c r="L226" s="84"/>
      <c r="M226" s="15"/>
      <c r="N226" s="15" t="s">
        <v>173</v>
      </c>
      <c r="O226" s="15"/>
      <c r="P226" s="16" t="s">
        <v>74</v>
      </c>
      <c r="Q226" s="17">
        <v>6990</v>
      </c>
      <c r="R226" s="18">
        <v>45</v>
      </c>
      <c r="S226" s="19">
        <v>4421.1749999999993</v>
      </c>
      <c r="T226" s="20" t="s">
        <v>465</v>
      </c>
      <c r="U226" s="21" t="s">
        <v>493</v>
      </c>
      <c r="V226" s="23">
        <v>54</v>
      </c>
      <c r="W226" s="23">
        <v>1</v>
      </c>
      <c r="X226" s="24"/>
    </row>
    <row r="227" spans="1:24" s="1" customFormat="1" ht="35" customHeight="1" x14ac:dyDescent="0.3">
      <c r="A227" s="11" t="s">
        <v>462</v>
      </c>
      <c r="B227" s="37">
        <v>213</v>
      </c>
      <c r="C227" s="12" t="s">
        <v>505</v>
      </c>
      <c r="D227" s="85"/>
      <c r="E227" s="67" t="str">
        <f>HYPERLINK("https://www.google.ru/search?q=213A-1230A-B79&amp;newwindow=1&amp;tbm=isch","Еще фото")</f>
        <v>Еще фото</v>
      </c>
      <c r="F227" s="14"/>
      <c r="G227" s="11" t="s">
        <v>502</v>
      </c>
      <c r="H227" s="11" t="s">
        <v>27</v>
      </c>
      <c r="I227" s="15" t="s">
        <v>503</v>
      </c>
      <c r="J227" s="15" t="s">
        <v>82</v>
      </c>
      <c r="K227" s="16" t="s">
        <v>45</v>
      </c>
      <c r="L227" s="83" t="s">
        <v>504</v>
      </c>
      <c r="M227" s="15"/>
      <c r="N227" s="15" t="s">
        <v>173</v>
      </c>
      <c r="O227" s="15"/>
      <c r="P227" s="16" t="s">
        <v>74</v>
      </c>
      <c r="Q227" s="17">
        <v>6990</v>
      </c>
      <c r="R227" s="18">
        <v>45</v>
      </c>
      <c r="S227" s="19">
        <v>4421.1749999999993</v>
      </c>
      <c r="T227" s="20" t="s">
        <v>465</v>
      </c>
      <c r="U227" s="21" t="s">
        <v>40</v>
      </c>
      <c r="V227" s="23">
        <v>50</v>
      </c>
      <c r="W227" s="23">
        <v>3</v>
      </c>
      <c r="X227" s="24"/>
    </row>
    <row r="228" spans="1:24" s="1" customFormat="1" ht="35" customHeight="1" x14ac:dyDescent="0.3">
      <c r="A228" s="25" t="s">
        <v>462</v>
      </c>
      <c r="B228" s="38">
        <v>213</v>
      </c>
      <c r="C228" s="12" t="s">
        <v>505</v>
      </c>
      <c r="D228" s="86"/>
      <c r="E228" s="67" t="str">
        <f>HYPERLINK("https://www.google.ru/search?q=213A-1230A-B79&amp;newwindow=1&amp;tbm=isch","Еще фото")</f>
        <v>Еще фото</v>
      </c>
      <c r="F228" s="14"/>
      <c r="G228" s="25" t="s">
        <v>502</v>
      </c>
      <c r="H228" s="25" t="s">
        <v>27</v>
      </c>
      <c r="I228" s="25" t="s">
        <v>503</v>
      </c>
      <c r="J228" s="15" t="s">
        <v>82</v>
      </c>
      <c r="K228" s="16" t="s">
        <v>45</v>
      </c>
      <c r="L228" s="88"/>
      <c r="M228" s="15"/>
      <c r="N228" s="15" t="s">
        <v>173</v>
      </c>
      <c r="O228" s="15"/>
      <c r="P228" s="16" t="s">
        <v>74</v>
      </c>
      <c r="Q228" s="17">
        <v>6990</v>
      </c>
      <c r="R228" s="18">
        <v>45</v>
      </c>
      <c r="S228" s="19">
        <v>4421.1749999999993</v>
      </c>
      <c r="T228" s="20" t="s">
        <v>465</v>
      </c>
      <c r="U228" s="21" t="s">
        <v>42</v>
      </c>
      <c r="V228" s="23">
        <v>52</v>
      </c>
      <c r="W228" s="23">
        <v>1</v>
      </c>
      <c r="X228" s="24"/>
    </row>
    <row r="229" spans="1:24" s="1" customFormat="1" ht="37.049999999999997" customHeight="1" x14ac:dyDescent="0.3">
      <c r="A229" s="25" t="s">
        <v>462</v>
      </c>
      <c r="B229" s="38">
        <v>213</v>
      </c>
      <c r="C229" s="12" t="s">
        <v>505</v>
      </c>
      <c r="D229" s="87"/>
      <c r="E229" s="67" t="str">
        <f>HYPERLINK("https://www.google.ru/search?q=213A-1230A-B79&amp;newwindow=1&amp;tbm=isch","Еще фото")</f>
        <v>Еще фото</v>
      </c>
      <c r="F229" s="14"/>
      <c r="G229" s="25" t="s">
        <v>502</v>
      </c>
      <c r="H229" s="25" t="s">
        <v>27</v>
      </c>
      <c r="I229" s="25" t="s">
        <v>503</v>
      </c>
      <c r="J229" s="15" t="s">
        <v>82</v>
      </c>
      <c r="K229" s="16" t="s">
        <v>45</v>
      </c>
      <c r="L229" s="84"/>
      <c r="M229" s="15"/>
      <c r="N229" s="15" t="s">
        <v>173</v>
      </c>
      <c r="O229" s="15"/>
      <c r="P229" s="16" t="s">
        <v>74</v>
      </c>
      <c r="Q229" s="17">
        <v>6990</v>
      </c>
      <c r="R229" s="18">
        <v>45</v>
      </c>
      <c r="S229" s="19">
        <v>4421.1749999999993</v>
      </c>
      <c r="T229" s="20" t="s">
        <v>465</v>
      </c>
      <c r="U229" s="21" t="s">
        <v>493</v>
      </c>
      <c r="V229" s="23">
        <v>54</v>
      </c>
      <c r="W229" s="23">
        <v>2</v>
      </c>
      <c r="X229" s="24"/>
    </row>
    <row r="230" spans="1:24" s="1" customFormat="1" ht="108" customHeight="1" x14ac:dyDescent="0.3">
      <c r="A230" s="11" t="s">
        <v>462</v>
      </c>
      <c r="B230" s="43">
        <v>213</v>
      </c>
      <c r="C230" s="12" t="s">
        <v>506</v>
      </c>
      <c r="D230" s="13"/>
      <c r="E230" s="67" t="str">
        <f>HYPERLINK("https://www.google.ru/search?q=213C-1240A-002&amp;newwindow=1&amp;tbm=isch","Еще фото")</f>
        <v>Еще фото</v>
      </c>
      <c r="F230" s="14"/>
      <c r="G230" s="11" t="s">
        <v>502</v>
      </c>
      <c r="H230" s="11" t="s">
        <v>27</v>
      </c>
      <c r="I230" s="15" t="s">
        <v>503</v>
      </c>
      <c r="J230" s="15" t="s">
        <v>82</v>
      </c>
      <c r="K230" s="16" t="s">
        <v>45</v>
      </c>
      <c r="L230" s="15" t="s">
        <v>507</v>
      </c>
      <c r="M230" s="15"/>
      <c r="N230" s="15" t="s">
        <v>173</v>
      </c>
      <c r="O230" s="15"/>
      <c r="P230" s="16" t="s">
        <v>74</v>
      </c>
      <c r="Q230" s="17">
        <v>6990</v>
      </c>
      <c r="R230" s="18">
        <v>45</v>
      </c>
      <c r="S230" s="19">
        <v>4421.1749999999993</v>
      </c>
      <c r="T230" s="20" t="s">
        <v>465</v>
      </c>
      <c r="U230" s="21" t="s">
        <v>42</v>
      </c>
      <c r="V230" s="23">
        <v>52</v>
      </c>
      <c r="W230" s="23">
        <v>1</v>
      </c>
      <c r="X230" s="24"/>
    </row>
    <row r="231" spans="1:24" s="1" customFormat="1" ht="108" customHeight="1" x14ac:dyDescent="0.3">
      <c r="A231" s="11" t="s">
        <v>462</v>
      </c>
      <c r="B231" s="43">
        <v>213</v>
      </c>
      <c r="C231" s="12" t="s">
        <v>508</v>
      </c>
      <c r="D231" s="13"/>
      <c r="E231" s="67" t="str">
        <f>HYPERLINK("https://www.google.ru/search?q=213C-1240A-669&amp;newwindow=1&amp;tbm=isch","Еще фото")</f>
        <v>Еще фото</v>
      </c>
      <c r="F231" s="14"/>
      <c r="G231" s="11" t="s">
        <v>502</v>
      </c>
      <c r="H231" s="11" t="s">
        <v>27</v>
      </c>
      <c r="I231" s="15" t="s">
        <v>503</v>
      </c>
      <c r="J231" s="15" t="s">
        <v>82</v>
      </c>
      <c r="K231" s="16" t="s">
        <v>45</v>
      </c>
      <c r="L231" s="15" t="s">
        <v>507</v>
      </c>
      <c r="M231" s="15"/>
      <c r="N231" s="15" t="s">
        <v>122</v>
      </c>
      <c r="O231" s="15"/>
      <c r="P231" s="16" t="s">
        <v>74</v>
      </c>
      <c r="Q231" s="17">
        <v>6990</v>
      </c>
      <c r="R231" s="18">
        <v>45</v>
      </c>
      <c r="S231" s="19">
        <v>4421.1749999999993</v>
      </c>
      <c r="T231" s="20" t="s">
        <v>465</v>
      </c>
      <c r="U231" s="21" t="s">
        <v>42</v>
      </c>
      <c r="V231" s="23">
        <v>52</v>
      </c>
      <c r="W231" s="23">
        <v>3</v>
      </c>
      <c r="X231" s="24"/>
    </row>
    <row r="232" spans="1:24" s="1" customFormat="1" ht="108" customHeight="1" x14ac:dyDescent="0.3">
      <c r="A232" s="11" t="s">
        <v>462</v>
      </c>
      <c r="B232" s="44">
        <v>224</v>
      </c>
      <c r="C232" s="12" t="s">
        <v>509</v>
      </c>
      <c r="D232" s="13"/>
      <c r="E232" s="67" t="str">
        <f>HYPERLINK("https://www.google.ru/search?q=224S-1253X-K72&amp;newwindow=1&amp;tbm=isch","Еще фото")</f>
        <v>Еще фото</v>
      </c>
      <c r="F232" s="14"/>
      <c r="G232" s="11" t="s">
        <v>502</v>
      </c>
      <c r="H232" s="11" t="s">
        <v>27</v>
      </c>
      <c r="I232" s="15" t="s">
        <v>503</v>
      </c>
      <c r="J232" s="15" t="s">
        <v>82</v>
      </c>
      <c r="K232" s="16" t="s">
        <v>45</v>
      </c>
      <c r="L232" s="15" t="s">
        <v>510</v>
      </c>
      <c r="M232" s="15"/>
      <c r="N232" s="15" t="s">
        <v>122</v>
      </c>
      <c r="O232" s="15"/>
      <c r="P232" s="16" t="s">
        <v>511</v>
      </c>
      <c r="Q232" s="17">
        <v>9990</v>
      </c>
      <c r="R232" s="18">
        <v>45</v>
      </c>
      <c r="S232" s="19">
        <v>6318.6749999999993</v>
      </c>
      <c r="T232" s="20" t="s">
        <v>465</v>
      </c>
      <c r="U232" s="21" t="s">
        <v>40</v>
      </c>
      <c r="V232" s="23">
        <v>50</v>
      </c>
      <c r="W232" s="23">
        <v>1</v>
      </c>
      <c r="X232" s="24"/>
    </row>
    <row r="233" spans="1:24" s="1" customFormat="1" ht="108" customHeight="1" x14ac:dyDescent="0.3">
      <c r="A233" s="11" t="s">
        <v>462</v>
      </c>
      <c r="B233" s="31">
        <v>450</v>
      </c>
      <c r="C233" s="12" t="s">
        <v>512</v>
      </c>
      <c r="D233" s="13"/>
      <c r="E233" s="67" t="str">
        <f>HYPERLINK("https://www.google.ru/search?q=450-0970A-500&amp;newwindow=1&amp;tbm=isch","Еще фото")</f>
        <v>Еще фото</v>
      </c>
      <c r="F233" s="14"/>
      <c r="G233" s="11" t="s">
        <v>513</v>
      </c>
      <c r="H233" s="11" t="s">
        <v>27</v>
      </c>
      <c r="I233" s="15" t="s">
        <v>301</v>
      </c>
      <c r="J233" s="15" t="s">
        <v>82</v>
      </c>
      <c r="K233" s="16" t="s">
        <v>45</v>
      </c>
      <c r="L233" s="15" t="s">
        <v>514</v>
      </c>
      <c r="M233" s="15"/>
      <c r="N233" s="15" t="s">
        <v>31</v>
      </c>
      <c r="O233" s="15"/>
      <c r="P233" s="16" t="s">
        <v>480</v>
      </c>
      <c r="Q233" s="17">
        <v>12990</v>
      </c>
      <c r="R233" s="18">
        <v>45</v>
      </c>
      <c r="S233" s="19">
        <v>8216.1749999999993</v>
      </c>
      <c r="T233" s="20" t="s">
        <v>465</v>
      </c>
      <c r="U233" s="21" t="s">
        <v>34</v>
      </c>
      <c r="V233" s="23">
        <v>46</v>
      </c>
      <c r="W233" s="23">
        <v>2</v>
      </c>
      <c r="X233" s="24"/>
    </row>
    <row r="234" spans="1:24" s="1" customFormat="1" ht="108" customHeight="1" x14ac:dyDescent="0.3">
      <c r="A234" s="11" t="s">
        <v>462</v>
      </c>
      <c r="B234" s="45">
        <v>846</v>
      </c>
      <c r="C234" s="12" t="s">
        <v>515</v>
      </c>
      <c r="D234" s="13"/>
      <c r="E234" s="67" t="str">
        <f>HYPERLINK("https://www.google.ru/search?q=846B-0253A-687&amp;newwindow=1&amp;tbm=isch","Еще фото")</f>
        <v>Еще фото</v>
      </c>
      <c r="F234" s="14"/>
      <c r="G234" s="11" t="s">
        <v>516</v>
      </c>
      <c r="H234" s="11" t="s">
        <v>27</v>
      </c>
      <c r="I234" s="15" t="s">
        <v>301</v>
      </c>
      <c r="J234" s="15" t="s">
        <v>82</v>
      </c>
      <c r="K234" s="16" t="s">
        <v>45</v>
      </c>
      <c r="L234" s="15" t="s">
        <v>517</v>
      </c>
      <c r="M234" s="15"/>
      <c r="N234" s="15" t="s">
        <v>31</v>
      </c>
      <c r="O234" s="15"/>
      <c r="P234" s="16" t="s">
        <v>518</v>
      </c>
      <c r="Q234" s="17">
        <v>7990</v>
      </c>
      <c r="R234" s="18">
        <v>45</v>
      </c>
      <c r="S234" s="19">
        <v>5053.6749999999993</v>
      </c>
      <c r="T234" s="20" t="s">
        <v>465</v>
      </c>
      <c r="U234" s="21" t="s">
        <v>40</v>
      </c>
      <c r="V234" s="23">
        <v>50</v>
      </c>
      <c r="W234" s="23">
        <v>2</v>
      </c>
      <c r="X234" s="24"/>
    </row>
    <row r="235" spans="1:24" s="1" customFormat="1" ht="108" customHeight="1" x14ac:dyDescent="0.3">
      <c r="A235" s="11" t="s">
        <v>462</v>
      </c>
      <c r="B235" s="46">
        <v>801</v>
      </c>
      <c r="C235" s="12" t="s">
        <v>519</v>
      </c>
      <c r="D235" s="13"/>
      <c r="E235" s="67" t="str">
        <f>HYPERLINK("https://www.google.ru/search?q=801M-0047A-35K&amp;newwindow=1&amp;tbm=isch","Еще фото")</f>
        <v>Еще фото</v>
      </c>
      <c r="F235" s="14"/>
      <c r="G235" s="11" t="s">
        <v>315</v>
      </c>
      <c r="H235" s="11" t="s">
        <v>27</v>
      </c>
      <c r="I235" s="15" t="s">
        <v>316</v>
      </c>
      <c r="J235" s="15" t="s">
        <v>82</v>
      </c>
      <c r="K235" s="16" t="s">
        <v>45</v>
      </c>
      <c r="L235" s="15" t="s">
        <v>520</v>
      </c>
      <c r="M235" s="15"/>
      <c r="N235" s="15" t="s">
        <v>31</v>
      </c>
      <c r="O235" s="15"/>
      <c r="P235" s="16" t="s">
        <v>74</v>
      </c>
      <c r="Q235" s="17">
        <v>3490</v>
      </c>
      <c r="R235" s="18">
        <v>45</v>
      </c>
      <c r="S235" s="19">
        <v>2207.4249999999997</v>
      </c>
      <c r="T235" s="20" t="s">
        <v>465</v>
      </c>
      <c r="U235" s="21" t="s">
        <v>40</v>
      </c>
      <c r="V235" s="23">
        <v>50</v>
      </c>
      <c r="W235" s="23">
        <v>2</v>
      </c>
      <c r="X235" s="24"/>
    </row>
    <row r="236" spans="1:24" s="1" customFormat="1" ht="52.05" customHeight="1" x14ac:dyDescent="0.3">
      <c r="A236" s="11" t="s">
        <v>462</v>
      </c>
      <c r="B236" s="47">
        <v>801</v>
      </c>
      <c r="C236" s="12" t="s">
        <v>521</v>
      </c>
      <c r="D236" s="81"/>
      <c r="E236" s="67" t="str">
        <f>HYPERLINK("https://www.google.ru/search?q=801P-0047A-002&amp;newwindow=1&amp;tbm=isch","Еще фото")</f>
        <v>Еще фото</v>
      </c>
      <c r="F236" s="14"/>
      <c r="G236" s="11" t="s">
        <v>315</v>
      </c>
      <c r="H236" s="11" t="s">
        <v>27</v>
      </c>
      <c r="I236" s="15" t="s">
        <v>316</v>
      </c>
      <c r="J236" s="15" t="s">
        <v>82</v>
      </c>
      <c r="K236" s="16" t="s">
        <v>45</v>
      </c>
      <c r="L236" s="83" t="s">
        <v>522</v>
      </c>
      <c r="M236" s="15"/>
      <c r="N236" s="15" t="s">
        <v>173</v>
      </c>
      <c r="O236" s="15"/>
      <c r="P236" s="16" t="s">
        <v>518</v>
      </c>
      <c r="Q236" s="17">
        <v>3490</v>
      </c>
      <c r="R236" s="18">
        <v>45</v>
      </c>
      <c r="S236" s="19">
        <v>2207.4249999999997</v>
      </c>
      <c r="T236" s="20" t="s">
        <v>465</v>
      </c>
      <c r="U236" s="21" t="s">
        <v>34</v>
      </c>
      <c r="V236" s="23">
        <v>46</v>
      </c>
      <c r="W236" s="23">
        <v>2</v>
      </c>
      <c r="X236" s="24"/>
    </row>
    <row r="237" spans="1:24" s="1" customFormat="1" ht="61.05" customHeight="1" x14ac:dyDescent="0.3">
      <c r="A237" s="25" t="s">
        <v>462</v>
      </c>
      <c r="B237" s="48">
        <v>801</v>
      </c>
      <c r="C237" s="12" t="s">
        <v>521</v>
      </c>
      <c r="D237" s="82"/>
      <c r="E237" s="67" t="str">
        <f>HYPERLINK("https://www.google.ru/search?q=801P-0047A-002&amp;newwindow=1&amp;tbm=isch","Еще фото")</f>
        <v>Еще фото</v>
      </c>
      <c r="F237" s="14"/>
      <c r="G237" s="25" t="s">
        <v>315</v>
      </c>
      <c r="H237" s="25" t="s">
        <v>27</v>
      </c>
      <c r="I237" s="25" t="s">
        <v>316</v>
      </c>
      <c r="J237" s="15" t="s">
        <v>82</v>
      </c>
      <c r="K237" s="16" t="s">
        <v>45</v>
      </c>
      <c r="L237" s="84"/>
      <c r="M237" s="15"/>
      <c r="N237" s="15" t="s">
        <v>173</v>
      </c>
      <c r="O237" s="15"/>
      <c r="P237" s="16" t="s">
        <v>518</v>
      </c>
      <c r="Q237" s="17">
        <v>3490</v>
      </c>
      <c r="R237" s="18">
        <v>45</v>
      </c>
      <c r="S237" s="19">
        <v>2207.4249999999997</v>
      </c>
      <c r="T237" s="20" t="s">
        <v>465</v>
      </c>
      <c r="U237" s="21" t="s">
        <v>52</v>
      </c>
      <c r="V237" s="23">
        <v>48</v>
      </c>
      <c r="W237" s="23">
        <v>1</v>
      </c>
      <c r="X237" s="24"/>
    </row>
    <row r="238" spans="1:24" s="1" customFormat="1" ht="35" customHeight="1" x14ac:dyDescent="0.3">
      <c r="A238" s="11" t="s">
        <v>462</v>
      </c>
      <c r="B238" s="49">
        <v>801</v>
      </c>
      <c r="C238" s="12" t="s">
        <v>523</v>
      </c>
      <c r="D238" s="85"/>
      <c r="E238" s="67" t="str">
        <f>HYPERLINK("https://www.google.ru/search?q=801U-0042A-687&amp;newwindow=1&amp;tbm=isch","Еще фото")</f>
        <v>Еще фото</v>
      </c>
      <c r="F238" s="14"/>
      <c r="G238" s="11" t="s">
        <v>315</v>
      </c>
      <c r="H238" s="11" t="s">
        <v>27</v>
      </c>
      <c r="I238" s="15" t="s">
        <v>316</v>
      </c>
      <c r="J238" s="15" t="s">
        <v>82</v>
      </c>
      <c r="K238" s="16" t="s">
        <v>45</v>
      </c>
      <c r="L238" s="83" t="s">
        <v>524</v>
      </c>
      <c r="M238" s="15"/>
      <c r="N238" s="15" t="s">
        <v>31</v>
      </c>
      <c r="O238" s="15"/>
      <c r="P238" s="16" t="s">
        <v>525</v>
      </c>
      <c r="Q238" s="17">
        <v>3490</v>
      </c>
      <c r="R238" s="18">
        <v>45</v>
      </c>
      <c r="S238" s="19">
        <v>2207.4249999999997</v>
      </c>
      <c r="T238" s="20" t="s">
        <v>465</v>
      </c>
      <c r="U238" s="21" t="s">
        <v>52</v>
      </c>
      <c r="V238" s="23">
        <v>48</v>
      </c>
      <c r="W238" s="23">
        <v>3</v>
      </c>
      <c r="X238" s="24"/>
    </row>
    <row r="239" spans="1:24" s="1" customFormat="1" ht="35" customHeight="1" x14ac:dyDescent="0.3">
      <c r="A239" s="25" t="s">
        <v>462</v>
      </c>
      <c r="B239" s="50">
        <v>801</v>
      </c>
      <c r="C239" s="12" t="s">
        <v>523</v>
      </c>
      <c r="D239" s="86"/>
      <c r="E239" s="67" t="str">
        <f>HYPERLINK("https://www.google.ru/search?q=801U-0042A-687&amp;newwindow=1&amp;tbm=isch","Еще фото")</f>
        <v>Еще фото</v>
      </c>
      <c r="F239" s="14"/>
      <c r="G239" s="25" t="s">
        <v>315</v>
      </c>
      <c r="H239" s="25" t="s">
        <v>27</v>
      </c>
      <c r="I239" s="25" t="s">
        <v>316</v>
      </c>
      <c r="J239" s="15" t="s">
        <v>82</v>
      </c>
      <c r="K239" s="16" t="s">
        <v>45</v>
      </c>
      <c r="L239" s="88"/>
      <c r="M239" s="15"/>
      <c r="N239" s="15" t="s">
        <v>31</v>
      </c>
      <c r="O239" s="15"/>
      <c r="P239" s="16" t="s">
        <v>525</v>
      </c>
      <c r="Q239" s="17">
        <v>3490</v>
      </c>
      <c r="R239" s="18">
        <v>45</v>
      </c>
      <c r="S239" s="19">
        <v>2207.4249999999997</v>
      </c>
      <c r="T239" s="20" t="s">
        <v>465</v>
      </c>
      <c r="U239" s="21" t="s">
        <v>40</v>
      </c>
      <c r="V239" s="23">
        <v>50</v>
      </c>
      <c r="W239" s="23">
        <v>2</v>
      </c>
      <c r="X239" s="24"/>
    </row>
    <row r="240" spans="1:24" s="1" customFormat="1" ht="37.049999999999997" customHeight="1" x14ac:dyDescent="0.3">
      <c r="A240" s="25" t="s">
        <v>462</v>
      </c>
      <c r="B240" s="50">
        <v>801</v>
      </c>
      <c r="C240" s="12" t="s">
        <v>523</v>
      </c>
      <c r="D240" s="87"/>
      <c r="E240" s="67" t="str">
        <f>HYPERLINK("https://www.google.ru/search?q=801U-0042A-687&amp;newwindow=1&amp;tbm=isch","Еще фото")</f>
        <v>Еще фото</v>
      </c>
      <c r="F240" s="14"/>
      <c r="G240" s="25" t="s">
        <v>315</v>
      </c>
      <c r="H240" s="25" t="s">
        <v>27</v>
      </c>
      <c r="I240" s="25" t="s">
        <v>316</v>
      </c>
      <c r="J240" s="15" t="s">
        <v>82</v>
      </c>
      <c r="K240" s="16" t="s">
        <v>45</v>
      </c>
      <c r="L240" s="84"/>
      <c r="M240" s="15"/>
      <c r="N240" s="15" t="s">
        <v>31</v>
      </c>
      <c r="O240" s="15"/>
      <c r="P240" s="16" t="s">
        <v>525</v>
      </c>
      <c r="Q240" s="17">
        <v>3490</v>
      </c>
      <c r="R240" s="18">
        <v>45</v>
      </c>
      <c r="S240" s="19">
        <v>2207.4249999999997</v>
      </c>
      <c r="T240" s="20" t="s">
        <v>465</v>
      </c>
      <c r="U240" s="21" t="s">
        <v>42</v>
      </c>
      <c r="V240" s="23">
        <v>52</v>
      </c>
      <c r="W240" s="23">
        <v>3</v>
      </c>
      <c r="X240" s="24"/>
    </row>
    <row r="241" spans="1:24" s="1" customFormat="1" ht="26" customHeight="1" x14ac:dyDescent="0.3">
      <c r="A241" s="11" t="s">
        <v>462</v>
      </c>
      <c r="B241" s="49">
        <v>801</v>
      </c>
      <c r="C241" s="12" t="s">
        <v>526</v>
      </c>
      <c r="D241" s="85"/>
      <c r="E241" s="67" t="str">
        <f>HYPERLINK("https://www.google.ru/search?q=801U-0042A-899&amp;newwindow=1&amp;tbm=isch","Еще фото")</f>
        <v>Еще фото</v>
      </c>
      <c r="F241" s="14"/>
      <c r="G241" s="11" t="s">
        <v>315</v>
      </c>
      <c r="H241" s="11" t="s">
        <v>27</v>
      </c>
      <c r="I241" s="15" t="s">
        <v>316</v>
      </c>
      <c r="J241" s="15" t="s">
        <v>82</v>
      </c>
      <c r="K241" s="16" t="s">
        <v>45</v>
      </c>
      <c r="L241" s="83" t="s">
        <v>524</v>
      </c>
      <c r="M241" s="15"/>
      <c r="N241" s="15" t="s">
        <v>38</v>
      </c>
      <c r="O241" s="15"/>
      <c r="P241" s="16" t="s">
        <v>525</v>
      </c>
      <c r="Q241" s="17">
        <v>3490</v>
      </c>
      <c r="R241" s="18">
        <v>45</v>
      </c>
      <c r="S241" s="19">
        <v>2207.4249999999997</v>
      </c>
      <c r="T241" s="20" t="s">
        <v>465</v>
      </c>
      <c r="U241" s="21" t="s">
        <v>52</v>
      </c>
      <c r="V241" s="23">
        <v>48</v>
      </c>
      <c r="W241" s="23">
        <v>2</v>
      </c>
      <c r="X241" s="24"/>
    </row>
    <row r="242" spans="1:24" s="1" customFormat="1" ht="26" customHeight="1" x14ac:dyDescent="0.3">
      <c r="A242" s="25" t="s">
        <v>462</v>
      </c>
      <c r="B242" s="50">
        <v>801</v>
      </c>
      <c r="C242" s="12" t="s">
        <v>526</v>
      </c>
      <c r="D242" s="86"/>
      <c r="E242" s="67" t="str">
        <f>HYPERLINK("https://www.google.ru/search?q=801U-0042A-899&amp;newwindow=1&amp;tbm=isch","Еще фото")</f>
        <v>Еще фото</v>
      </c>
      <c r="F242" s="14"/>
      <c r="G242" s="25" t="s">
        <v>315</v>
      </c>
      <c r="H242" s="25" t="s">
        <v>27</v>
      </c>
      <c r="I242" s="25" t="s">
        <v>316</v>
      </c>
      <c r="J242" s="15" t="s">
        <v>82</v>
      </c>
      <c r="K242" s="16" t="s">
        <v>45</v>
      </c>
      <c r="L242" s="88"/>
      <c r="M242" s="15"/>
      <c r="N242" s="15" t="s">
        <v>38</v>
      </c>
      <c r="O242" s="15"/>
      <c r="P242" s="16" t="s">
        <v>525</v>
      </c>
      <c r="Q242" s="17">
        <v>3490</v>
      </c>
      <c r="R242" s="18">
        <v>45</v>
      </c>
      <c r="S242" s="19">
        <v>2207.4249999999997</v>
      </c>
      <c r="T242" s="20" t="s">
        <v>465</v>
      </c>
      <c r="U242" s="21" t="s">
        <v>40</v>
      </c>
      <c r="V242" s="23">
        <v>50</v>
      </c>
      <c r="W242" s="23">
        <v>2</v>
      </c>
      <c r="X242" s="24"/>
    </row>
    <row r="243" spans="1:24" s="1" customFormat="1" ht="26" customHeight="1" x14ac:dyDescent="0.3">
      <c r="A243" s="25" t="s">
        <v>462</v>
      </c>
      <c r="B243" s="50">
        <v>801</v>
      </c>
      <c r="C243" s="12" t="s">
        <v>526</v>
      </c>
      <c r="D243" s="86"/>
      <c r="E243" s="67" t="str">
        <f>HYPERLINK("https://www.google.ru/search?q=801U-0042A-899&amp;newwindow=1&amp;tbm=isch","Еще фото")</f>
        <v>Еще фото</v>
      </c>
      <c r="F243" s="14"/>
      <c r="G243" s="25" t="s">
        <v>315</v>
      </c>
      <c r="H243" s="25" t="s">
        <v>27</v>
      </c>
      <c r="I243" s="25" t="s">
        <v>316</v>
      </c>
      <c r="J243" s="15" t="s">
        <v>82</v>
      </c>
      <c r="K243" s="16" t="s">
        <v>45</v>
      </c>
      <c r="L243" s="88"/>
      <c r="M243" s="15"/>
      <c r="N243" s="15" t="s">
        <v>38</v>
      </c>
      <c r="O243" s="15"/>
      <c r="P243" s="16" t="s">
        <v>525</v>
      </c>
      <c r="Q243" s="17">
        <v>3490</v>
      </c>
      <c r="R243" s="18">
        <v>45</v>
      </c>
      <c r="S243" s="19">
        <v>2207.4249999999997</v>
      </c>
      <c r="T243" s="20" t="s">
        <v>465</v>
      </c>
      <c r="U243" s="21" t="s">
        <v>42</v>
      </c>
      <c r="V243" s="23">
        <v>52</v>
      </c>
      <c r="W243" s="23">
        <v>2</v>
      </c>
      <c r="X243" s="24"/>
    </row>
    <row r="244" spans="1:24" s="1" customFormat="1" ht="26" customHeight="1" x14ac:dyDescent="0.3">
      <c r="A244" s="25" t="s">
        <v>462</v>
      </c>
      <c r="B244" s="50">
        <v>801</v>
      </c>
      <c r="C244" s="12" t="s">
        <v>526</v>
      </c>
      <c r="D244" s="87"/>
      <c r="E244" s="67" t="str">
        <f>HYPERLINK("https://www.google.ru/search?q=801U-0042A-899&amp;newwindow=1&amp;tbm=isch","Еще фото")</f>
        <v>Еще фото</v>
      </c>
      <c r="F244" s="14"/>
      <c r="G244" s="25" t="s">
        <v>315</v>
      </c>
      <c r="H244" s="25" t="s">
        <v>27</v>
      </c>
      <c r="I244" s="25" t="s">
        <v>316</v>
      </c>
      <c r="J244" s="15" t="s">
        <v>82</v>
      </c>
      <c r="K244" s="16" t="s">
        <v>45</v>
      </c>
      <c r="L244" s="84"/>
      <c r="M244" s="15"/>
      <c r="N244" s="15" t="s">
        <v>38</v>
      </c>
      <c r="O244" s="15"/>
      <c r="P244" s="16" t="s">
        <v>525</v>
      </c>
      <c r="Q244" s="17">
        <v>3490</v>
      </c>
      <c r="R244" s="18">
        <v>45</v>
      </c>
      <c r="S244" s="19">
        <v>2207.4249999999997</v>
      </c>
      <c r="T244" s="20" t="s">
        <v>465</v>
      </c>
      <c r="U244" s="21" t="s">
        <v>493</v>
      </c>
      <c r="V244" s="23">
        <v>54</v>
      </c>
      <c r="W244" s="23">
        <v>1</v>
      </c>
      <c r="X244" s="24"/>
    </row>
    <row r="245" spans="1:24" s="1" customFormat="1" ht="35" customHeight="1" x14ac:dyDescent="0.3">
      <c r="A245" s="11" t="s">
        <v>462</v>
      </c>
      <c r="B245" s="31">
        <v>819</v>
      </c>
      <c r="C245" s="12" t="s">
        <v>527</v>
      </c>
      <c r="D245" s="85"/>
      <c r="E245" s="67" t="str">
        <f>HYPERLINK("https://www.google.ru/search?q=819-0075A-461&amp;newwindow=1&amp;tbm=isch","Еще фото")</f>
        <v>Еще фото</v>
      </c>
      <c r="F245" s="14"/>
      <c r="G245" s="11" t="s">
        <v>528</v>
      </c>
      <c r="H245" s="11" t="s">
        <v>27</v>
      </c>
      <c r="I245" s="15" t="s">
        <v>316</v>
      </c>
      <c r="J245" s="15" t="s">
        <v>82</v>
      </c>
      <c r="K245" s="16" t="s">
        <v>45</v>
      </c>
      <c r="L245" s="83" t="s">
        <v>529</v>
      </c>
      <c r="M245" s="15"/>
      <c r="N245" s="15" t="s">
        <v>73</v>
      </c>
      <c r="O245" s="15"/>
      <c r="P245" s="16" t="s">
        <v>74</v>
      </c>
      <c r="Q245" s="17">
        <v>3990</v>
      </c>
      <c r="R245" s="18">
        <v>45</v>
      </c>
      <c r="S245" s="19">
        <v>2523.6749999999997</v>
      </c>
      <c r="T245" s="20" t="s">
        <v>465</v>
      </c>
      <c r="U245" s="21" t="s">
        <v>52</v>
      </c>
      <c r="V245" s="23">
        <v>48</v>
      </c>
      <c r="W245" s="23">
        <v>2</v>
      </c>
      <c r="X245" s="24"/>
    </row>
    <row r="246" spans="1:24" s="1" customFormat="1" ht="35" customHeight="1" x14ac:dyDescent="0.3">
      <c r="A246" s="25" t="s">
        <v>462</v>
      </c>
      <c r="B246" s="32">
        <v>819</v>
      </c>
      <c r="C246" s="12" t="s">
        <v>527</v>
      </c>
      <c r="D246" s="86"/>
      <c r="E246" s="67" t="str">
        <f>HYPERLINK("https://www.google.ru/search?q=819-0075A-461&amp;newwindow=1&amp;tbm=isch","Еще фото")</f>
        <v>Еще фото</v>
      </c>
      <c r="F246" s="14"/>
      <c r="G246" s="25" t="s">
        <v>528</v>
      </c>
      <c r="H246" s="25" t="s">
        <v>27</v>
      </c>
      <c r="I246" s="25" t="s">
        <v>316</v>
      </c>
      <c r="J246" s="15" t="s">
        <v>82</v>
      </c>
      <c r="K246" s="16" t="s">
        <v>45</v>
      </c>
      <c r="L246" s="88"/>
      <c r="M246" s="15"/>
      <c r="N246" s="15" t="s">
        <v>73</v>
      </c>
      <c r="O246" s="15"/>
      <c r="P246" s="16" t="s">
        <v>74</v>
      </c>
      <c r="Q246" s="17">
        <v>3990</v>
      </c>
      <c r="R246" s="18">
        <v>45</v>
      </c>
      <c r="S246" s="19">
        <v>2523.6749999999997</v>
      </c>
      <c r="T246" s="20" t="s">
        <v>465</v>
      </c>
      <c r="U246" s="21" t="s">
        <v>40</v>
      </c>
      <c r="V246" s="23">
        <v>50</v>
      </c>
      <c r="W246" s="23">
        <v>1</v>
      </c>
      <c r="X246" s="24"/>
    </row>
    <row r="247" spans="1:24" s="1" customFormat="1" ht="37.049999999999997" customHeight="1" x14ac:dyDescent="0.3">
      <c r="A247" s="25" t="s">
        <v>462</v>
      </c>
      <c r="B247" s="32">
        <v>819</v>
      </c>
      <c r="C247" s="12" t="s">
        <v>527</v>
      </c>
      <c r="D247" s="87"/>
      <c r="E247" s="67" t="str">
        <f>HYPERLINK("https://www.google.ru/search?q=819-0075A-461&amp;newwindow=1&amp;tbm=isch","Еще фото")</f>
        <v>Еще фото</v>
      </c>
      <c r="F247" s="14"/>
      <c r="G247" s="25" t="s">
        <v>528</v>
      </c>
      <c r="H247" s="25" t="s">
        <v>27</v>
      </c>
      <c r="I247" s="25" t="s">
        <v>316</v>
      </c>
      <c r="J247" s="15" t="s">
        <v>82</v>
      </c>
      <c r="K247" s="16" t="s">
        <v>45</v>
      </c>
      <c r="L247" s="84"/>
      <c r="M247" s="15"/>
      <c r="N247" s="15" t="s">
        <v>73</v>
      </c>
      <c r="O247" s="15"/>
      <c r="P247" s="16" t="s">
        <v>74</v>
      </c>
      <c r="Q247" s="17">
        <v>3990</v>
      </c>
      <c r="R247" s="18">
        <v>45</v>
      </c>
      <c r="S247" s="19">
        <v>2523.6749999999997</v>
      </c>
      <c r="T247" s="20" t="s">
        <v>465</v>
      </c>
      <c r="U247" s="21" t="s">
        <v>493</v>
      </c>
      <c r="V247" s="23">
        <v>54</v>
      </c>
      <c r="W247" s="23">
        <v>3</v>
      </c>
      <c r="X247" s="24"/>
    </row>
    <row r="248" spans="1:24" s="1" customFormat="1" ht="108" customHeight="1" x14ac:dyDescent="0.3">
      <c r="A248" s="11" t="s">
        <v>462</v>
      </c>
      <c r="B248" s="37">
        <v>819</v>
      </c>
      <c r="C248" s="12" t="s">
        <v>530</v>
      </c>
      <c r="D248" s="13"/>
      <c r="E248" s="67" t="str">
        <f>HYPERLINK("https://www.google.ru/search?q=819A-0075A-001&amp;newwindow=1&amp;tbm=isch","Еще фото")</f>
        <v>Еще фото</v>
      </c>
      <c r="F248" s="14"/>
      <c r="G248" s="11" t="s">
        <v>528</v>
      </c>
      <c r="H248" s="11" t="s">
        <v>27</v>
      </c>
      <c r="I248" s="15" t="s">
        <v>316</v>
      </c>
      <c r="J248" s="15" t="s">
        <v>82</v>
      </c>
      <c r="K248" s="16" t="s">
        <v>45</v>
      </c>
      <c r="L248" s="15" t="s">
        <v>529</v>
      </c>
      <c r="M248" s="15"/>
      <c r="N248" s="15" t="s">
        <v>173</v>
      </c>
      <c r="O248" s="15"/>
      <c r="P248" s="16" t="s">
        <v>74</v>
      </c>
      <c r="Q248" s="17">
        <v>3990</v>
      </c>
      <c r="R248" s="18">
        <v>45</v>
      </c>
      <c r="S248" s="19">
        <v>2523.6749999999997</v>
      </c>
      <c r="T248" s="20" t="s">
        <v>465</v>
      </c>
      <c r="U248" s="21" t="s">
        <v>52</v>
      </c>
      <c r="V248" s="23">
        <v>48</v>
      </c>
      <c r="W248" s="23">
        <v>3</v>
      </c>
      <c r="X248" s="24"/>
    </row>
    <row r="249" spans="1:24" s="1" customFormat="1" ht="108" customHeight="1" x14ac:dyDescent="0.3">
      <c r="A249" s="11" t="s">
        <v>531</v>
      </c>
      <c r="B249" s="11" t="s">
        <v>532</v>
      </c>
      <c r="C249" s="12" t="s">
        <v>533</v>
      </c>
      <c r="D249" s="13"/>
      <c r="E249" s="67" t="str">
        <f>HYPERLINK("https://www.google.ru/search?q=EQYTJ03457-KRP0&amp;newwindow=1&amp;tbm=isch","Еще фото")</f>
        <v>Еще фото</v>
      </c>
      <c r="F249" s="14"/>
      <c r="G249" s="11" t="s">
        <v>534</v>
      </c>
      <c r="H249" s="11" t="s">
        <v>27</v>
      </c>
      <c r="I249" s="15" t="s">
        <v>130</v>
      </c>
      <c r="J249" s="15" t="s">
        <v>535</v>
      </c>
      <c r="K249" s="16" t="s">
        <v>45</v>
      </c>
      <c r="L249" s="15" t="s">
        <v>536</v>
      </c>
      <c r="M249" s="15"/>
      <c r="N249" s="15" t="s">
        <v>218</v>
      </c>
      <c r="O249" s="15"/>
      <c r="P249" s="51">
        <v>100</v>
      </c>
      <c r="Q249" s="17">
        <v>29990</v>
      </c>
      <c r="R249" s="18">
        <v>48.32</v>
      </c>
      <c r="S249" s="19">
        <v>17824.988499999999</v>
      </c>
      <c r="T249" s="20" t="s">
        <v>33</v>
      </c>
      <c r="U249" s="21" t="s">
        <v>34</v>
      </c>
      <c r="V249" s="23">
        <v>46</v>
      </c>
      <c r="W249" s="23">
        <v>1</v>
      </c>
      <c r="X249" s="24"/>
    </row>
    <row r="250" spans="1:24" s="1" customFormat="1" ht="108" customHeight="1" x14ac:dyDescent="0.3">
      <c r="A250" s="11" t="s">
        <v>531</v>
      </c>
      <c r="B250" s="11" t="s">
        <v>537</v>
      </c>
      <c r="C250" s="12" t="s">
        <v>538</v>
      </c>
      <c r="D250" s="13"/>
      <c r="E250" s="67" t="str">
        <f>HYPERLINK("https://www.google.ru/search?q=EQYTJ03404-GEL0&amp;newwindow=1&amp;tbm=isch","Еще фото")</f>
        <v>Еще фото</v>
      </c>
      <c r="F250" s="14"/>
      <c r="G250" s="11" t="s">
        <v>534</v>
      </c>
      <c r="H250" s="11" t="s">
        <v>27</v>
      </c>
      <c r="I250" s="15" t="s">
        <v>130</v>
      </c>
      <c r="J250" s="15" t="s">
        <v>535</v>
      </c>
      <c r="K250" s="16" t="s">
        <v>45</v>
      </c>
      <c r="L250" s="15" t="s">
        <v>539</v>
      </c>
      <c r="M250" s="15"/>
      <c r="N250" s="15" t="s">
        <v>55</v>
      </c>
      <c r="O250" s="15"/>
      <c r="P250" s="51">
        <v>100</v>
      </c>
      <c r="Q250" s="17">
        <v>27990</v>
      </c>
      <c r="R250" s="18">
        <v>48.2</v>
      </c>
      <c r="S250" s="19">
        <v>16674.988499999999</v>
      </c>
      <c r="T250" s="20" t="s">
        <v>33</v>
      </c>
      <c r="U250" s="21" t="s">
        <v>34</v>
      </c>
      <c r="V250" s="23">
        <v>46</v>
      </c>
      <c r="W250" s="23">
        <v>1</v>
      </c>
      <c r="X250" s="24"/>
    </row>
    <row r="251" spans="1:24" s="1" customFormat="1" ht="35" customHeight="1" x14ac:dyDescent="0.3">
      <c r="A251" s="11" t="s">
        <v>531</v>
      </c>
      <c r="B251" s="11" t="s">
        <v>540</v>
      </c>
      <c r="C251" s="12" t="s">
        <v>541</v>
      </c>
      <c r="D251" s="85"/>
      <c r="E251" s="67" t="str">
        <f>HYPERLINK("https://www.google.ru/search?q=EQYJK04092-GLW0&amp;newwindow=1&amp;tbm=isch","Еще фото")</f>
        <v>Еще фото</v>
      </c>
      <c r="F251" s="14"/>
      <c r="G251" s="11" t="s">
        <v>140</v>
      </c>
      <c r="H251" s="11" t="s">
        <v>27</v>
      </c>
      <c r="I251" s="15" t="s">
        <v>130</v>
      </c>
      <c r="J251" s="15" t="s">
        <v>28</v>
      </c>
      <c r="K251" s="16" t="s">
        <v>45</v>
      </c>
      <c r="L251" s="83" t="s">
        <v>542</v>
      </c>
      <c r="M251" s="15"/>
      <c r="N251" s="15" t="s">
        <v>543</v>
      </c>
      <c r="O251" s="15"/>
      <c r="P251" s="52">
        <v>100</v>
      </c>
      <c r="Q251" s="17">
        <v>29990</v>
      </c>
      <c r="R251" s="18">
        <v>48</v>
      </c>
      <c r="S251" s="19">
        <v>17934.019999999997</v>
      </c>
      <c r="T251" s="20" t="s">
        <v>33</v>
      </c>
      <c r="U251" s="21" t="s">
        <v>40</v>
      </c>
      <c r="V251" s="23">
        <v>50</v>
      </c>
      <c r="W251" s="23">
        <v>1</v>
      </c>
      <c r="X251" s="24"/>
    </row>
    <row r="252" spans="1:24" s="1" customFormat="1" ht="35" customHeight="1" x14ac:dyDescent="0.3">
      <c r="A252" s="25" t="s">
        <v>531</v>
      </c>
      <c r="B252" s="25" t="s">
        <v>540</v>
      </c>
      <c r="C252" s="12" t="s">
        <v>541</v>
      </c>
      <c r="D252" s="86"/>
      <c r="E252" s="67" t="str">
        <f>HYPERLINK("https://www.google.ru/search?q=EQYJK04092-GLW0&amp;newwindow=1&amp;tbm=isch","Еще фото")</f>
        <v>Еще фото</v>
      </c>
      <c r="F252" s="14"/>
      <c r="G252" s="25" t="s">
        <v>140</v>
      </c>
      <c r="H252" s="25" t="s">
        <v>27</v>
      </c>
      <c r="I252" s="25" t="s">
        <v>130</v>
      </c>
      <c r="J252" s="15" t="s">
        <v>28</v>
      </c>
      <c r="K252" s="16" t="s">
        <v>45</v>
      </c>
      <c r="L252" s="88"/>
      <c r="M252" s="15"/>
      <c r="N252" s="15" t="s">
        <v>543</v>
      </c>
      <c r="O252" s="15"/>
      <c r="P252" s="52">
        <v>100</v>
      </c>
      <c r="Q252" s="17">
        <v>29990</v>
      </c>
      <c r="R252" s="18">
        <v>48</v>
      </c>
      <c r="S252" s="19">
        <v>17934.019999999997</v>
      </c>
      <c r="T252" s="20" t="s">
        <v>33</v>
      </c>
      <c r="U252" s="21" t="s">
        <v>42</v>
      </c>
      <c r="V252" s="23">
        <v>52</v>
      </c>
      <c r="W252" s="23">
        <v>1</v>
      </c>
      <c r="X252" s="24"/>
    </row>
    <row r="253" spans="1:24" s="1" customFormat="1" ht="37.049999999999997" customHeight="1" x14ac:dyDescent="0.3">
      <c r="A253" s="25" t="s">
        <v>531</v>
      </c>
      <c r="B253" s="25" t="s">
        <v>540</v>
      </c>
      <c r="C253" s="12" t="s">
        <v>541</v>
      </c>
      <c r="D253" s="87"/>
      <c r="E253" s="67" t="str">
        <f>HYPERLINK("https://www.google.ru/search?q=EQYJK04092-GLW0&amp;newwindow=1&amp;tbm=isch","Еще фото")</f>
        <v>Еще фото</v>
      </c>
      <c r="F253" s="14"/>
      <c r="G253" s="25" t="s">
        <v>140</v>
      </c>
      <c r="H253" s="25" t="s">
        <v>27</v>
      </c>
      <c r="I253" s="25" t="s">
        <v>130</v>
      </c>
      <c r="J253" s="15" t="s">
        <v>28</v>
      </c>
      <c r="K253" s="16" t="s">
        <v>45</v>
      </c>
      <c r="L253" s="84"/>
      <c r="M253" s="15"/>
      <c r="N253" s="15" t="s">
        <v>543</v>
      </c>
      <c r="O253" s="15"/>
      <c r="P253" s="52">
        <v>100</v>
      </c>
      <c r="Q253" s="17">
        <v>29990</v>
      </c>
      <c r="R253" s="18">
        <v>48</v>
      </c>
      <c r="S253" s="19">
        <v>17934.019999999997</v>
      </c>
      <c r="T253" s="20" t="s">
        <v>33</v>
      </c>
      <c r="U253" s="21" t="s">
        <v>493</v>
      </c>
      <c r="V253" s="23">
        <v>54</v>
      </c>
      <c r="W253" s="23">
        <v>1</v>
      </c>
      <c r="X253" s="24"/>
    </row>
    <row r="254" spans="1:24" s="1" customFormat="1" ht="52.05" customHeight="1" x14ac:dyDescent="0.3">
      <c r="A254" s="11" t="s">
        <v>531</v>
      </c>
      <c r="B254" s="11" t="s">
        <v>544</v>
      </c>
      <c r="C254" s="12" t="s">
        <v>545</v>
      </c>
      <c r="D254" s="81"/>
      <c r="E254" s="67" t="str">
        <f>HYPERLINK("https://www.google.ru/search?q=AQYL101309-XKBB&amp;newwindow=1&amp;tbm=isch","Еще фото")</f>
        <v>Еще фото</v>
      </c>
      <c r="F254" s="14"/>
      <c r="G254" s="11" t="s">
        <v>546</v>
      </c>
      <c r="H254" s="11" t="s">
        <v>93</v>
      </c>
      <c r="I254" s="15" t="s">
        <v>547</v>
      </c>
      <c r="J254" s="15" t="s">
        <v>28</v>
      </c>
      <c r="K254" s="16" t="s">
        <v>45</v>
      </c>
      <c r="L254" s="83" t="s">
        <v>548</v>
      </c>
      <c r="M254" s="15"/>
      <c r="N254" s="15" t="s">
        <v>543</v>
      </c>
      <c r="O254" s="15"/>
      <c r="P254" s="16" t="s">
        <v>549</v>
      </c>
      <c r="Q254" s="17">
        <v>2990</v>
      </c>
      <c r="R254" s="18">
        <v>49.83</v>
      </c>
      <c r="S254" s="19">
        <v>1724.9884999999999</v>
      </c>
      <c r="T254" s="20" t="s">
        <v>63</v>
      </c>
      <c r="U254" s="21" t="s">
        <v>550</v>
      </c>
      <c r="V254" s="23">
        <v>39</v>
      </c>
      <c r="W254" s="23">
        <v>4</v>
      </c>
      <c r="X254" s="24"/>
    </row>
    <row r="255" spans="1:24" s="1" customFormat="1" ht="61.05" customHeight="1" x14ac:dyDescent="0.3">
      <c r="A255" s="25" t="s">
        <v>531</v>
      </c>
      <c r="B255" s="25" t="s">
        <v>544</v>
      </c>
      <c r="C255" s="12" t="s">
        <v>545</v>
      </c>
      <c r="D255" s="82"/>
      <c r="E255" s="67" t="str">
        <f>HYPERLINK("https://www.google.ru/search?q=AQYL101309-XKBB&amp;newwindow=1&amp;tbm=isch","Еще фото")</f>
        <v>Еще фото</v>
      </c>
      <c r="F255" s="14"/>
      <c r="G255" s="25" t="s">
        <v>546</v>
      </c>
      <c r="H255" s="25" t="s">
        <v>93</v>
      </c>
      <c r="I255" s="25" t="s">
        <v>547</v>
      </c>
      <c r="J255" s="15" t="s">
        <v>28</v>
      </c>
      <c r="K255" s="16" t="s">
        <v>45</v>
      </c>
      <c r="L255" s="84"/>
      <c r="M255" s="15"/>
      <c r="N255" s="15" t="s">
        <v>543</v>
      </c>
      <c r="O255" s="15"/>
      <c r="P255" s="16" t="s">
        <v>549</v>
      </c>
      <c r="Q255" s="17">
        <v>2990</v>
      </c>
      <c r="R255" s="18">
        <v>49.83</v>
      </c>
      <c r="S255" s="19">
        <v>1724.9884999999999</v>
      </c>
      <c r="T255" s="20" t="s">
        <v>63</v>
      </c>
      <c r="U255" s="21" t="s">
        <v>551</v>
      </c>
      <c r="V255" s="23">
        <v>40</v>
      </c>
      <c r="W255" s="23">
        <v>8</v>
      </c>
      <c r="X255" s="24"/>
    </row>
    <row r="256" spans="1:24" s="1" customFormat="1" ht="108" customHeight="1" x14ac:dyDescent="0.3">
      <c r="A256" s="11" t="s">
        <v>531</v>
      </c>
      <c r="B256" s="11" t="s">
        <v>552</v>
      </c>
      <c r="C256" s="12" t="s">
        <v>553</v>
      </c>
      <c r="D256" s="13"/>
      <c r="E256" s="67" t="str">
        <f>HYPERLINK("https://www.google.ru/search?q=AQYL101309-SND&amp;newwindow=1&amp;tbm=isch","Еще фото")</f>
        <v>Еще фото</v>
      </c>
      <c r="F256" s="14"/>
      <c r="G256" s="11" t="s">
        <v>546</v>
      </c>
      <c r="H256" s="11" t="s">
        <v>93</v>
      </c>
      <c r="I256" s="15" t="s">
        <v>547</v>
      </c>
      <c r="J256" s="15" t="s">
        <v>28</v>
      </c>
      <c r="K256" s="16" t="s">
        <v>45</v>
      </c>
      <c r="L256" s="15" t="s">
        <v>548</v>
      </c>
      <c r="M256" s="15"/>
      <c r="N256" s="15" t="s">
        <v>132</v>
      </c>
      <c r="O256" s="15"/>
      <c r="P256" s="16" t="s">
        <v>549</v>
      </c>
      <c r="Q256" s="17">
        <v>2699</v>
      </c>
      <c r="R256" s="18">
        <v>48.13</v>
      </c>
      <c r="S256" s="19">
        <v>1609.9884999999999</v>
      </c>
      <c r="T256" s="20" t="s">
        <v>63</v>
      </c>
      <c r="U256" s="21" t="s">
        <v>550</v>
      </c>
      <c r="V256" s="23">
        <v>39</v>
      </c>
      <c r="W256" s="23">
        <v>1</v>
      </c>
      <c r="X256" s="24"/>
    </row>
    <row r="257" spans="1:24" s="1" customFormat="1" ht="108" customHeight="1" x14ac:dyDescent="0.3">
      <c r="A257" s="11" t="s">
        <v>531</v>
      </c>
      <c r="B257" s="11" t="s">
        <v>554</v>
      </c>
      <c r="C257" s="12" t="s">
        <v>555</v>
      </c>
      <c r="D257" s="13"/>
      <c r="E257" s="67" t="str">
        <f>HYPERLINK("https://www.google.ru/search?q=AQYL101430-BQV8&amp;newwindow=1&amp;tbm=isch","Еще фото")</f>
        <v>Еще фото</v>
      </c>
      <c r="F257" s="14"/>
      <c r="G257" s="11" t="s">
        <v>546</v>
      </c>
      <c r="H257" s="11" t="s">
        <v>93</v>
      </c>
      <c r="I257" s="15" t="s">
        <v>547</v>
      </c>
      <c r="J257" s="15" t="s">
        <v>28</v>
      </c>
      <c r="K257" s="16" t="s">
        <v>45</v>
      </c>
      <c r="L257" s="15" t="s">
        <v>556</v>
      </c>
      <c r="M257" s="15"/>
      <c r="N257" s="15" t="s">
        <v>31</v>
      </c>
      <c r="O257" s="15"/>
      <c r="P257" s="16" t="s">
        <v>549</v>
      </c>
      <c r="Q257" s="17">
        <v>2699</v>
      </c>
      <c r="R257" s="18">
        <v>48.13</v>
      </c>
      <c r="S257" s="19">
        <v>1609.9884999999999</v>
      </c>
      <c r="T257" s="20" t="s">
        <v>63</v>
      </c>
      <c r="U257" s="21" t="s">
        <v>550</v>
      </c>
      <c r="V257" s="23">
        <v>39</v>
      </c>
      <c r="W257" s="23">
        <v>1</v>
      </c>
      <c r="X257" s="24"/>
    </row>
    <row r="258" spans="1:24" s="1" customFormat="1" ht="108" customHeight="1" x14ac:dyDescent="0.3">
      <c r="A258" s="11" t="s">
        <v>531</v>
      </c>
      <c r="B258" s="11" t="s">
        <v>554</v>
      </c>
      <c r="C258" s="12" t="s">
        <v>557</v>
      </c>
      <c r="D258" s="13"/>
      <c r="E258" s="67" t="str">
        <f>HYPERLINK("https://www.google.ru/search?q=AQYL101430-THQ6&amp;newwindow=1&amp;tbm=isch","Еще фото")</f>
        <v>Еще фото</v>
      </c>
      <c r="F258" s="14"/>
      <c r="G258" s="11" t="s">
        <v>546</v>
      </c>
      <c r="H258" s="11" t="s">
        <v>93</v>
      </c>
      <c r="I258" s="15" t="s">
        <v>547</v>
      </c>
      <c r="J258" s="15" t="s">
        <v>28</v>
      </c>
      <c r="K258" s="16" t="s">
        <v>45</v>
      </c>
      <c r="L258" s="15" t="s">
        <v>556</v>
      </c>
      <c r="M258" s="15"/>
      <c r="N258" s="15" t="s">
        <v>132</v>
      </c>
      <c r="O258" s="15"/>
      <c r="P258" s="16" t="s">
        <v>549</v>
      </c>
      <c r="Q258" s="17">
        <v>2699</v>
      </c>
      <c r="R258" s="18">
        <v>48.13</v>
      </c>
      <c r="S258" s="19">
        <v>1609.9884999999999</v>
      </c>
      <c r="T258" s="20" t="s">
        <v>63</v>
      </c>
      <c r="U258" s="21" t="s">
        <v>550</v>
      </c>
      <c r="V258" s="23">
        <v>39</v>
      </c>
      <c r="W258" s="23">
        <v>2</v>
      </c>
      <c r="X258" s="24"/>
    </row>
    <row r="259" spans="1:24" s="1" customFormat="1" ht="52.05" customHeight="1" x14ac:dyDescent="0.3">
      <c r="A259" s="11" t="s">
        <v>531</v>
      </c>
      <c r="B259" s="11" t="s">
        <v>558</v>
      </c>
      <c r="C259" s="12" t="s">
        <v>559</v>
      </c>
      <c r="D259" s="81"/>
      <c r="E259" s="67" t="str">
        <f>HYPERLINK("https://www.google.ru/search?q=EQYBS04882-KVJ0&amp;newwindow=1&amp;tbm=isch","Еще фото")</f>
        <v>Еще фото</v>
      </c>
      <c r="F259" s="14"/>
      <c r="G259" s="11" t="s">
        <v>439</v>
      </c>
      <c r="H259" s="11" t="s">
        <v>27</v>
      </c>
      <c r="I259" s="15" t="s">
        <v>439</v>
      </c>
      <c r="J259" s="15" t="s">
        <v>28</v>
      </c>
      <c r="K259" s="16" t="s">
        <v>45</v>
      </c>
      <c r="L259" s="83" t="s">
        <v>560</v>
      </c>
      <c r="M259" s="15"/>
      <c r="N259" s="15" t="s">
        <v>38</v>
      </c>
      <c r="O259" s="15"/>
      <c r="P259" s="16" t="s">
        <v>461</v>
      </c>
      <c r="Q259" s="17">
        <v>8699</v>
      </c>
      <c r="R259" s="18">
        <v>48.27</v>
      </c>
      <c r="S259" s="19">
        <v>5174.9884999999995</v>
      </c>
      <c r="T259" s="20" t="s">
        <v>63</v>
      </c>
      <c r="U259" s="21" t="s">
        <v>86</v>
      </c>
      <c r="V259" s="23">
        <v>44</v>
      </c>
      <c r="W259" s="23">
        <v>1</v>
      </c>
      <c r="X259" s="24"/>
    </row>
    <row r="260" spans="1:24" s="1" customFormat="1" ht="61.05" customHeight="1" x14ac:dyDescent="0.3">
      <c r="A260" s="25" t="s">
        <v>531</v>
      </c>
      <c r="B260" s="25" t="s">
        <v>558</v>
      </c>
      <c r="C260" s="12" t="s">
        <v>559</v>
      </c>
      <c r="D260" s="82"/>
      <c r="E260" s="67" t="str">
        <f>HYPERLINK("https://www.google.ru/search?q=EQYBS04882-KVJ0&amp;newwindow=1&amp;tbm=isch","Еще фото")</f>
        <v>Еще фото</v>
      </c>
      <c r="F260" s="14"/>
      <c r="G260" s="25" t="s">
        <v>439</v>
      </c>
      <c r="H260" s="25" t="s">
        <v>27</v>
      </c>
      <c r="I260" s="25" t="s">
        <v>439</v>
      </c>
      <c r="J260" s="15" t="s">
        <v>28</v>
      </c>
      <c r="K260" s="16" t="s">
        <v>45</v>
      </c>
      <c r="L260" s="84"/>
      <c r="M260" s="15"/>
      <c r="N260" s="15" t="s">
        <v>38</v>
      </c>
      <c r="O260" s="15"/>
      <c r="P260" s="16" t="s">
        <v>461</v>
      </c>
      <c r="Q260" s="17">
        <v>8699</v>
      </c>
      <c r="R260" s="18">
        <v>48.27</v>
      </c>
      <c r="S260" s="19">
        <v>5174.9884999999995</v>
      </c>
      <c r="T260" s="20" t="s">
        <v>63</v>
      </c>
      <c r="U260" s="21" t="s">
        <v>88</v>
      </c>
      <c r="V260" s="23">
        <v>46</v>
      </c>
      <c r="W260" s="23">
        <v>2</v>
      </c>
      <c r="X260" s="24"/>
    </row>
    <row r="261" spans="1:24" s="1" customFormat="1" ht="108" customHeight="1" x14ac:dyDescent="0.3">
      <c r="A261" s="11" t="s">
        <v>561</v>
      </c>
      <c r="B261" s="11" t="s">
        <v>562</v>
      </c>
      <c r="C261" s="12" t="s">
        <v>563</v>
      </c>
      <c r="D261" s="13"/>
      <c r="E261" s="67" t="str">
        <f>HYPERLINK("https://www.google.ru/search?q=ERJTJ03482-BQY7&amp;newwindow=1&amp;tbm=isch","Еще фото")</f>
        <v>Еще фото</v>
      </c>
      <c r="F261" s="14"/>
      <c r="G261" s="11" t="s">
        <v>534</v>
      </c>
      <c r="H261" s="11" t="s">
        <v>27</v>
      </c>
      <c r="I261" s="15" t="s">
        <v>130</v>
      </c>
      <c r="J261" s="15" t="s">
        <v>535</v>
      </c>
      <c r="K261" s="16" t="s">
        <v>29</v>
      </c>
      <c r="L261" s="15" t="s">
        <v>564</v>
      </c>
      <c r="M261" s="15"/>
      <c r="N261" s="15" t="s">
        <v>31</v>
      </c>
      <c r="O261" s="15"/>
      <c r="P261" s="51">
        <v>100</v>
      </c>
      <c r="Q261" s="17">
        <v>25990</v>
      </c>
      <c r="R261" s="18">
        <v>63.8</v>
      </c>
      <c r="S261" s="19">
        <v>10818.9355</v>
      </c>
      <c r="T261" s="20" t="s">
        <v>33</v>
      </c>
      <c r="U261" s="21" t="s">
        <v>442</v>
      </c>
      <c r="V261" s="23">
        <v>40</v>
      </c>
      <c r="W261" s="23">
        <v>2</v>
      </c>
      <c r="X261" s="24"/>
    </row>
    <row r="262" spans="1:24" s="1" customFormat="1" ht="108" customHeight="1" x14ac:dyDescent="0.3">
      <c r="A262" s="11" t="s">
        <v>561</v>
      </c>
      <c r="B262" s="11" t="s">
        <v>565</v>
      </c>
      <c r="C262" s="12" t="s">
        <v>566</v>
      </c>
      <c r="D262" s="13"/>
      <c r="E262" s="67" t="str">
        <f>HYPERLINK("https://www.google.ru/search?q=ERJTJ03488-BQY0&amp;newwindow=1&amp;tbm=isch","Еще фото")</f>
        <v>Еще фото</v>
      </c>
      <c r="F262" s="14"/>
      <c r="G262" s="11" t="s">
        <v>534</v>
      </c>
      <c r="H262" s="11" t="s">
        <v>27</v>
      </c>
      <c r="I262" s="15" t="s">
        <v>130</v>
      </c>
      <c r="J262" s="15" t="s">
        <v>535</v>
      </c>
      <c r="K262" s="16" t="s">
        <v>29</v>
      </c>
      <c r="L262" s="15" t="s">
        <v>567</v>
      </c>
      <c r="M262" s="15"/>
      <c r="N262" s="15" t="s">
        <v>31</v>
      </c>
      <c r="O262" s="15"/>
      <c r="P262" s="51">
        <v>100</v>
      </c>
      <c r="Q262" s="17">
        <v>31990</v>
      </c>
      <c r="R262" s="18">
        <v>48.11</v>
      </c>
      <c r="S262" s="19">
        <v>19089.988499999999</v>
      </c>
      <c r="T262" s="20" t="s">
        <v>33</v>
      </c>
      <c r="U262" s="21" t="s">
        <v>442</v>
      </c>
      <c r="V262" s="23">
        <v>40</v>
      </c>
      <c r="W262" s="23">
        <v>1</v>
      </c>
      <c r="X262" s="24"/>
    </row>
    <row r="263" spans="1:24" s="1" customFormat="1" ht="108" customHeight="1" x14ac:dyDescent="0.3">
      <c r="A263" s="11" t="s">
        <v>561</v>
      </c>
      <c r="B263" s="11" t="s">
        <v>568</v>
      </c>
      <c r="C263" s="12" t="s">
        <v>569</v>
      </c>
      <c r="D263" s="13"/>
      <c r="E263" s="67" t="str">
        <f>HYPERLINK("https://www.google.ru/search?q=ERJTJ03482-KVJ4&amp;newwindow=1&amp;tbm=isch","Еще фото")</f>
        <v>Еще фото</v>
      </c>
      <c r="F263" s="14"/>
      <c r="G263" s="11" t="s">
        <v>534</v>
      </c>
      <c r="H263" s="11" t="s">
        <v>27</v>
      </c>
      <c r="I263" s="15" t="s">
        <v>130</v>
      </c>
      <c r="J263" s="15" t="s">
        <v>535</v>
      </c>
      <c r="K263" s="16" t="s">
        <v>29</v>
      </c>
      <c r="L263" s="15" t="s">
        <v>570</v>
      </c>
      <c r="M263" s="15"/>
      <c r="N263" s="15" t="s">
        <v>38</v>
      </c>
      <c r="O263" s="15"/>
      <c r="P263" s="51">
        <v>100</v>
      </c>
      <c r="Q263" s="17">
        <v>25990</v>
      </c>
      <c r="R263" s="18">
        <v>48.06</v>
      </c>
      <c r="S263" s="19">
        <v>15524.988499999998</v>
      </c>
      <c r="T263" s="20" t="s">
        <v>33</v>
      </c>
      <c r="U263" s="21" t="s">
        <v>442</v>
      </c>
      <c r="V263" s="23">
        <v>40</v>
      </c>
      <c r="W263" s="23">
        <v>2</v>
      </c>
      <c r="X263" s="24"/>
    </row>
    <row r="264" spans="1:24" s="1" customFormat="1" ht="52.05" customHeight="1" x14ac:dyDescent="0.3">
      <c r="A264" s="11" t="s">
        <v>561</v>
      </c>
      <c r="B264" s="11" t="s">
        <v>571</v>
      </c>
      <c r="C264" s="12" t="s">
        <v>572</v>
      </c>
      <c r="D264" s="81"/>
      <c r="E264" s="67" t="str">
        <f>HYPERLINK("https://www.google.ru/search?q=ERJJK03594-KVJ0&amp;newwindow=1&amp;tbm=isch","Еще фото")</f>
        <v>Еще фото</v>
      </c>
      <c r="F264" s="14"/>
      <c r="G264" s="11" t="s">
        <v>140</v>
      </c>
      <c r="H264" s="11" t="s">
        <v>27</v>
      </c>
      <c r="I264" s="15" t="s">
        <v>130</v>
      </c>
      <c r="J264" s="15" t="s">
        <v>28</v>
      </c>
      <c r="K264" s="16" t="s">
        <v>29</v>
      </c>
      <c r="L264" s="83" t="s">
        <v>573</v>
      </c>
      <c r="M264" s="15"/>
      <c r="N264" s="15" t="s">
        <v>38</v>
      </c>
      <c r="O264" s="15"/>
      <c r="P264" s="51">
        <v>100</v>
      </c>
      <c r="Q264" s="17">
        <v>39990</v>
      </c>
      <c r="R264" s="18">
        <v>48</v>
      </c>
      <c r="S264" s="19">
        <v>23914.019999999997</v>
      </c>
      <c r="T264" s="20" t="s">
        <v>33</v>
      </c>
      <c r="U264" s="21" t="s">
        <v>34</v>
      </c>
      <c r="V264" s="23">
        <v>42</v>
      </c>
      <c r="W264" s="23">
        <v>1</v>
      </c>
      <c r="X264" s="24"/>
    </row>
    <row r="265" spans="1:24" s="1" customFormat="1" ht="61.05" customHeight="1" x14ac:dyDescent="0.3">
      <c r="A265" s="25" t="s">
        <v>561</v>
      </c>
      <c r="B265" s="25" t="s">
        <v>571</v>
      </c>
      <c r="C265" s="12" t="s">
        <v>572</v>
      </c>
      <c r="D265" s="82"/>
      <c r="E265" s="67" t="str">
        <f>HYPERLINK("https://www.google.ru/search?q=ERJJK03594-KVJ0&amp;newwindow=1&amp;tbm=isch","Еще фото")</f>
        <v>Еще фото</v>
      </c>
      <c r="F265" s="14"/>
      <c r="G265" s="25" t="s">
        <v>140</v>
      </c>
      <c r="H265" s="25" t="s">
        <v>27</v>
      </c>
      <c r="I265" s="25" t="s">
        <v>130</v>
      </c>
      <c r="J265" s="15" t="s">
        <v>28</v>
      </c>
      <c r="K265" s="16" t="s">
        <v>29</v>
      </c>
      <c r="L265" s="84"/>
      <c r="M265" s="15"/>
      <c r="N265" s="15" t="s">
        <v>38</v>
      </c>
      <c r="O265" s="15"/>
      <c r="P265" s="51">
        <v>100</v>
      </c>
      <c r="Q265" s="17">
        <v>39990</v>
      </c>
      <c r="R265" s="18">
        <v>48</v>
      </c>
      <c r="S265" s="19">
        <v>23914.019999999997</v>
      </c>
      <c r="T265" s="20" t="s">
        <v>33</v>
      </c>
      <c r="U265" s="21" t="s">
        <v>40</v>
      </c>
      <c r="V265" s="23">
        <v>46</v>
      </c>
      <c r="W265" s="23">
        <v>1</v>
      </c>
      <c r="X265" s="24"/>
    </row>
    <row r="266" spans="1:24" s="1" customFormat="1" ht="108" customHeight="1" x14ac:dyDescent="0.3">
      <c r="A266" s="11" t="s">
        <v>561</v>
      </c>
      <c r="B266" s="11" t="s">
        <v>574</v>
      </c>
      <c r="C266" s="12" t="s">
        <v>575</v>
      </c>
      <c r="D266" s="13"/>
      <c r="E266" s="67" t="str">
        <f>HYPERLINK("https://www.google.ru/search?q=ERLBP03064-MFA6&amp;newwindow=1&amp;tbm=isch","Еще фото")</f>
        <v>Еще фото</v>
      </c>
      <c r="F266" s="14"/>
      <c r="G266" s="11" t="s">
        <v>290</v>
      </c>
      <c r="H266" s="11" t="s">
        <v>291</v>
      </c>
      <c r="I266" s="15" t="s">
        <v>292</v>
      </c>
      <c r="J266" s="15" t="s">
        <v>28</v>
      </c>
      <c r="K266" s="16" t="s">
        <v>59</v>
      </c>
      <c r="L266" s="15" t="s">
        <v>576</v>
      </c>
      <c r="M266" s="15"/>
      <c r="N266" s="15" t="s">
        <v>543</v>
      </c>
      <c r="O266" s="15"/>
      <c r="P266" s="51">
        <v>100</v>
      </c>
      <c r="Q266" s="17">
        <v>3390</v>
      </c>
      <c r="R266" s="18">
        <v>63.49</v>
      </c>
      <c r="S266" s="19">
        <v>1423.4354999999998</v>
      </c>
      <c r="T266" s="20" t="s">
        <v>75</v>
      </c>
      <c r="U266" s="21" t="s">
        <v>107</v>
      </c>
      <c r="V266" s="22" t="s">
        <v>77</v>
      </c>
      <c r="W266" s="23">
        <v>23</v>
      </c>
      <c r="X266" s="24"/>
    </row>
    <row r="267" spans="1:24" s="1" customFormat="1" ht="108" customHeight="1" x14ac:dyDescent="0.3">
      <c r="A267" s="11" t="s">
        <v>561</v>
      </c>
      <c r="B267" s="11" t="s">
        <v>577</v>
      </c>
      <c r="C267" s="12" t="s">
        <v>578</v>
      </c>
      <c r="D267" s="13"/>
      <c r="E267" s="67" t="str">
        <f>HYPERLINK("https://www.google.ru/search?q=ARJL100663-MVW&amp;newwindow=1&amp;tbm=isch","Еще фото")</f>
        <v>Еще фото</v>
      </c>
      <c r="F267" s="14"/>
      <c r="G267" s="11" t="s">
        <v>546</v>
      </c>
      <c r="H267" s="11" t="s">
        <v>93</v>
      </c>
      <c r="I267" s="15" t="s">
        <v>547</v>
      </c>
      <c r="J267" s="15" t="s">
        <v>28</v>
      </c>
      <c r="K267" s="16" t="s">
        <v>29</v>
      </c>
      <c r="L267" s="15" t="s">
        <v>579</v>
      </c>
      <c r="M267" s="15"/>
      <c r="N267" s="15" t="s">
        <v>413</v>
      </c>
      <c r="O267" s="15"/>
      <c r="P267" s="16" t="s">
        <v>549</v>
      </c>
      <c r="Q267" s="17">
        <v>1999</v>
      </c>
      <c r="R267" s="18">
        <v>51.59</v>
      </c>
      <c r="S267" s="26">
        <v>1112.9354999999998</v>
      </c>
      <c r="T267" s="20" t="s">
        <v>63</v>
      </c>
      <c r="U267" s="21" t="s">
        <v>335</v>
      </c>
      <c r="V267" s="23">
        <v>36</v>
      </c>
      <c r="W267" s="23">
        <v>3</v>
      </c>
      <c r="X267" s="24"/>
    </row>
    <row r="268" spans="1:24" s="1" customFormat="1" ht="108" customHeight="1" x14ac:dyDescent="0.3">
      <c r="A268" s="11" t="s">
        <v>561</v>
      </c>
      <c r="B268" s="11" t="s">
        <v>580</v>
      </c>
      <c r="C268" s="12" t="s">
        <v>581</v>
      </c>
      <c r="D268" s="13"/>
      <c r="E268" s="67" t="str">
        <f>HYPERLINK("https://www.google.ru/search?q=ARJL100663-MGD&amp;newwindow=1&amp;tbm=isch","Еще фото")</f>
        <v>Еще фото</v>
      </c>
      <c r="F268" s="14"/>
      <c r="G268" s="11" t="s">
        <v>546</v>
      </c>
      <c r="H268" s="11" t="s">
        <v>93</v>
      </c>
      <c r="I268" s="15" t="s">
        <v>547</v>
      </c>
      <c r="J268" s="15" t="s">
        <v>112</v>
      </c>
      <c r="K268" s="16" t="s">
        <v>29</v>
      </c>
      <c r="L268" s="15" t="s">
        <v>579</v>
      </c>
      <c r="M268" s="15"/>
      <c r="N268" s="15" t="s">
        <v>132</v>
      </c>
      <c r="O268" s="15"/>
      <c r="P268" s="16" t="s">
        <v>549</v>
      </c>
      <c r="Q268" s="17">
        <v>1999</v>
      </c>
      <c r="R268" s="18">
        <v>49.98</v>
      </c>
      <c r="S268" s="26">
        <v>1149.9884999999999</v>
      </c>
      <c r="T268" s="20" t="s">
        <v>63</v>
      </c>
      <c r="U268" s="21" t="s">
        <v>335</v>
      </c>
      <c r="V268" s="23">
        <v>36</v>
      </c>
      <c r="W268" s="23">
        <v>1</v>
      </c>
      <c r="X268" s="24"/>
    </row>
    <row r="269" spans="1:24" s="1" customFormat="1" ht="108" customHeight="1" x14ac:dyDescent="0.3">
      <c r="A269" s="11" t="s">
        <v>561</v>
      </c>
      <c r="B269" s="11" t="s">
        <v>582</v>
      </c>
      <c r="C269" s="12" t="s">
        <v>583</v>
      </c>
      <c r="D269" s="13"/>
      <c r="E269" s="67" t="str">
        <f>HYPERLINK("https://www.google.ru/search?q=ARJL100663-MSL&amp;newwindow=1&amp;tbm=isch","Еще фото")</f>
        <v>Еще фото</v>
      </c>
      <c r="F269" s="14"/>
      <c r="G269" s="11" t="s">
        <v>546</v>
      </c>
      <c r="H269" s="11" t="s">
        <v>93</v>
      </c>
      <c r="I269" s="15" t="s">
        <v>547</v>
      </c>
      <c r="J269" s="15" t="s">
        <v>28</v>
      </c>
      <c r="K269" s="16" t="s">
        <v>29</v>
      </c>
      <c r="L269" s="15" t="s">
        <v>584</v>
      </c>
      <c r="M269" s="15"/>
      <c r="N269" s="15" t="s">
        <v>218</v>
      </c>
      <c r="O269" s="15" t="s">
        <v>585</v>
      </c>
      <c r="P269" s="16" t="s">
        <v>549</v>
      </c>
      <c r="Q269" s="17">
        <v>1999</v>
      </c>
      <c r="R269" s="18">
        <v>49.98</v>
      </c>
      <c r="S269" s="26">
        <v>1149.9884999999999</v>
      </c>
      <c r="T269" s="20" t="s">
        <v>63</v>
      </c>
      <c r="U269" s="21" t="s">
        <v>335</v>
      </c>
      <c r="V269" s="23">
        <v>36</v>
      </c>
      <c r="W269" s="23">
        <v>2</v>
      </c>
      <c r="X269" s="24"/>
    </row>
    <row r="270" spans="1:24" s="1" customFormat="1" ht="108" customHeight="1" x14ac:dyDescent="0.3">
      <c r="A270" s="11" t="s">
        <v>561</v>
      </c>
      <c r="B270" s="11" t="s">
        <v>586</v>
      </c>
      <c r="C270" s="12" t="s">
        <v>587</v>
      </c>
      <c r="D270" s="13"/>
      <c r="E270" s="67" t="str">
        <f>HYPERLINK("https://www.google.ru/search?q=ARJL100682-SIL&amp;newwindow=1&amp;tbm=isch","Еще фото")</f>
        <v>Еще фото</v>
      </c>
      <c r="F270" s="14"/>
      <c r="G270" s="11" t="s">
        <v>588</v>
      </c>
      <c r="H270" s="11" t="s">
        <v>93</v>
      </c>
      <c r="I270" s="15" t="s">
        <v>547</v>
      </c>
      <c r="J270" s="15" t="s">
        <v>112</v>
      </c>
      <c r="K270" s="16" t="s">
        <v>29</v>
      </c>
      <c r="L270" s="15" t="s">
        <v>589</v>
      </c>
      <c r="M270" s="15"/>
      <c r="N270" s="15" t="s">
        <v>218</v>
      </c>
      <c r="O270" s="15" t="s">
        <v>585</v>
      </c>
      <c r="P270" s="16" t="s">
        <v>549</v>
      </c>
      <c r="Q270" s="17">
        <v>1999</v>
      </c>
      <c r="R270" s="18">
        <v>49.98</v>
      </c>
      <c r="S270" s="26">
        <v>1149.9884999999999</v>
      </c>
      <c r="T270" s="20" t="s">
        <v>63</v>
      </c>
      <c r="U270" s="21" t="s">
        <v>335</v>
      </c>
      <c r="V270" s="23">
        <v>36</v>
      </c>
      <c r="W270" s="23">
        <v>1</v>
      </c>
      <c r="X270" s="24"/>
    </row>
    <row r="271" spans="1:24" s="1" customFormat="1" ht="108" customHeight="1" x14ac:dyDescent="0.3">
      <c r="A271" s="11" t="s">
        <v>561</v>
      </c>
      <c r="B271" s="11" t="s">
        <v>590</v>
      </c>
      <c r="C271" s="12" t="s">
        <v>591</v>
      </c>
      <c r="D271" s="13"/>
      <c r="E271" s="67" t="str">
        <f>HYPERLINK("https://www.google.ru/search?q=ARJL100915-CPG&amp;newwindow=1&amp;tbm=isch","Еще фото")</f>
        <v>Еще фото</v>
      </c>
      <c r="F271" s="14"/>
      <c r="G271" s="11" t="s">
        <v>546</v>
      </c>
      <c r="H271" s="11" t="s">
        <v>93</v>
      </c>
      <c r="I271" s="15" t="s">
        <v>547</v>
      </c>
      <c r="J271" s="15" t="s">
        <v>112</v>
      </c>
      <c r="K271" s="16" t="s">
        <v>29</v>
      </c>
      <c r="L271" s="15" t="s">
        <v>592</v>
      </c>
      <c r="M271" s="15"/>
      <c r="N271" s="15" t="s">
        <v>132</v>
      </c>
      <c r="O271" s="15" t="s">
        <v>585</v>
      </c>
      <c r="P271" s="16" t="s">
        <v>593</v>
      </c>
      <c r="Q271" s="17">
        <v>1999</v>
      </c>
      <c r="R271" s="18">
        <v>49.98</v>
      </c>
      <c r="S271" s="26">
        <v>1149.9884999999999</v>
      </c>
      <c r="T271" s="20" t="s">
        <v>63</v>
      </c>
      <c r="U271" s="21" t="s">
        <v>335</v>
      </c>
      <c r="V271" s="23">
        <v>36</v>
      </c>
      <c r="W271" s="23">
        <v>1</v>
      </c>
      <c r="X271" s="24"/>
    </row>
    <row r="272" spans="1:24" s="1" customFormat="1" ht="108" customHeight="1" x14ac:dyDescent="0.3">
      <c r="A272" s="11" t="s">
        <v>561</v>
      </c>
      <c r="B272" s="11" t="s">
        <v>594</v>
      </c>
      <c r="C272" s="12" t="s">
        <v>595</v>
      </c>
      <c r="D272" s="13"/>
      <c r="E272" s="67" t="str">
        <f>HYPERLINK("https://www.google.ru/search?q=ARJL100958-NO3&amp;newwindow=1&amp;tbm=isch","Еще фото")</f>
        <v>Еще фото</v>
      </c>
      <c r="F272" s="14"/>
      <c r="G272" s="11" t="s">
        <v>546</v>
      </c>
      <c r="H272" s="11" t="s">
        <v>93</v>
      </c>
      <c r="I272" s="15" t="s">
        <v>547</v>
      </c>
      <c r="J272" s="15" t="s">
        <v>28</v>
      </c>
      <c r="K272" s="16" t="s">
        <v>29</v>
      </c>
      <c r="L272" s="15" t="s">
        <v>596</v>
      </c>
      <c r="M272" s="15"/>
      <c r="N272" s="15" t="s">
        <v>31</v>
      </c>
      <c r="O272" s="15"/>
      <c r="P272" s="16" t="s">
        <v>549</v>
      </c>
      <c r="Q272" s="17">
        <v>1999</v>
      </c>
      <c r="R272" s="18">
        <v>48</v>
      </c>
      <c r="S272" s="19">
        <v>1195.4019999999998</v>
      </c>
      <c r="T272" s="20" t="s">
        <v>63</v>
      </c>
      <c r="U272" s="21" t="s">
        <v>356</v>
      </c>
      <c r="V272" s="23">
        <v>37</v>
      </c>
      <c r="W272" s="23">
        <v>1</v>
      </c>
      <c r="X272" s="24"/>
    </row>
    <row r="273" spans="1:24" s="1" customFormat="1" ht="35" customHeight="1" x14ac:dyDescent="0.3">
      <c r="A273" s="11" t="s">
        <v>597</v>
      </c>
      <c r="B273" s="11" t="s">
        <v>598</v>
      </c>
      <c r="C273" s="12" t="s">
        <v>599</v>
      </c>
      <c r="D273" s="85"/>
      <c r="E273" s="67" t="str">
        <f>HYPERLINK("https://www.google.ru/search?q=ADJTJ03047-XWWP&amp;newwindow=1&amp;tbm=isch","Еще фото")</f>
        <v>Еще фото</v>
      </c>
      <c r="F273" s="14"/>
      <c r="G273" s="11" t="s">
        <v>534</v>
      </c>
      <c r="H273" s="11" t="s">
        <v>27</v>
      </c>
      <c r="I273" s="15" t="s">
        <v>130</v>
      </c>
      <c r="J273" s="15" t="s">
        <v>535</v>
      </c>
      <c r="K273" s="16" t="s">
        <v>29</v>
      </c>
      <c r="L273" s="83" t="s">
        <v>600</v>
      </c>
      <c r="M273" s="15"/>
      <c r="N273" s="15" t="s">
        <v>173</v>
      </c>
      <c r="O273" s="15"/>
      <c r="P273" s="51">
        <v>100</v>
      </c>
      <c r="Q273" s="17">
        <v>29990</v>
      </c>
      <c r="R273" s="18">
        <v>63.76</v>
      </c>
      <c r="S273" s="19">
        <v>12497.9355</v>
      </c>
      <c r="T273" s="20" t="s">
        <v>33</v>
      </c>
      <c r="U273" s="21" t="s">
        <v>442</v>
      </c>
      <c r="V273" s="23">
        <v>42</v>
      </c>
      <c r="W273" s="23">
        <v>2</v>
      </c>
      <c r="X273" s="24"/>
    </row>
    <row r="274" spans="1:24" s="1" customFormat="1" ht="35" customHeight="1" x14ac:dyDescent="0.3">
      <c r="A274" s="25" t="s">
        <v>597</v>
      </c>
      <c r="B274" s="25" t="s">
        <v>598</v>
      </c>
      <c r="C274" s="12" t="s">
        <v>599</v>
      </c>
      <c r="D274" s="86"/>
      <c r="E274" s="67" t="str">
        <f>HYPERLINK("https://www.google.ru/search?q=ADJTJ03047-XWWP&amp;newwindow=1&amp;tbm=isch","Еще фото")</f>
        <v>Еще фото</v>
      </c>
      <c r="F274" s="14"/>
      <c r="G274" s="25" t="s">
        <v>534</v>
      </c>
      <c r="H274" s="25" t="s">
        <v>27</v>
      </c>
      <c r="I274" s="25" t="s">
        <v>130</v>
      </c>
      <c r="J274" s="15" t="s">
        <v>535</v>
      </c>
      <c r="K274" s="16" t="s">
        <v>29</v>
      </c>
      <c r="L274" s="88"/>
      <c r="M274" s="15"/>
      <c r="N274" s="15" t="s">
        <v>173</v>
      </c>
      <c r="O274" s="15"/>
      <c r="P274" s="51">
        <v>100</v>
      </c>
      <c r="Q274" s="17">
        <v>29990</v>
      </c>
      <c r="R274" s="18">
        <v>63.76</v>
      </c>
      <c r="S274" s="19">
        <v>12497.9355</v>
      </c>
      <c r="T274" s="20" t="s">
        <v>33</v>
      </c>
      <c r="U274" s="21" t="s">
        <v>52</v>
      </c>
      <c r="V274" s="23">
        <v>46</v>
      </c>
      <c r="W274" s="23">
        <v>2</v>
      </c>
      <c r="X274" s="24"/>
    </row>
    <row r="275" spans="1:24" s="1" customFormat="1" ht="37.049999999999997" customHeight="1" x14ac:dyDescent="0.3">
      <c r="A275" s="25" t="s">
        <v>597</v>
      </c>
      <c r="B275" s="25" t="s">
        <v>598</v>
      </c>
      <c r="C275" s="12" t="s">
        <v>599</v>
      </c>
      <c r="D275" s="87"/>
      <c r="E275" s="67" t="str">
        <f>HYPERLINK("https://www.google.ru/search?q=ADJTJ03047-XWWP&amp;newwindow=1&amp;tbm=isch","Еще фото")</f>
        <v>Еще фото</v>
      </c>
      <c r="F275" s="14"/>
      <c r="G275" s="25" t="s">
        <v>534</v>
      </c>
      <c r="H275" s="25" t="s">
        <v>27</v>
      </c>
      <c r="I275" s="25" t="s">
        <v>130</v>
      </c>
      <c r="J275" s="15" t="s">
        <v>535</v>
      </c>
      <c r="K275" s="16" t="s">
        <v>29</v>
      </c>
      <c r="L275" s="84"/>
      <c r="M275" s="15"/>
      <c r="N275" s="15" t="s">
        <v>173</v>
      </c>
      <c r="O275" s="15"/>
      <c r="P275" s="51">
        <v>100</v>
      </c>
      <c r="Q275" s="17">
        <v>29990</v>
      </c>
      <c r="R275" s="18">
        <v>63.76</v>
      </c>
      <c r="S275" s="19">
        <v>12497.9355</v>
      </c>
      <c r="T275" s="20" t="s">
        <v>33</v>
      </c>
      <c r="U275" s="21" t="s">
        <v>40</v>
      </c>
      <c r="V275" s="23">
        <v>48</v>
      </c>
      <c r="W275" s="23">
        <v>1</v>
      </c>
      <c r="X275" s="24"/>
    </row>
    <row r="276" spans="1:24" s="1" customFormat="1" ht="52.05" customHeight="1" x14ac:dyDescent="0.3">
      <c r="A276" s="11" t="s">
        <v>597</v>
      </c>
      <c r="B276" s="11" t="s">
        <v>601</v>
      </c>
      <c r="C276" s="12" t="s">
        <v>602</v>
      </c>
      <c r="D276" s="81"/>
      <c r="E276" s="67" t="str">
        <f>HYPERLINK("https://www.google.ru/search?q=ADYTJ03081-XWBG&amp;newwindow=1&amp;tbm=isch","Еще фото")</f>
        <v>Еще фото</v>
      </c>
      <c r="F276" s="14"/>
      <c r="G276" s="11" t="s">
        <v>534</v>
      </c>
      <c r="H276" s="11" t="s">
        <v>27</v>
      </c>
      <c r="I276" s="15" t="s">
        <v>130</v>
      </c>
      <c r="J276" s="15" t="s">
        <v>535</v>
      </c>
      <c r="K276" s="16" t="s">
        <v>45</v>
      </c>
      <c r="L276" s="83" t="s">
        <v>603</v>
      </c>
      <c r="M276" s="15"/>
      <c r="N276" s="15" t="s">
        <v>543</v>
      </c>
      <c r="O276" s="15"/>
      <c r="P276" s="16" t="s">
        <v>106</v>
      </c>
      <c r="Q276" s="17">
        <v>29990</v>
      </c>
      <c r="R276" s="18">
        <v>48</v>
      </c>
      <c r="S276" s="19">
        <v>17934.019999999997</v>
      </c>
      <c r="T276" s="20" t="s">
        <v>33</v>
      </c>
      <c r="U276" s="21" t="s">
        <v>34</v>
      </c>
      <c r="V276" s="23">
        <v>46</v>
      </c>
      <c r="W276" s="23">
        <v>1</v>
      </c>
      <c r="X276" s="24"/>
    </row>
    <row r="277" spans="1:24" s="1" customFormat="1" ht="61.05" customHeight="1" x14ac:dyDescent="0.3">
      <c r="A277" s="25" t="s">
        <v>597</v>
      </c>
      <c r="B277" s="25" t="s">
        <v>601</v>
      </c>
      <c r="C277" s="12" t="s">
        <v>602</v>
      </c>
      <c r="D277" s="82"/>
      <c r="E277" s="67" t="str">
        <f>HYPERLINK("https://www.google.ru/search?q=ADYTJ03081-XWBG&amp;newwindow=1&amp;tbm=isch","Еще фото")</f>
        <v>Еще фото</v>
      </c>
      <c r="F277" s="14"/>
      <c r="G277" s="25" t="s">
        <v>534</v>
      </c>
      <c r="H277" s="25" t="s">
        <v>27</v>
      </c>
      <c r="I277" s="25" t="s">
        <v>130</v>
      </c>
      <c r="J277" s="15" t="s">
        <v>535</v>
      </c>
      <c r="K277" s="16" t="s">
        <v>45</v>
      </c>
      <c r="L277" s="84"/>
      <c r="M277" s="15"/>
      <c r="N277" s="15" t="s">
        <v>543</v>
      </c>
      <c r="O277" s="15"/>
      <c r="P277" s="16" t="s">
        <v>106</v>
      </c>
      <c r="Q277" s="17">
        <v>29990</v>
      </c>
      <c r="R277" s="18">
        <v>48</v>
      </c>
      <c r="S277" s="19">
        <v>17934.019999999997</v>
      </c>
      <c r="T277" s="20" t="s">
        <v>33</v>
      </c>
      <c r="U277" s="21" t="s">
        <v>52</v>
      </c>
      <c r="V277" s="23">
        <v>48</v>
      </c>
      <c r="W277" s="23">
        <v>1</v>
      </c>
      <c r="X277" s="24"/>
    </row>
    <row r="278" spans="1:24" s="1" customFormat="1" ht="35" customHeight="1" x14ac:dyDescent="0.3">
      <c r="A278" s="11" t="s">
        <v>597</v>
      </c>
      <c r="B278" s="11" t="s">
        <v>604</v>
      </c>
      <c r="C278" s="12" t="s">
        <v>605</v>
      </c>
      <c r="D278" s="85"/>
      <c r="E278" s="67" t="str">
        <f>HYPERLINK("https://www.google.ru/search?q=ADYWS03082-KVJ0&amp;newwindow=1&amp;tbm=isch","Еще фото")</f>
        <v>Еще фото</v>
      </c>
      <c r="F278" s="14"/>
      <c r="G278" s="11" t="s">
        <v>439</v>
      </c>
      <c r="H278" s="11" t="s">
        <v>27</v>
      </c>
      <c r="I278" s="15" t="s">
        <v>439</v>
      </c>
      <c r="J278" s="15" t="s">
        <v>28</v>
      </c>
      <c r="K278" s="16" t="s">
        <v>45</v>
      </c>
      <c r="L278" s="83" t="s">
        <v>606</v>
      </c>
      <c r="M278" s="15"/>
      <c r="N278" s="15" t="s">
        <v>38</v>
      </c>
      <c r="O278" s="15"/>
      <c r="P278" s="16" t="s">
        <v>106</v>
      </c>
      <c r="Q278" s="17">
        <v>6399</v>
      </c>
      <c r="R278" s="18">
        <v>66.12</v>
      </c>
      <c r="S278" s="19">
        <v>2492.9354999999996</v>
      </c>
      <c r="T278" s="20" t="s">
        <v>33</v>
      </c>
      <c r="U278" s="21" t="s">
        <v>34</v>
      </c>
      <c r="V278" s="23">
        <v>46</v>
      </c>
      <c r="W278" s="23">
        <v>1</v>
      </c>
      <c r="X278" s="24"/>
    </row>
    <row r="279" spans="1:24" s="1" customFormat="1" ht="35" customHeight="1" x14ac:dyDescent="0.3">
      <c r="A279" s="25" t="s">
        <v>597</v>
      </c>
      <c r="B279" s="25" t="s">
        <v>604</v>
      </c>
      <c r="C279" s="12" t="s">
        <v>605</v>
      </c>
      <c r="D279" s="86"/>
      <c r="E279" s="67" t="str">
        <f>HYPERLINK("https://www.google.ru/search?q=ADYWS03082-KVJ0&amp;newwindow=1&amp;tbm=isch","Еще фото")</f>
        <v>Еще фото</v>
      </c>
      <c r="F279" s="14"/>
      <c r="G279" s="25" t="s">
        <v>439</v>
      </c>
      <c r="H279" s="25" t="s">
        <v>27</v>
      </c>
      <c r="I279" s="25" t="s">
        <v>439</v>
      </c>
      <c r="J279" s="15" t="s">
        <v>28</v>
      </c>
      <c r="K279" s="16" t="s">
        <v>45</v>
      </c>
      <c r="L279" s="88"/>
      <c r="M279" s="15"/>
      <c r="N279" s="15" t="s">
        <v>38</v>
      </c>
      <c r="O279" s="15"/>
      <c r="P279" s="16" t="s">
        <v>106</v>
      </c>
      <c r="Q279" s="17">
        <v>6399</v>
      </c>
      <c r="R279" s="18">
        <v>66.12</v>
      </c>
      <c r="S279" s="19">
        <v>2492.9354999999996</v>
      </c>
      <c r="T279" s="20" t="s">
        <v>33</v>
      </c>
      <c r="U279" s="21" t="s">
        <v>52</v>
      </c>
      <c r="V279" s="23">
        <v>48</v>
      </c>
      <c r="W279" s="23">
        <v>15</v>
      </c>
      <c r="X279" s="24"/>
    </row>
    <row r="280" spans="1:24" s="1" customFormat="1" ht="37.049999999999997" customHeight="1" x14ac:dyDescent="0.3">
      <c r="A280" s="25" t="s">
        <v>597</v>
      </c>
      <c r="B280" s="25" t="s">
        <v>604</v>
      </c>
      <c r="C280" s="12" t="s">
        <v>605</v>
      </c>
      <c r="D280" s="87"/>
      <c r="E280" s="67" t="str">
        <f>HYPERLINK("https://www.google.ru/search?q=ADYWS03082-KVJ0&amp;newwindow=1&amp;tbm=isch","Еще фото")</f>
        <v>Еще фото</v>
      </c>
      <c r="F280" s="14"/>
      <c r="G280" s="25" t="s">
        <v>439</v>
      </c>
      <c r="H280" s="25" t="s">
        <v>27</v>
      </c>
      <c r="I280" s="25" t="s">
        <v>439</v>
      </c>
      <c r="J280" s="15" t="s">
        <v>28</v>
      </c>
      <c r="K280" s="16" t="s">
        <v>45</v>
      </c>
      <c r="L280" s="84"/>
      <c r="M280" s="15"/>
      <c r="N280" s="15" t="s">
        <v>38</v>
      </c>
      <c r="O280" s="15"/>
      <c r="P280" s="16" t="s">
        <v>106</v>
      </c>
      <c r="Q280" s="17">
        <v>6399</v>
      </c>
      <c r="R280" s="18">
        <v>66.12</v>
      </c>
      <c r="S280" s="19">
        <v>2492.9354999999996</v>
      </c>
      <c r="T280" s="20" t="s">
        <v>33</v>
      </c>
      <c r="U280" s="21" t="s">
        <v>40</v>
      </c>
      <c r="V280" s="23">
        <v>50</v>
      </c>
      <c r="W280" s="23">
        <v>1</v>
      </c>
      <c r="X280" s="24"/>
    </row>
    <row r="281" spans="1:24" s="1" customFormat="1" ht="108" customHeight="1" x14ac:dyDescent="0.3">
      <c r="A281" s="11" t="s">
        <v>607</v>
      </c>
      <c r="B281" s="11" t="s">
        <v>608</v>
      </c>
      <c r="C281" s="12" t="s">
        <v>609</v>
      </c>
      <c r="D281" s="13"/>
      <c r="E281" s="67" t="str">
        <f>HYPERLINK("https://www.google.ru/search?q=816319-BK&amp;newwindow=1&amp;tbm=isch","Еще фото")</f>
        <v>Еще фото</v>
      </c>
      <c r="F281" s="14"/>
      <c r="G281" s="11" t="s">
        <v>26</v>
      </c>
      <c r="H281" s="11" t="s">
        <v>27</v>
      </c>
      <c r="I281" s="15" t="s">
        <v>26</v>
      </c>
      <c r="J281" s="15" t="s">
        <v>360</v>
      </c>
      <c r="K281" s="16" t="s">
        <v>59</v>
      </c>
      <c r="L281" s="15" t="s">
        <v>610</v>
      </c>
      <c r="M281" s="15"/>
      <c r="N281" s="15" t="s">
        <v>38</v>
      </c>
      <c r="O281" s="15"/>
      <c r="P281" s="16" t="s">
        <v>106</v>
      </c>
      <c r="Q281" s="17">
        <v>4590</v>
      </c>
      <c r="R281" s="18">
        <v>64.540000000000006</v>
      </c>
      <c r="S281" s="19">
        <v>1871.9354999999998</v>
      </c>
      <c r="T281" s="20" t="s">
        <v>99</v>
      </c>
      <c r="U281" s="21" t="s">
        <v>611</v>
      </c>
      <c r="V281" s="23">
        <v>128</v>
      </c>
      <c r="W281" s="23">
        <v>1</v>
      </c>
      <c r="X281" s="24"/>
    </row>
    <row r="282" spans="1:24" s="1" customFormat="1" ht="52.05" customHeight="1" x14ac:dyDescent="0.3">
      <c r="A282" s="11" t="s">
        <v>607</v>
      </c>
      <c r="B282" s="11" t="s">
        <v>612</v>
      </c>
      <c r="C282" s="12" t="s">
        <v>613</v>
      </c>
      <c r="D282" s="81"/>
      <c r="E282" s="67" t="str">
        <f>HYPERLINK("https://www.google.ru/search?q=811329-AN&amp;newwindow=1&amp;tbm=isch","Еще фото")</f>
        <v>Еще фото</v>
      </c>
      <c r="F282" s="14"/>
      <c r="G282" s="11" t="s">
        <v>26</v>
      </c>
      <c r="H282" s="11" t="s">
        <v>27</v>
      </c>
      <c r="I282" s="15" t="s">
        <v>26</v>
      </c>
      <c r="J282" s="15" t="s">
        <v>360</v>
      </c>
      <c r="K282" s="16" t="s">
        <v>45</v>
      </c>
      <c r="L282" s="83" t="s">
        <v>614</v>
      </c>
      <c r="M282" s="15"/>
      <c r="N282" s="15" t="s">
        <v>218</v>
      </c>
      <c r="O282" s="15"/>
      <c r="P282" s="16" t="s">
        <v>106</v>
      </c>
      <c r="Q282" s="17">
        <v>6399</v>
      </c>
      <c r="R282" s="18">
        <v>61.59</v>
      </c>
      <c r="S282" s="19">
        <v>2826.4354999999996</v>
      </c>
      <c r="T282" s="20" t="s">
        <v>99</v>
      </c>
      <c r="U282" s="21" t="s">
        <v>34</v>
      </c>
      <c r="V282" s="22" t="s">
        <v>35</v>
      </c>
      <c r="W282" s="23">
        <v>3</v>
      </c>
      <c r="X282" s="24"/>
    </row>
    <row r="283" spans="1:24" s="1" customFormat="1" ht="61.05" customHeight="1" x14ac:dyDescent="0.3">
      <c r="A283" s="25" t="s">
        <v>607</v>
      </c>
      <c r="B283" s="25" t="s">
        <v>612</v>
      </c>
      <c r="C283" s="12" t="s">
        <v>613</v>
      </c>
      <c r="D283" s="82"/>
      <c r="E283" s="67" t="str">
        <f>HYPERLINK("https://www.google.ru/search?q=811329-AN&amp;newwindow=1&amp;tbm=isch","Еще фото")</f>
        <v>Еще фото</v>
      </c>
      <c r="F283" s="14"/>
      <c r="G283" s="25" t="s">
        <v>26</v>
      </c>
      <c r="H283" s="25" t="s">
        <v>27</v>
      </c>
      <c r="I283" s="25" t="s">
        <v>26</v>
      </c>
      <c r="J283" s="15" t="s">
        <v>360</v>
      </c>
      <c r="K283" s="16" t="s">
        <v>45</v>
      </c>
      <c r="L283" s="84"/>
      <c r="M283" s="15"/>
      <c r="N283" s="15" t="s">
        <v>218</v>
      </c>
      <c r="O283" s="15"/>
      <c r="P283" s="16" t="s">
        <v>106</v>
      </c>
      <c r="Q283" s="17">
        <v>6399</v>
      </c>
      <c r="R283" s="18">
        <v>61.59</v>
      </c>
      <c r="S283" s="19">
        <v>2826.4354999999996</v>
      </c>
      <c r="T283" s="20" t="s">
        <v>99</v>
      </c>
      <c r="U283" s="21" t="s">
        <v>42</v>
      </c>
      <c r="V283" s="22" t="s">
        <v>43</v>
      </c>
      <c r="W283" s="23">
        <v>1</v>
      </c>
      <c r="X283" s="24"/>
    </row>
    <row r="284" spans="1:24" s="1" customFormat="1" ht="35" customHeight="1" x14ac:dyDescent="0.3">
      <c r="A284" s="11" t="s">
        <v>607</v>
      </c>
      <c r="B284" s="11" t="s">
        <v>615</v>
      </c>
      <c r="C284" s="12" t="s">
        <v>616</v>
      </c>
      <c r="D284" s="85"/>
      <c r="E284" s="67" t="str">
        <f>HYPERLINK("https://www.google.ru/search?q=814325-BK&amp;newwindow=1&amp;tbm=isch","Еще фото")</f>
        <v>Еще фото</v>
      </c>
      <c r="F284" s="14"/>
      <c r="G284" s="11" t="s">
        <v>617</v>
      </c>
      <c r="H284" s="11" t="s">
        <v>27</v>
      </c>
      <c r="I284" s="15" t="s">
        <v>26</v>
      </c>
      <c r="J284" s="15" t="s">
        <v>360</v>
      </c>
      <c r="K284" s="16" t="s">
        <v>29</v>
      </c>
      <c r="L284" s="83" t="s">
        <v>618</v>
      </c>
      <c r="M284" s="15"/>
      <c r="N284" s="15" t="s">
        <v>38</v>
      </c>
      <c r="O284" s="15"/>
      <c r="P284" s="16" t="s">
        <v>619</v>
      </c>
      <c r="Q284" s="17">
        <v>8499</v>
      </c>
      <c r="R284" s="18">
        <v>61.55</v>
      </c>
      <c r="S284" s="19">
        <v>3757.9354999999996</v>
      </c>
      <c r="T284" s="20" t="s">
        <v>99</v>
      </c>
      <c r="U284" s="21" t="s">
        <v>442</v>
      </c>
      <c r="V284" s="22" t="s">
        <v>35</v>
      </c>
      <c r="W284" s="23">
        <v>4</v>
      </c>
      <c r="X284" s="24"/>
    </row>
    <row r="285" spans="1:24" s="1" customFormat="1" ht="35" customHeight="1" x14ac:dyDescent="0.3">
      <c r="A285" s="25" t="s">
        <v>607</v>
      </c>
      <c r="B285" s="25" t="s">
        <v>615</v>
      </c>
      <c r="C285" s="12" t="s">
        <v>616</v>
      </c>
      <c r="D285" s="86"/>
      <c r="E285" s="67" t="str">
        <f>HYPERLINK("https://www.google.ru/search?q=814325-BK&amp;newwindow=1&amp;tbm=isch","Еще фото")</f>
        <v>Еще фото</v>
      </c>
      <c r="F285" s="14"/>
      <c r="G285" s="25" t="s">
        <v>617</v>
      </c>
      <c r="H285" s="25" t="s">
        <v>27</v>
      </c>
      <c r="I285" s="25" t="s">
        <v>26</v>
      </c>
      <c r="J285" s="15" t="s">
        <v>360</v>
      </c>
      <c r="K285" s="16" t="s">
        <v>29</v>
      </c>
      <c r="L285" s="88"/>
      <c r="M285" s="15"/>
      <c r="N285" s="15" t="s">
        <v>38</v>
      </c>
      <c r="O285" s="15"/>
      <c r="P285" s="16" t="s">
        <v>619</v>
      </c>
      <c r="Q285" s="17">
        <v>8499</v>
      </c>
      <c r="R285" s="18">
        <v>61.55</v>
      </c>
      <c r="S285" s="19">
        <v>3757.9354999999996</v>
      </c>
      <c r="T285" s="20" t="s">
        <v>99</v>
      </c>
      <c r="U285" s="21" t="s">
        <v>34</v>
      </c>
      <c r="V285" s="22" t="s">
        <v>53</v>
      </c>
      <c r="W285" s="23">
        <v>7</v>
      </c>
      <c r="X285" s="24"/>
    </row>
    <row r="286" spans="1:24" s="1" customFormat="1" ht="37.049999999999997" customHeight="1" x14ac:dyDescent="0.3">
      <c r="A286" s="25" t="s">
        <v>607</v>
      </c>
      <c r="B286" s="25" t="s">
        <v>615</v>
      </c>
      <c r="C286" s="12" t="s">
        <v>616</v>
      </c>
      <c r="D286" s="87"/>
      <c r="E286" s="67" t="str">
        <f>HYPERLINK("https://www.google.ru/search?q=814325-BK&amp;newwindow=1&amp;tbm=isch","Еще фото")</f>
        <v>Еще фото</v>
      </c>
      <c r="F286" s="14"/>
      <c r="G286" s="25" t="s">
        <v>617</v>
      </c>
      <c r="H286" s="25" t="s">
        <v>27</v>
      </c>
      <c r="I286" s="25" t="s">
        <v>26</v>
      </c>
      <c r="J286" s="15" t="s">
        <v>360</v>
      </c>
      <c r="K286" s="16" t="s">
        <v>29</v>
      </c>
      <c r="L286" s="84"/>
      <c r="M286" s="15"/>
      <c r="N286" s="15" t="s">
        <v>38</v>
      </c>
      <c r="O286" s="15"/>
      <c r="P286" s="16" t="s">
        <v>619</v>
      </c>
      <c r="Q286" s="17">
        <v>8499</v>
      </c>
      <c r="R286" s="18">
        <v>61.55</v>
      </c>
      <c r="S286" s="19">
        <v>3757.9354999999996</v>
      </c>
      <c r="T286" s="20" t="s">
        <v>99</v>
      </c>
      <c r="U286" s="21" t="s">
        <v>52</v>
      </c>
      <c r="V286" s="22" t="s">
        <v>41</v>
      </c>
      <c r="W286" s="23">
        <v>5</v>
      </c>
      <c r="X286" s="24"/>
    </row>
    <row r="287" spans="1:24" s="1" customFormat="1" ht="35" customHeight="1" x14ac:dyDescent="0.3">
      <c r="A287" s="11" t="s">
        <v>607</v>
      </c>
      <c r="B287" s="11" t="s">
        <v>615</v>
      </c>
      <c r="C287" s="12" t="s">
        <v>620</v>
      </c>
      <c r="D287" s="85"/>
      <c r="E287" s="67" t="str">
        <f>HYPERLINK("https://www.google.ru/search?q=814325-NV&amp;newwindow=1&amp;tbm=isch","Еще фото")</f>
        <v>Еще фото</v>
      </c>
      <c r="F287" s="14"/>
      <c r="G287" s="11" t="s">
        <v>617</v>
      </c>
      <c r="H287" s="11" t="s">
        <v>27</v>
      </c>
      <c r="I287" s="15" t="s">
        <v>26</v>
      </c>
      <c r="J287" s="15" t="s">
        <v>360</v>
      </c>
      <c r="K287" s="16" t="s">
        <v>29</v>
      </c>
      <c r="L287" s="83" t="s">
        <v>618</v>
      </c>
      <c r="M287" s="15"/>
      <c r="N287" s="15" t="s">
        <v>31</v>
      </c>
      <c r="O287" s="15"/>
      <c r="P287" s="16" t="s">
        <v>619</v>
      </c>
      <c r="Q287" s="17">
        <v>8499</v>
      </c>
      <c r="R287" s="18">
        <v>61.55</v>
      </c>
      <c r="S287" s="19">
        <v>3757.9354999999996</v>
      </c>
      <c r="T287" s="20" t="s">
        <v>99</v>
      </c>
      <c r="U287" s="21" t="s">
        <v>442</v>
      </c>
      <c r="V287" s="22" t="s">
        <v>35</v>
      </c>
      <c r="W287" s="23">
        <v>2</v>
      </c>
      <c r="X287" s="24"/>
    </row>
    <row r="288" spans="1:24" s="1" customFormat="1" ht="35" customHeight="1" x14ac:dyDescent="0.3">
      <c r="A288" s="25" t="s">
        <v>607</v>
      </c>
      <c r="B288" s="25" t="s">
        <v>615</v>
      </c>
      <c r="C288" s="12" t="s">
        <v>620</v>
      </c>
      <c r="D288" s="86"/>
      <c r="E288" s="67" t="str">
        <f>HYPERLINK("https://www.google.ru/search?q=814325-NV&amp;newwindow=1&amp;tbm=isch","Еще фото")</f>
        <v>Еще фото</v>
      </c>
      <c r="F288" s="14"/>
      <c r="G288" s="25" t="s">
        <v>617</v>
      </c>
      <c r="H288" s="25" t="s">
        <v>27</v>
      </c>
      <c r="I288" s="25" t="s">
        <v>26</v>
      </c>
      <c r="J288" s="15" t="s">
        <v>360</v>
      </c>
      <c r="K288" s="16" t="s">
        <v>29</v>
      </c>
      <c r="L288" s="88"/>
      <c r="M288" s="15"/>
      <c r="N288" s="15" t="s">
        <v>31</v>
      </c>
      <c r="O288" s="15"/>
      <c r="P288" s="16" t="s">
        <v>619</v>
      </c>
      <c r="Q288" s="17">
        <v>8499</v>
      </c>
      <c r="R288" s="18">
        <v>61.55</v>
      </c>
      <c r="S288" s="19">
        <v>3757.9354999999996</v>
      </c>
      <c r="T288" s="20" t="s">
        <v>99</v>
      </c>
      <c r="U288" s="21" t="s">
        <v>34</v>
      </c>
      <c r="V288" s="22" t="s">
        <v>53</v>
      </c>
      <c r="W288" s="23">
        <v>4</v>
      </c>
      <c r="X288" s="24"/>
    </row>
    <row r="289" spans="1:24" s="1" customFormat="1" ht="37.049999999999997" customHeight="1" x14ac:dyDescent="0.3">
      <c r="A289" s="25" t="s">
        <v>607</v>
      </c>
      <c r="B289" s="25" t="s">
        <v>615</v>
      </c>
      <c r="C289" s="12" t="s">
        <v>620</v>
      </c>
      <c r="D289" s="87"/>
      <c r="E289" s="67" t="str">
        <f>HYPERLINK("https://www.google.ru/search?q=814325-NV&amp;newwindow=1&amp;tbm=isch","Еще фото")</f>
        <v>Еще фото</v>
      </c>
      <c r="F289" s="14"/>
      <c r="G289" s="25" t="s">
        <v>617</v>
      </c>
      <c r="H289" s="25" t="s">
        <v>27</v>
      </c>
      <c r="I289" s="25" t="s">
        <v>26</v>
      </c>
      <c r="J289" s="15" t="s">
        <v>360</v>
      </c>
      <c r="K289" s="16" t="s">
        <v>29</v>
      </c>
      <c r="L289" s="84"/>
      <c r="M289" s="15"/>
      <c r="N289" s="15" t="s">
        <v>31</v>
      </c>
      <c r="O289" s="15"/>
      <c r="P289" s="16" t="s">
        <v>619</v>
      </c>
      <c r="Q289" s="17">
        <v>8499</v>
      </c>
      <c r="R289" s="18">
        <v>61.55</v>
      </c>
      <c r="S289" s="19">
        <v>3757.9354999999996</v>
      </c>
      <c r="T289" s="20" t="s">
        <v>99</v>
      </c>
      <c r="U289" s="21" t="s">
        <v>52</v>
      </c>
      <c r="V289" s="22" t="s">
        <v>41</v>
      </c>
      <c r="W289" s="23">
        <v>2</v>
      </c>
      <c r="X289" s="24"/>
    </row>
    <row r="290" spans="1:24" s="1" customFormat="1" ht="108" customHeight="1" x14ac:dyDescent="0.3">
      <c r="A290" s="11" t="s">
        <v>607</v>
      </c>
      <c r="B290" s="11" t="s">
        <v>621</v>
      </c>
      <c r="C290" s="12" t="s">
        <v>622</v>
      </c>
      <c r="D290" s="13"/>
      <c r="E290" s="67" t="str">
        <f>HYPERLINK("https://www.google.ru/search?q=285080-AN&amp;newwindow=1&amp;tbm=isch","Еще фото")</f>
        <v>Еще фото</v>
      </c>
      <c r="F290" s="14"/>
      <c r="G290" s="11" t="s">
        <v>623</v>
      </c>
      <c r="H290" s="11" t="s">
        <v>69</v>
      </c>
      <c r="I290" s="15" t="s">
        <v>70</v>
      </c>
      <c r="J290" s="15" t="s">
        <v>360</v>
      </c>
      <c r="K290" s="16" t="s">
        <v>71</v>
      </c>
      <c r="L290" s="15" t="s">
        <v>624</v>
      </c>
      <c r="M290" s="15"/>
      <c r="N290" s="15" t="s">
        <v>218</v>
      </c>
      <c r="O290" s="15"/>
      <c r="P290" s="16" t="s">
        <v>625</v>
      </c>
      <c r="Q290" s="53">
        <v>799</v>
      </c>
      <c r="R290" s="18">
        <v>30</v>
      </c>
      <c r="S290" s="26">
        <v>643.19499999999994</v>
      </c>
      <c r="T290" s="20" t="s">
        <v>75</v>
      </c>
      <c r="U290" s="21" t="s">
        <v>430</v>
      </c>
      <c r="V290" s="22" t="s">
        <v>77</v>
      </c>
      <c r="W290" s="23">
        <v>26</v>
      </c>
      <c r="X290" s="24"/>
    </row>
    <row r="291" spans="1:24" s="1" customFormat="1" ht="108" customHeight="1" x14ac:dyDescent="0.3">
      <c r="A291" s="11" t="s">
        <v>607</v>
      </c>
      <c r="B291" s="11" t="s">
        <v>621</v>
      </c>
      <c r="C291" s="12" t="s">
        <v>626</v>
      </c>
      <c r="D291" s="13"/>
      <c r="E291" s="67" t="str">
        <f>HYPERLINK("https://www.google.ru/search?q=285080-BN&amp;newwindow=1&amp;tbm=isch","Еще фото")</f>
        <v>Еще фото</v>
      </c>
      <c r="F291" s="14"/>
      <c r="G291" s="11" t="s">
        <v>623</v>
      </c>
      <c r="H291" s="11" t="s">
        <v>69</v>
      </c>
      <c r="I291" s="15" t="s">
        <v>70</v>
      </c>
      <c r="J291" s="15" t="s">
        <v>360</v>
      </c>
      <c r="K291" s="16" t="s">
        <v>71</v>
      </c>
      <c r="L291" s="15" t="s">
        <v>624</v>
      </c>
      <c r="M291" s="15"/>
      <c r="N291" s="15" t="s">
        <v>225</v>
      </c>
      <c r="O291" s="15"/>
      <c r="P291" s="16" t="s">
        <v>627</v>
      </c>
      <c r="Q291" s="53">
        <v>799</v>
      </c>
      <c r="R291" s="18">
        <v>30</v>
      </c>
      <c r="S291" s="26">
        <v>643.19499999999994</v>
      </c>
      <c r="T291" s="20" t="s">
        <v>75</v>
      </c>
      <c r="U291" s="21" t="s">
        <v>430</v>
      </c>
      <c r="V291" s="22" t="s">
        <v>77</v>
      </c>
      <c r="W291" s="23">
        <v>6</v>
      </c>
      <c r="X291" s="24"/>
    </row>
    <row r="292" spans="1:24" s="1" customFormat="1" ht="108" customHeight="1" x14ac:dyDescent="0.3">
      <c r="A292" s="11" t="s">
        <v>607</v>
      </c>
      <c r="B292" s="11" t="s">
        <v>621</v>
      </c>
      <c r="C292" s="12" t="s">
        <v>628</v>
      </c>
      <c r="D292" s="13"/>
      <c r="E292" s="67" t="str">
        <f>HYPERLINK("https://www.google.ru/search?q=285080-NV&amp;newwindow=1&amp;tbm=isch","Еще фото")</f>
        <v>Еще фото</v>
      </c>
      <c r="F292" s="14" t="s">
        <v>253</v>
      </c>
      <c r="G292" s="11" t="s">
        <v>623</v>
      </c>
      <c r="H292" s="11" t="s">
        <v>69</v>
      </c>
      <c r="I292" s="15" t="s">
        <v>70</v>
      </c>
      <c r="J292" s="15" t="s">
        <v>360</v>
      </c>
      <c r="K292" s="16" t="s">
        <v>71</v>
      </c>
      <c r="L292" s="15" t="s">
        <v>624</v>
      </c>
      <c r="M292" s="15"/>
      <c r="N292" s="15" t="s">
        <v>31</v>
      </c>
      <c r="O292" s="15"/>
      <c r="P292" s="16" t="s">
        <v>627</v>
      </c>
      <c r="Q292" s="53">
        <v>799</v>
      </c>
      <c r="R292" s="18">
        <v>30</v>
      </c>
      <c r="S292" s="26">
        <v>643.19499999999994</v>
      </c>
      <c r="T292" s="20" t="s">
        <v>75</v>
      </c>
      <c r="U292" s="21" t="s">
        <v>430</v>
      </c>
      <c r="V292" s="22" t="s">
        <v>77</v>
      </c>
      <c r="W292" s="23">
        <v>642</v>
      </c>
      <c r="X292" s="24"/>
    </row>
    <row r="293" spans="1:24" s="1" customFormat="1" ht="108" customHeight="1" x14ac:dyDescent="0.3">
      <c r="A293" s="11" t="s">
        <v>607</v>
      </c>
      <c r="B293" s="11" t="s">
        <v>621</v>
      </c>
      <c r="C293" s="12" t="s">
        <v>629</v>
      </c>
      <c r="D293" s="13"/>
      <c r="E293" s="67" t="str">
        <f>HYPERLINK("https://www.google.ru/search?q=285080-RD&amp;newwindow=1&amp;tbm=isch","Еще фото")</f>
        <v>Еще фото</v>
      </c>
      <c r="F293" s="14"/>
      <c r="G293" s="11" t="s">
        <v>623</v>
      </c>
      <c r="H293" s="11" t="s">
        <v>69</v>
      </c>
      <c r="I293" s="15" t="s">
        <v>70</v>
      </c>
      <c r="J293" s="15" t="s">
        <v>360</v>
      </c>
      <c r="K293" s="16" t="s">
        <v>71</v>
      </c>
      <c r="L293" s="15" t="s">
        <v>624</v>
      </c>
      <c r="M293" s="15"/>
      <c r="N293" s="15" t="s">
        <v>73</v>
      </c>
      <c r="O293" s="15"/>
      <c r="P293" s="16" t="s">
        <v>630</v>
      </c>
      <c r="Q293" s="53">
        <v>799</v>
      </c>
      <c r="R293" s="18">
        <v>30</v>
      </c>
      <c r="S293" s="26">
        <v>643.19499999999994</v>
      </c>
      <c r="T293" s="20" t="s">
        <v>75</v>
      </c>
      <c r="U293" s="21" t="s">
        <v>430</v>
      </c>
      <c r="V293" s="22" t="s">
        <v>77</v>
      </c>
      <c r="W293" s="23">
        <v>18</v>
      </c>
      <c r="X293" s="24"/>
    </row>
    <row r="294" spans="1:24" s="1" customFormat="1" ht="108" customHeight="1" x14ac:dyDescent="0.3">
      <c r="A294" s="11" t="s">
        <v>607</v>
      </c>
      <c r="B294" s="11" t="s">
        <v>623</v>
      </c>
      <c r="C294" s="12" t="s">
        <v>631</v>
      </c>
      <c r="D294" s="13"/>
      <c r="E294" s="67" t="str">
        <f>HYPERLINK("https://www.google.ru/search?q=285080-WH&amp;newwindow=1&amp;tbm=isch","Еще фото")</f>
        <v>Еще фото</v>
      </c>
      <c r="F294" s="14" t="s">
        <v>253</v>
      </c>
      <c r="G294" s="11" t="s">
        <v>623</v>
      </c>
      <c r="H294" s="11" t="s">
        <v>69</v>
      </c>
      <c r="I294" s="15" t="s">
        <v>70</v>
      </c>
      <c r="J294" s="15" t="s">
        <v>360</v>
      </c>
      <c r="K294" s="16" t="s">
        <v>71</v>
      </c>
      <c r="L294" s="15" t="s">
        <v>624</v>
      </c>
      <c r="M294" s="15"/>
      <c r="N294" s="15" t="s">
        <v>173</v>
      </c>
      <c r="O294" s="15"/>
      <c r="P294" s="16" t="s">
        <v>627</v>
      </c>
      <c r="Q294" s="53">
        <v>799</v>
      </c>
      <c r="R294" s="18">
        <v>30</v>
      </c>
      <c r="S294" s="26">
        <v>643.19499999999994</v>
      </c>
      <c r="T294" s="20" t="s">
        <v>75</v>
      </c>
      <c r="U294" s="21" t="s">
        <v>430</v>
      </c>
      <c r="V294" s="22" t="s">
        <v>77</v>
      </c>
      <c r="W294" s="23">
        <v>272</v>
      </c>
      <c r="X294" s="24"/>
    </row>
    <row r="295" spans="1:24" s="1" customFormat="1" ht="108" customHeight="1" x14ac:dyDescent="0.3">
      <c r="A295" s="11" t="s">
        <v>607</v>
      </c>
      <c r="B295" s="11" t="s">
        <v>632</v>
      </c>
      <c r="C295" s="12" t="s">
        <v>633</v>
      </c>
      <c r="D295" s="13"/>
      <c r="E295" s="67" t="str">
        <f>HYPERLINK("https://www.google.ru/search?q=287099-BK&amp;newwindow=1&amp;tbm=isch","Еще фото")</f>
        <v>Еще фото</v>
      </c>
      <c r="F295" s="14"/>
      <c r="G295" s="11" t="s">
        <v>634</v>
      </c>
      <c r="H295" s="11" t="s">
        <v>69</v>
      </c>
      <c r="I295" s="15" t="s">
        <v>70</v>
      </c>
      <c r="J295" s="15" t="s">
        <v>360</v>
      </c>
      <c r="K295" s="16" t="s">
        <v>71</v>
      </c>
      <c r="L295" s="15" t="s">
        <v>635</v>
      </c>
      <c r="M295" s="15"/>
      <c r="N295" s="15" t="s">
        <v>38</v>
      </c>
      <c r="O295" s="15"/>
      <c r="P295" s="16" t="s">
        <v>106</v>
      </c>
      <c r="Q295" s="17">
        <v>1699</v>
      </c>
      <c r="R295" s="18">
        <v>30</v>
      </c>
      <c r="S295" s="19">
        <v>1367.6949999999999</v>
      </c>
      <c r="T295" s="20" t="s">
        <v>75</v>
      </c>
      <c r="U295" s="21" t="s">
        <v>430</v>
      </c>
      <c r="V295" s="22" t="s">
        <v>77</v>
      </c>
      <c r="W295" s="23">
        <v>20</v>
      </c>
      <c r="X295" s="24"/>
    </row>
    <row r="296" spans="1:24" s="1" customFormat="1" ht="108" customHeight="1" x14ac:dyDescent="0.3">
      <c r="A296" s="11" t="s">
        <v>607</v>
      </c>
      <c r="B296" s="11" t="s">
        <v>632</v>
      </c>
      <c r="C296" s="12" t="s">
        <v>636</v>
      </c>
      <c r="D296" s="13"/>
      <c r="E296" s="67" t="str">
        <f>HYPERLINK("https://www.google.ru/search?q=287099-WH&amp;newwindow=1&amp;tbm=isch","Еще фото")</f>
        <v>Еще фото</v>
      </c>
      <c r="F296" s="14"/>
      <c r="G296" s="11" t="s">
        <v>634</v>
      </c>
      <c r="H296" s="11" t="s">
        <v>69</v>
      </c>
      <c r="I296" s="15" t="s">
        <v>70</v>
      </c>
      <c r="J296" s="15" t="s">
        <v>360</v>
      </c>
      <c r="K296" s="16" t="s">
        <v>71</v>
      </c>
      <c r="L296" s="15" t="s">
        <v>635</v>
      </c>
      <c r="M296" s="15"/>
      <c r="N296" s="15" t="s">
        <v>173</v>
      </c>
      <c r="O296" s="15"/>
      <c r="P296" s="16" t="s">
        <v>106</v>
      </c>
      <c r="Q296" s="17">
        <v>1699</v>
      </c>
      <c r="R296" s="18">
        <v>30</v>
      </c>
      <c r="S296" s="19">
        <v>1367.6949999999999</v>
      </c>
      <c r="T296" s="20" t="s">
        <v>75</v>
      </c>
      <c r="U296" s="21" t="s">
        <v>430</v>
      </c>
      <c r="V296" s="22" t="s">
        <v>77</v>
      </c>
      <c r="W296" s="23">
        <v>21</v>
      </c>
      <c r="X296" s="24"/>
    </row>
    <row r="297" spans="1:24" s="1" customFormat="1" ht="108" customHeight="1" x14ac:dyDescent="0.3">
      <c r="A297" s="11" t="s">
        <v>607</v>
      </c>
      <c r="B297" s="11" t="s">
        <v>637</v>
      </c>
      <c r="C297" s="12" t="s">
        <v>638</v>
      </c>
      <c r="D297" s="13"/>
      <c r="E297" s="67" t="str">
        <f>HYPERLINK("https://www.google.ru/search?q=287184-BLLI&amp;newwindow=1&amp;tbm=isch","Еще фото")</f>
        <v>Еще фото</v>
      </c>
      <c r="F297" s="14"/>
      <c r="G297" s="11" t="s">
        <v>104</v>
      </c>
      <c r="H297" s="11" t="s">
        <v>69</v>
      </c>
      <c r="I297" s="15" t="s">
        <v>105</v>
      </c>
      <c r="J297" s="15" t="s">
        <v>360</v>
      </c>
      <c r="K297" s="16" t="s">
        <v>71</v>
      </c>
      <c r="L297" s="15" t="s">
        <v>639</v>
      </c>
      <c r="M297" s="15"/>
      <c r="N297" s="15" t="s">
        <v>122</v>
      </c>
      <c r="O297" s="15"/>
      <c r="P297" s="16" t="s">
        <v>640</v>
      </c>
      <c r="Q297" s="17">
        <v>2999</v>
      </c>
      <c r="R297" s="18">
        <v>61.06</v>
      </c>
      <c r="S297" s="19">
        <v>1342.9354999999998</v>
      </c>
      <c r="T297" s="20" t="s">
        <v>75</v>
      </c>
      <c r="U297" s="21" t="s">
        <v>430</v>
      </c>
      <c r="V297" s="22" t="s">
        <v>77</v>
      </c>
      <c r="W297" s="23">
        <v>26</v>
      </c>
      <c r="X297" s="24"/>
    </row>
    <row r="298" spans="1:24" s="1" customFormat="1" ht="108" customHeight="1" x14ac:dyDescent="0.3">
      <c r="A298" s="11" t="s">
        <v>607</v>
      </c>
      <c r="B298" s="11" t="s">
        <v>641</v>
      </c>
      <c r="C298" s="12" t="s">
        <v>642</v>
      </c>
      <c r="D298" s="13"/>
      <c r="E298" s="67" t="str">
        <f>HYPERLINK("https://www.google.ru/search?q=287194-TQLB&amp;newwindow=1&amp;tbm=isch","Еще фото")</f>
        <v>Еще фото</v>
      </c>
      <c r="F298" s="14"/>
      <c r="G298" s="11" t="s">
        <v>104</v>
      </c>
      <c r="H298" s="11" t="s">
        <v>69</v>
      </c>
      <c r="I298" s="15" t="s">
        <v>105</v>
      </c>
      <c r="J298" s="15" t="s">
        <v>360</v>
      </c>
      <c r="K298" s="16" t="s">
        <v>71</v>
      </c>
      <c r="L298" s="15" t="s">
        <v>643</v>
      </c>
      <c r="M298" s="15"/>
      <c r="N298" s="15" t="s">
        <v>122</v>
      </c>
      <c r="O298" s="15"/>
      <c r="P298" s="16" t="s">
        <v>640</v>
      </c>
      <c r="Q298" s="17">
        <v>2999</v>
      </c>
      <c r="R298" s="18">
        <v>61.06</v>
      </c>
      <c r="S298" s="19">
        <v>1342.9354999999998</v>
      </c>
      <c r="T298" s="20" t="s">
        <v>75</v>
      </c>
      <c r="U298" s="21" t="s">
        <v>430</v>
      </c>
      <c r="V298" s="22" t="s">
        <v>77</v>
      </c>
      <c r="W298" s="23">
        <v>22</v>
      </c>
      <c r="X298" s="24"/>
    </row>
    <row r="299" spans="1:24" s="1" customFormat="1" ht="108" customHeight="1" x14ac:dyDescent="0.3">
      <c r="A299" s="11" t="s">
        <v>607</v>
      </c>
      <c r="B299" s="11" t="s">
        <v>644</v>
      </c>
      <c r="C299" s="12" t="s">
        <v>645</v>
      </c>
      <c r="D299" s="13"/>
      <c r="E299" s="67" t="str">
        <f>HYPERLINK("https://www.google.ru/search?q=287023-ANWH&amp;newwindow=1&amp;tbm=isch","Еще фото")</f>
        <v>Еще фото</v>
      </c>
      <c r="F299" s="14"/>
      <c r="G299" s="11" t="s">
        <v>104</v>
      </c>
      <c r="H299" s="11" t="s">
        <v>69</v>
      </c>
      <c r="I299" s="15" t="s">
        <v>105</v>
      </c>
      <c r="J299" s="15" t="s">
        <v>360</v>
      </c>
      <c r="K299" s="16" t="s">
        <v>59</v>
      </c>
      <c r="L299" s="15" t="s">
        <v>646</v>
      </c>
      <c r="M299" s="15"/>
      <c r="N299" s="15" t="s">
        <v>218</v>
      </c>
      <c r="O299" s="15"/>
      <c r="P299" s="16" t="s">
        <v>106</v>
      </c>
      <c r="Q299" s="17">
        <v>2699</v>
      </c>
      <c r="R299" s="18">
        <v>33</v>
      </c>
      <c r="S299" s="19">
        <v>2079.5794999999998</v>
      </c>
      <c r="T299" s="20" t="s">
        <v>75</v>
      </c>
      <c r="U299" s="21" t="s">
        <v>430</v>
      </c>
      <c r="V299" s="22" t="s">
        <v>77</v>
      </c>
      <c r="W299" s="23">
        <v>8</v>
      </c>
      <c r="X299" s="24"/>
    </row>
    <row r="300" spans="1:24" s="1" customFormat="1" ht="108" customHeight="1" x14ac:dyDescent="0.3">
      <c r="A300" s="11" t="s">
        <v>607</v>
      </c>
      <c r="B300" s="11" t="s">
        <v>637</v>
      </c>
      <c r="C300" s="12" t="s">
        <v>647</v>
      </c>
      <c r="D300" s="13"/>
      <c r="E300" s="67" t="str">
        <f>HYPERLINK("https://www.google.ru/search?q=287033-TQOR&amp;newwindow=1&amp;tbm=isch","Еще фото")</f>
        <v>Еще фото</v>
      </c>
      <c r="F300" s="14"/>
      <c r="G300" s="11" t="s">
        <v>104</v>
      </c>
      <c r="H300" s="11" t="s">
        <v>69</v>
      </c>
      <c r="I300" s="15" t="s">
        <v>105</v>
      </c>
      <c r="J300" s="15" t="s">
        <v>360</v>
      </c>
      <c r="K300" s="16" t="s">
        <v>59</v>
      </c>
      <c r="L300" s="15" t="s">
        <v>648</v>
      </c>
      <c r="M300" s="15"/>
      <c r="N300" s="15" t="s">
        <v>31</v>
      </c>
      <c r="O300" s="15"/>
      <c r="P300" s="16" t="s">
        <v>106</v>
      </c>
      <c r="Q300" s="17">
        <v>2490</v>
      </c>
      <c r="R300" s="18">
        <v>30</v>
      </c>
      <c r="S300" s="19">
        <v>2004.4499999999998</v>
      </c>
      <c r="T300" s="20" t="s">
        <v>75</v>
      </c>
      <c r="U300" s="21" t="s">
        <v>430</v>
      </c>
      <c r="V300" s="22" t="s">
        <v>77</v>
      </c>
      <c r="W300" s="23">
        <v>23</v>
      </c>
      <c r="X300" s="24"/>
    </row>
    <row r="301" spans="1:24" s="1" customFormat="1" ht="108" customHeight="1" x14ac:dyDescent="0.3">
      <c r="A301" s="11" t="s">
        <v>607</v>
      </c>
      <c r="B301" s="11" t="s">
        <v>641</v>
      </c>
      <c r="C301" s="12" t="s">
        <v>649</v>
      </c>
      <c r="D301" s="13"/>
      <c r="E301" s="67" t="str">
        <f>HYPERLINK("https://www.google.ru/search?q=287043-LMLB&amp;newwindow=1&amp;tbm=isch","Еще фото")</f>
        <v>Еще фото</v>
      </c>
      <c r="F301" s="14"/>
      <c r="G301" s="11" t="s">
        <v>104</v>
      </c>
      <c r="H301" s="11" t="s">
        <v>69</v>
      </c>
      <c r="I301" s="15" t="s">
        <v>105</v>
      </c>
      <c r="J301" s="15" t="s">
        <v>360</v>
      </c>
      <c r="K301" s="16" t="s">
        <v>59</v>
      </c>
      <c r="L301" s="15" t="s">
        <v>650</v>
      </c>
      <c r="M301" s="15"/>
      <c r="N301" s="15" t="s">
        <v>225</v>
      </c>
      <c r="O301" s="15"/>
      <c r="P301" s="16" t="s">
        <v>106</v>
      </c>
      <c r="Q301" s="17">
        <v>2490</v>
      </c>
      <c r="R301" s="18">
        <v>30</v>
      </c>
      <c r="S301" s="19">
        <v>2004.4499999999998</v>
      </c>
      <c r="T301" s="20" t="s">
        <v>75</v>
      </c>
      <c r="U301" s="21" t="s">
        <v>430</v>
      </c>
      <c r="V301" s="22" t="s">
        <v>77</v>
      </c>
      <c r="W301" s="23">
        <v>3</v>
      </c>
      <c r="X301" s="24"/>
    </row>
    <row r="302" spans="1:24" s="1" customFormat="1" ht="108" customHeight="1" x14ac:dyDescent="0.3">
      <c r="A302" s="11" t="s">
        <v>607</v>
      </c>
      <c r="B302" s="11" t="s">
        <v>651</v>
      </c>
      <c r="C302" s="12" t="s">
        <v>652</v>
      </c>
      <c r="D302" s="13"/>
      <c r="E302" s="67" t="str">
        <f>HYPERLINK("https://www.google.ru/search?q=287114-BK&amp;newwindow=1&amp;tbm=isch","Еще фото")</f>
        <v>Еще фото</v>
      </c>
      <c r="F302" s="14"/>
      <c r="G302" s="11" t="s">
        <v>653</v>
      </c>
      <c r="H302" s="11" t="s">
        <v>69</v>
      </c>
      <c r="I302" s="15" t="s">
        <v>105</v>
      </c>
      <c r="J302" s="15" t="s">
        <v>360</v>
      </c>
      <c r="K302" s="16" t="s">
        <v>71</v>
      </c>
      <c r="L302" s="15" t="s">
        <v>654</v>
      </c>
      <c r="M302" s="15"/>
      <c r="N302" s="15" t="s">
        <v>38</v>
      </c>
      <c r="O302" s="15"/>
      <c r="P302" s="16" t="s">
        <v>106</v>
      </c>
      <c r="Q302" s="17">
        <v>2499</v>
      </c>
      <c r="R302" s="18">
        <v>30</v>
      </c>
      <c r="S302" s="19">
        <v>2011.6949999999997</v>
      </c>
      <c r="T302" s="20" t="s">
        <v>75</v>
      </c>
      <c r="U302" s="21" t="s">
        <v>430</v>
      </c>
      <c r="V302" s="22" t="s">
        <v>77</v>
      </c>
      <c r="W302" s="23">
        <v>14</v>
      </c>
      <c r="X302" s="24"/>
    </row>
    <row r="303" spans="1:24" s="1" customFormat="1" ht="108" customHeight="1" x14ac:dyDescent="0.3">
      <c r="A303" s="11" t="s">
        <v>607</v>
      </c>
      <c r="B303" s="11" t="s">
        <v>651</v>
      </c>
      <c r="C303" s="12" t="s">
        <v>655</v>
      </c>
      <c r="D303" s="13"/>
      <c r="E303" s="67" t="str">
        <f>HYPERLINK("https://www.google.ru/search?q=287114-NV&amp;newwindow=1&amp;tbm=isch","Еще фото")</f>
        <v>Еще фото</v>
      </c>
      <c r="F303" s="14"/>
      <c r="G303" s="11" t="s">
        <v>653</v>
      </c>
      <c r="H303" s="11" t="s">
        <v>69</v>
      </c>
      <c r="I303" s="15" t="s">
        <v>105</v>
      </c>
      <c r="J303" s="15" t="s">
        <v>360</v>
      </c>
      <c r="K303" s="16" t="s">
        <v>71</v>
      </c>
      <c r="L303" s="15" t="s">
        <v>654</v>
      </c>
      <c r="M303" s="15"/>
      <c r="N303" s="15" t="s">
        <v>31</v>
      </c>
      <c r="O303" s="15"/>
      <c r="P303" s="16" t="s">
        <v>106</v>
      </c>
      <c r="Q303" s="17">
        <v>2499</v>
      </c>
      <c r="R303" s="18">
        <v>30</v>
      </c>
      <c r="S303" s="19">
        <v>2011.6949999999997</v>
      </c>
      <c r="T303" s="20" t="s">
        <v>75</v>
      </c>
      <c r="U303" s="21" t="s">
        <v>430</v>
      </c>
      <c r="V303" s="22" t="s">
        <v>77</v>
      </c>
      <c r="W303" s="23">
        <v>16</v>
      </c>
      <c r="X303" s="24"/>
    </row>
    <row r="304" spans="1:24" s="1" customFormat="1" ht="108" customHeight="1" x14ac:dyDescent="0.3">
      <c r="A304" s="11" t="s">
        <v>607</v>
      </c>
      <c r="B304" s="11" t="s">
        <v>656</v>
      </c>
      <c r="C304" s="12" t="s">
        <v>657</v>
      </c>
      <c r="D304" s="13"/>
      <c r="E304" s="67" t="str">
        <f>HYPERLINK("https://www.google.ru/search?q=287134-BK&amp;newwindow=1&amp;tbm=isch","Еще фото")</f>
        <v>Еще фото</v>
      </c>
      <c r="F304" s="14"/>
      <c r="G304" s="11" t="s">
        <v>653</v>
      </c>
      <c r="H304" s="11" t="s">
        <v>69</v>
      </c>
      <c r="I304" s="15" t="s">
        <v>105</v>
      </c>
      <c r="J304" s="15" t="s">
        <v>360</v>
      </c>
      <c r="K304" s="16" t="s">
        <v>71</v>
      </c>
      <c r="L304" s="15" t="s">
        <v>658</v>
      </c>
      <c r="M304" s="15"/>
      <c r="N304" s="15" t="s">
        <v>38</v>
      </c>
      <c r="O304" s="15"/>
      <c r="P304" s="16" t="s">
        <v>106</v>
      </c>
      <c r="Q304" s="17">
        <v>2299</v>
      </c>
      <c r="R304" s="18">
        <v>30</v>
      </c>
      <c r="S304" s="19">
        <v>1850.6949999999997</v>
      </c>
      <c r="T304" s="20" t="s">
        <v>75</v>
      </c>
      <c r="U304" s="21" t="s">
        <v>430</v>
      </c>
      <c r="V304" s="22" t="s">
        <v>77</v>
      </c>
      <c r="W304" s="23">
        <v>10</v>
      </c>
      <c r="X304" s="24"/>
    </row>
    <row r="305" spans="1:24" s="1" customFormat="1" ht="108" customHeight="1" x14ac:dyDescent="0.3">
      <c r="A305" s="11" t="s">
        <v>607</v>
      </c>
      <c r="B305" s="11" t="s">
        <v>656</v>
      </c>
      <c r="C305" s="12" t="s">
        <v>659</v>
      </c>
      <c r="D305" s="13"/>
      <c r="E305" s="67" t="str">
        <f>HYPERLINK("https://www.google.ru/search?q=287134-NV&amp;newwindow=1&amp;tbm=isch","Еще фото")</f>
        <v>Еще фото</v>
      </c>
      <c r="F305" s="14"/>
      <c r="G305" s="11" t="s">
        <v>653</v>
      </c>
      <c r="H305" s="11" t="s">
        <v>69</v>
      </c>
      <c r="I305" s="15" t="s">
        <v>105</v>
      </c>
      <c r="J305" s="15" t="s">
        <v>360</v>
      </c>
      <c r="K305" s="16" t="s">
        <v>71</v>
      </c>
      <c r="L305" s="15" t="s">
        <v>658</v>
      </c>
      <c r="M305" s="15"/>
      <c r="N305" s="15" t="s">
        <v>31</v>
      </c>
      <c r="O305" s="15"/>
      <c r="P305" s="16" t="s">
        <v>106</v>
      </c>
      <c r="Q305" s="17">
        <v>1899</v>
      </c>
      <c r="R305" s="18">
        <v>30</v>
      </c>
      <c r="S305" s="19">
        <v>1528.6949999999999</v>
      </c>
      <c r="T305" s="20" t="s">
        <v>75</v>
      </c>
      <c r="U305" s="21" t="s">
        <v>430</v>
      </c>
      <c r="V305" s="22" t="s">
        <v>77</v>
      </c>
      <c r="W305" s="23">
        <v>6</v>
      </c>
      <c r="X305" s="24"/>
    </row>
    <row r="306" spans="1:24" s="1" customFormat="1" ht="108" customHeight="1" x14ac:dyDescent="0.3">
      <c r="A306" s="11" t="s">
        <v>607</v>
      </c>
      <c r="B306" s="11" t="s">
        <v>656</v>
      </c>
      <c r="C306" s="12" t="s">
        <v>660</v>
      </c>
      <c r="D306" s="13"/>
      <c r="E306" s="67" t="str">
        <f>HYPERLINK("https://www.google.ru/search?q=287134-WH&amp;newwindow=1&amp;tbm=isch","Еще фото")</f>
        <v>Еще фото</v>
      </c>
      <c r="F306" s="14"/>
      <c r="G306" s="11" t="s">
        <v>653</v>
      </c>
      <c r="H306" s="11" t="s">
        <v>69</v>
      </c>
      <c r="I306" s="15" t="s">
        <v>105</v>
      </c>
      <c r="J306" s="15" t="s">
        <v>360</v>
      </c>
      <c r="K306" s="16" t="s">
        <v>71</v>
      </c>
      <c r="L306" s="15" t="s">
        <v>658</v>
      </c>
      <c r="M306" s="15"/>
      <c r="N306" s="15" t="s">
        <v>173</v>
      </c>
      <c r="O306" s="15"/>
      <c r="P306" s="16" t="s">
        <v>106</v>
      </c>
      <c r="Q306" s="17">
        <v>2299</v>
      </c>
      <c r="R306" s="18">
        <v>30</v>
      </c>
      <c r="S306" s="19">
        <v>1850.6949999999997</v>
      </c>
      <c r="T306" s="20" t="s">
        <v>75</v>
      </c>
      <c r="U306" s="21" t="s">
        <v>430</v>
      </c>
      <c r="V306" s="22" t="s">
        <v>77</v>
      </c>
      <c r="W306" s="23">
        <v>15</v>
      </c>
      <c r="X306" s="24"/>
    </row>
    <row r="307" spans="1:24" s="1" customFormat="1" ht="108" customHeight="1" x14ac:dyDescent="0.3">
      <c r="A307" s="11" t="s">
        <v>607</v>
      </c>
      <c r="B307" s="11" t="s">
        <v>661</v>
      </c>
      <c r="C307" s="12" t="s">
        <v>662</v>
      </c>
      <c r="D307" s="13"/>
      <c r="E307" s="67" t="str">
        <f>HYPERLINK("https://www.google.ru/search?q=287174-BK&amp;newwindow=1&amp;tbm=isch","Еще фото")</f>
        <v>Еще фото</v>
      </c>
      <c r="F307" s="14"/>
      <c r="G307" s="11" t="s">
        <v>104</v>
      </c>
      <c r="H307" s="11" t="s">
        <v>69</v>
      </c>
      <c r="I307" s="15" t="s">
        <v>105</v>
      </c>
      <c r="J307" s="15" t="s">
        <v>360</v>
      </c>
      <c r="K307" s="16" t="s">
        <v>71</v>
      </c>
      <c r="L307" s="15" t="s">
        <v>663</v>
      </c>
      <c r="M307" s="15"/>
      <c r="N307" s="15" t="s">
        <v>38</v>
      </c>
      <c r="O307" s="15"/>
      <c r="P307" s="16" t="s">
        <v>106</v>
      </c>
      <c r="Q307" s="17">
        <v>2499</v>
      </c>
      <c r="R307" s="18">
        <v>30</v>
      </c>
      <c r="S307" s="19">
        <v>2011.6949999999997</v>
      </c>
      <c r="T307" s="20" t="s">
        <v>75</v>
      </c>
      <c r="U307" s="21" t="s">
        <v>430</v>
      </c>
      <c r="V307" s="22" t="s">
        <v>77</v>
      </c>
      <c r="W307" s="23">
        <v>2</v>
      </c>
      <c r="X307" s="24"/>
    </row>
    <row r="308" spans="1:24" s="1" customFormat="1" ht="108" customHeight="1" x14ac:dyDescent="0.3">
      <c r="A308" s="11" t="s">
        <v>607</v>
      </c>
      <c r="B308" s="11" t="s">
        <v>661</v>
      </c>
      <c r="C308" s="12" t="s">
        <v>664</v>
      </c>
      <c r="D308" s="13"/>
      <c r="E308" s="67" t="str">
        <f>HYPERLINK("https://www.google.ru/search?q=287174-NV&amp;newwindow=1&amp;tbm=isch","Еще фото")</f>
        <v>Еще фото</v>
      </c>
      <c r="F308" s="14"/>
      <c r="G308" s="11" t="s">
        <v>104</v>
      </c>
      <c r="H308" s="11" t="s">
        <v>69</v>
      </c>
      <c r="I308" s="15" t="s">
        <v>105</v>
      </c>
      <c r="J308" s="15" t="s">
        <v>360</v>
      </c>
      <c r="K308" s="16" t="s">
        <v>71</v>
      </c>
      <c r="L308" s="15" t="s">
        <v>663</v>
      </c>
      <c r="M308" s="15"/>
      <c r="N308" s="15" t="s">
        <v>31</v>
      </c>
      <c r="O308" s="15"/>
      <c r="P308" s="16" t="s">
        <v>106</v>
      </c>
      <c r="Q308" s="17">
        <v>1899</v>
      </c>
      <c r="R308" s="18">
        <v>30</v>
      </c>
      <c r="S308" s="19">
        <v>1528.6949999999999</v>
      </c>
      <c r="T308" s="20" t="s">
        <v>75</v>
      </c>
      <c r="U308" s="21" t="s">
        <v>430</v>
      </c>
      <c r="V308" s="22" t="s">
        <v>77</v>
      </c>
      <c r="W308" s="23">
        <v>10</v>
      </c>
      <c r="X308" s="24"/>
    </row>
    <row r="309" spans="1:24" s="1" customFormat="1" ht="108" customHeight="1" x14ac:dyDescent="0.3">
      <c r="A309" s="11" t="s">
        <v>607</v>
      </c>
      <c r="B309" s="11" t="s">
        <v>661</v>
      </c>
      <c r="C309" s="12" t="s">
        <v>665</v>
      </c>
      <c r="D309" s="13"/>
      <c r="E309" s="67" t="str">
        <f>HYPERLINK("https://www.google.ru/search?q=287174-VP&amp;newwindow=1&amp;tbm=isch","Еще фото")</f>
        <v>Еще фото</v>
      </c>
      <c r="F309" s="14"/>
      <c r="G309" s="11" t="s">
        <v>104</v>
      </c>
      <c r="H309" s="11" t="s">
        <v>69</v>
      </c>
      <c r="I309" s="15" t="s">
        <v>105</v>
      </c>
      <c r="J309" s="15" t="s">
        <v>360</v>
      </c>
      <c r="K309" s="16" t="s">
        <v>71</v>
      </c>
      <c r="L309" s="15" t="s">
        <v>663</v>
      </c>
      <c r="M309" s="15"/>
      <c r="N309" s="15" t="s">
        <v>212</v>
      </c>
      <c r="O309" s="15"/>
      <c r="P309" s="16" t="s">
        <v>106</v>
      </c>
      <c r="Q309" s="17">
        <v>2499</v>
      </c>
      <c r="R309" s="18">
        <v>30</v>
      </c>
      <c r="S309" s="19">
        <v>2011.6949999999997</v>
      </c>
      <c r="T309" s="20" t="s">
        <v>75</v>
      </c>
      <c r="U309" s="21" t="s">
        <v>430</v>
      </c>
      <c r="V309" s="22" t="s">
        <v>77</v>
      </c>
      <c r="W309" s="23">
        <v>2</v>
      </c>
      <c r="X309" s="24"/>
    </row>
    <row r="310" spans="1:24" s="1" customFormat="1" ht="108" customHeight="1" x14ac:dyDescent="0.3">
      <c r="A310" s="11" t="s">
        <v>607</v>
      </c>
      <c r="B310" s="11" t="s">
        <v>666</v>
      </c>
      <c r="C310" s="12" t="s">
        <v>667</v>
      </c>
      <c r="D310" s="13"/>
      <c r="E310" s="67" t="str">
        <f>HYPERLINK("https://www.google.ru/search?q=570823&amp;newwindow=1&amp;tbm=isch","Еще фото")</f>
        <v>Еще фото</v>
      </c>
      <c r="F310" s="14"/>
      <c r="G310" s="11" t="s">
        <v>668</v>
      </c>
      <c r="H310" s="11" t="s">
        <v>669</v>
      </c>
      <c r="I310" s="15" t="s">
        <v>668</v>
      </c>
      <c r="J310" s="15" t="s">
        <v>360</v>
      </c>
      <c r="K310" s="16" t="s">
        <v>71</v>
      </c>
      <c r="L310" s="15"/>
      <c r="M310" s="15"/>
      <c r="N310" s="15" t="s">
        <v>225</v>
      </c>
      <c r="O310" s="15"/>
      <c r="P310" s="16" t="s">
        <v>670</v>
      </c>
      <c r="Q310" s="17">
        <v>1199</v>
      </c>
      <c r="R310" s="18">
        <v>51.81</v>
      </c>
      <c r="S310" s="26">
        <v>664.43549999999993</v>
      </c>
      <c r="T310" s="20" t="s">
        <v>75</v>
      </c>
      <c r="U310" s="21" t="s">
        <v>430</v>
      </c>
      <c r="V310" s="22" t="s">
        <v>77</v>
      </c>
      <c r="W310" s="23">
        <v>724</v>
      </c>
      <c r="X310" s="24"/>
    </row>
    <row r="311" spans="1:24" s="1" customFormat="1" ht="108" customHeight="1" x14ac:dyDescent="0.3">
      <c r="A311" s="11" t="s">
        <v>607</v>
      </c>
      <c r="B311" s="11" t="s">
        <v>671</v>
      </c>
      <c r="C311" s="12" t="s">
        <v>672</v>
      </c>
      <c r="D311" s="13"/>
      <c r="E311" s="67" t="str">
        <f>HYPERLINK("https://www.google.ru/search?q=575034&amp;newwindow=1&amp;tbm=isch","Еще фото")</f>
        <v>Еще фото</v>
      </c>
      <c r="F311" s="14" t="s">
        <v>253</v>
      </c>
      <c r="G311" s="11" t="s">
        <v>668</v>
      </c>
      <c r="H311" s="11" t="s">
        <v>669</v>
      </c>
      <c r="I311" s="15" t="s">
        <v>668</v>
      </c>
      <c r="J311" s="15" t="s">
        <v>360</v>
      </c>
      <c r="K311" s="16" t="s">
        <v>71</v>
      </c>
      <c r="L311" s="15"/>
      <c r="M311" s="15"/>
      <c r="N311" s="15" t="s">
        <v>225</v>
      </c>
      <c r="O311" s="15"/>
      <c r="P311" s="16" t="s">
        <v>670</v>
      </c>
      <c r="Q311" s="17">
        <v>1239</v>
      </c>
      <c r="R311" s="18">
        <v>45.3</v>
      </c>
      <c r="S311" s="26">
        <v>779.43549999999993</v>
      </c>
      <c r="T311" s="20" t="s">
        <v>75</v>
      </c>
      <c r="U311" s="21" t="s">
        <v>430</v>
      </c>
      <c r="V311" s="22" t="s">
        <v>77</v>
      </c>
      <c r="W311" s="54">
        <v>1124</v>
      </c>
      <c r="X311" s="24"/>
    </row>
    <row r="312" spans="1:24" s="1" customFormat="1" ht="108" customHeight="1" x14ac:dyDescent="0.3">
      <c r="A312" s="11" t="s">
        <v>607</v>
      </c>
      <c r="B312" s="11" t="s">
        <v>673</v>
      </c>
      <c r="C312" s="12" t="s">
        <v>674</v>
      </c>
      <c r="D312" s="13"/>
      <c r="E312" s="67" t="str">
        <f>HYPERLINK("https://www.google.ru/search?q=540203&amp;newwindow=1&amp;tbm=isch","Еще фото")</f>
        <v>Еще фото</v>
      </c>
      <c r="F312" s="14"/>
      <c r="G312" s="11" t="s">
        <v>668</v>
      </c>
      <c r="H312" s="11" t="s">
        <v>669</v>
      </c>
      <c r="I312" s="15" t="s">
        <v>668</v>
      </c>
      <c r="J312" s="15" t="s">
        <v>360</v>
      </c>
      <c r="K312" s="16" t="s">
        <v>71</v>
      </c>
      <c r="L312" s="15" t="s">
        <v>675</v>
      </c>
      <c r="M312" s="15"/>
      <c r="N312" s="15" t="s">
        <v>225</v>
      </c>
      <c r="O312" s="15"/>
      <c r="P312" s="16" t="s">
        <v>670</v>
      </c>
      <c r="Q312" s="17">
        <v>1299</v>
      </c>
      <c r="R312" s="18">
        <v>33</v>
      </c>
      <c r="S312" s="26">
        <v>1000.8795</v>
      </c>
      <c r="T312" s="20" t="s">
        <v>75</v>
      </c>
      <c r="U312" s="21" t="s">
        <v>430</v>
      </c>
      <c r="V312" s="22" t="s">
        <v>77</v>
      </c>
      <c r="W312" s="23">
        <v>98</v>
      </c>
      <c r="X312" s="24"/>
    </row>
    <row r="313" spans="1:24" s="1" customFormat="1" ht="108" customHeight="1" x14ac:dyDescent="0.3">
      <c r="A313" s="11" t="s">
        <v>607</v>
      </c>
      <c r="B313" s="11" t="s">
        <v>676</v>
      </c>
      <c r="C313" s="12" t="s">
        <v>677</v>
      </c>
      <c r="D313" s="13"/>
      <c r="E313" s="67" t="str">
        <f>HYPERLINK("https://www.google.ru/search?q=540303&amp;newwindow=1&amp;tbm=isch","Еще фото")</f>
        <v>Еще фото</v>
      </c>
      <c r="F313" s="14"/>
      <c r="G313" s="11" t="s">
        <v>668</v>
      </c>
      <c r="H313" s="11" t="s">
        <v>669</v>
      </c>
      <c r="I313" s="15" t="s">
        <v>668</v>
      </c>
      <c r="J313" s="15" t="s">
        <v>360</v>
      </c>
      <c r="K313" s="16" t="s">
        <v>71</v>
      </c>
      <c r="L313" s="15"/>
      <c r="M313" s="15"/>
      <c r="N313" s="15" t="s">
        <v>225</v>
      </c>
      <c r="O313" s="15"/>
      <c r="P313" s="16" t="s">
        <v>670</v>
      </c>
      <c r="Q313" s="17">
        <v>1299</v>
      </c>
      <c r="R313" s="18">
        <v>33</v>
      </c>
      <c r="S313" s="26">
        <v>1000.8795</v>
      </c>
      <c r="T313" s="20" t="s">
        <v>75</v>
      </c>
      <c r="U313" s="21" t="s">
        <v>430</v>
      </c>
      <c r="V313" s="22" t="s">
        <v>77</v>
      </c>
      <c r="W313" s="23">
        <v>241</v>
      </c>
      <c r="X313" s="24"/>
    </row>
    <row r="314" spans="1:24" s="1" customFormat="1" ht="108" customHeight="1" x14ac:dyDescent="0.3">
      <c r="A314" s="11" t="s">
        <v>607</v>
      </c>
      <c r="B314" s="11" t="s">
        <v>678</v>
      </c>
      <c r="C314" s="12" t="s">
        <v>679</v>
      </c>
      <c r="D314" s="13"/>
      <c r="E314" s="67" t="str">
        <f>HYPERLINK("https://www.google.ru/search?q=571604&amp;newwindow=1&amp;tbm=isch","Еще фото")</f>
        <v>Еще фото</v>
      </c>
      <c r="F314" s="14"/>
      <c r="G314" s="11" t="s">
        <v>668</v>
      </c>
      <c r="H314" s="11" t="s">
        <v>669</v>
      </c>
      <c r="I314" s="15" t="s">
        <v>668</v>
      </c>
      <c r="J314" s="15" t="s">
        <v>360</v>
      </c>
      <c r="K314" s="16" t="s">
        <v>71</v>
      </c>
      <c r="L314" s="15"/>
      <c r="M314" s="15"/>
      <c r="N314" s="15" t="s">
        <v>55</v>
      </c>
      <c r="O314" s="15"/>
      <c r="P314" s="16" t="s">
        <v>670</v>
      </c>
      <c r="Q314" s="17">
        <v>1399</v>
      </c>
      <c r="R314" s="18">
        <v>33</v>
      </c>
      <c r="S314" s="26">
        <v>1077.9295</v>
      </c>
      <c r="T314" s="20" t="s">
        <v>75</v>
      </c>
      <c r="U314" s="21" t="s">
        <v>430</v>
      </c>
      <c r="V314" s="22" t="s">
        <v>77</v>
      </c>
      <c r="W314" s="23">
        <v>666</v>
      </c>
      <c r="X314" s="24"/>
    </row>
    <row r="315" spans="1:24" s="1" customFormat="1" ht="108" customHeight="1" x14ac:dyDescent="0.3">
      <c r="A315" s="11" t="s">
        <v>607</v>
      </c>
      <c r="B315" s="11" t="s">
        <v>680</v>
      </c>
      <c r="C315" s="12" t="s">
        <v>681</v>
      </c>
      <c r="D315" s="13"/>
      <c r="E315" s="67" t="str">
        <f>HYPERLINK("https://www.google.ru/search?q=575203&amp;newwindow=1&amp;tbm=isch","Еще фото")</f>
        <v>Еще фото</v>
      </c>
      <c r="F315" s="14" t="s">
        <v>253</v>
      </c>
      <c r="G315" s="11" t="s">
        <v>668</v>
      </c>
      <c r="H315" s="11" t="s">
        <v>669</v>
      </c>
      <c r="I315" s="15" t="s">
        <v>668</v>
      </c>
      <c r="J315" s="15" t="s">
        <v>360</v>
      </c>
      <c r="K315" s="16" t="s">
        <v>71</v>
      </c>
      <c r="L315" s="15"/>
      <c r="M315" s="15"/>
      <c r="N315" s="15" t="s">
        <v>682</v>
      </c>
      <c r="O315" s="15"/>
      <c r="P315" s="16" t="s">
        <v>670</v>
      </c>
      <c r="Q315" s="53">
        <v>759</v>
      </c>
      <c r="R315" s="18">
        <v>33</v>
      </c>
      <c r="S315" s="26">
        <v>584.80949999999996</v>
      </c>
      <c r="T315" s="20" t="s">
        <v>75</v>
      </c>
      <c r="U315" s="21" t="s">
        <v>430</v>
      </c>
      <c r="V315" s="22" t="s">
        <v>77</v>
      </c>
      <c r="W315" s="54">
        <v>1810</v>
      </c>
      <c r="X315" s="24"/>
    </row>
    <row r="316" spans="1:24" s="1" customFormat="1" ht="108" customHeight="1" x14ac:dyDescent="0.3">
      <c r="A316" s="11" t="s">
        <v>607</v>
      </c>
      <c r="B316" s="11" t="s">
        <v>683</v>
      </c>
      <c r="C316" s="12" t="s">
        <v>684</v>
      </c>
      <c r="D316" s="13"/>
      <c r="E316" s="67" t="str">
        <f>HYPERLINK("https://www.google.ru/search?q=575383&amp;newwindow=1&amp;tbm=isch","Еще фото")</f>
        <v>Еще фото</v>
      </c>
      <c r="F316" s="14"/>
      <c r="G316" s="11" t="s">
        <v>668</v>
      </c>
      <c r="H316" s="11" t="s">
        <v>669</v>
      </c>
      <c r="I316" s="15" t="s">
        <v>668</v>
      </c>
      <c r="J316" s="15" t="s">
        <v>360</v>
      </c>
      <c r="K316" s="16" t="s">
        <v>71</v>
      </c>
      <c r="L316" s="15" t="s">
        <v>685</v>
      </c>
      <c r="M316" s="15"/>
      <c r="N316" s="15" t="s">
        <v>225</v>
      </c>
      <c r="O316" s="15"/>
      <c r="P316" s="16" t="s">
        <v>670</v>
      </c>
      <c r="Q316" s="17">
        <v>1099</v>
      </c>
      <c r="R316" s="18">
        <v>33</v>
      </c>
      <c r="S316" s="26">
        <v>846.77949999999998</v>
      </c>
      <c r="T316" s="20" t="s">
        <v>75</v>
      </c>
      <c r="U316" s="21" t="s">
        <v>430</v>
      </c>
      <c r="V316" s="22" t="s">
        <v>77</v>
      </c>
      <c r="W316" s="23">
        <v>943</v>
      </c>
      <c r="X316" s="24"/>
    </row>
    <row r="317" spans="1:24" s="1" customFormat="1" ht="108" customHeight="1" x14ac:dyDescent="0.3">
      <c r="A317" s="11" t="s">
        <v>607</v>
      </c>
      <c r="B317" s="11" t="s">
        <v>686</v>
      </c>
      <c r="C317" s="12" t="s">
        <v>687</v>
      </c>
      <c r="D317" s="13"/>
      <c r="E317" s="67" t="str">
        <f>HYPERLINK("https://www.google.ru/search?q=575703&amp;newwindow=1&amp;tbm=isch","Еще фото")</f>
        <v>Еще фото</v>
      </c>
      <c r="F317" s="55" t="s">
        <v>688</v>
      </c>
      <c r="G317" s="11" t="s">
        <v>668</v>
      </c>
      <c r="H317" s="11" t="s">
        <v>669</v>
      </c>
      <c r="I317" s="15" t="s">
        <v>668</v>
      </c>
      <c r="J317" s="15" t="s">
        <v>360</v>
      </c>
      <c r="K317" s="16" t="s">
        <v>71</v>
      </c>
      <c r="L317" s="15"/>
      <c r="M317" s="15"/>
      <c r="N317" s="15" t="s">
        <v>55</v>
      </c>
      <c r="O317" s="15"/>
      <c r="P317" s="16" t="s">
        <v>670</v>
      </c>
      <c r="Q317" s="53">
        <v>669</v>
      </c>
      <c r="R317" s="18">
        <v>33</v>
      </c>
      <c r="S317" s="26">
        <v>515.46449999999993</v>
      </c>
      <c r="T317" s="20" t="s">
        <v>75</v>
      </c>
      <c r="U317" s="21" t="s">
        <v>430</v>
      </c>
      <c r="V317" s="22" t="s">
        <v>77</v>
      </c>
      <c r="W317" s="54">
        <v>7366</v>
      </c>
      <c r="X317" s="24"/>
    </row>
    <row r="318" spans="1:24" s="1" customFormat="1" ht="108" customHeight="1" x14ac:dyDescent="0.3">
      <c r="A318" s="11" t="s">
        <v>607</v>
      </c>
      <c r="B318" s="11" t="s">
        <v>689</v>
      </c>
      <c r="C318" s="12" t="s">
        <v>690</v>
      </c>
      <c r="D318" s="13"/>
      <c r="E318" s="67" t="str">
        <f>HYPERLINK("https://www.google.ru/search?q=578433&amp;newwindow=1&amp;tbm=isch","Еще фото")</f>
        <v>Еще фото</v>
      </c>
      <c r="F318" s="14"/>
      <c r="G318" s="11" t="s">
        <v>668</v>
      </c>
      <c r="H318" s="11" t="s">
        <v>669</v>
      </c>
      <c r="I318" s="15" t="s">
        <v>668</v>
      </c>
      <c r="J318" s="15" t="s">
        <v>360</v>
      </c>
      <c r="K318" s="16" t="s">
        <v>59</v>
      </c>
      <c r="L318" s="15"/>
      <c r="M318" s="15"/>
      <c r="N318" s="15" t="s">
        <v>225</v>
      </c>
      <c r="O318" s="15"/>
      <c r="P318" s="16" t="s">
        <v>691</v>
      </c>
      <c r="Q318" s="17">
        <v>1099</v>
      </c>
      <c r="R318" s="18">
        <v>33</v>
      </c>
      <c r="S318" s="26">
        <v>846.77949999999998</v>
      </c>
      <c r="T318" s="20" t="s">
        <v>75</v>
      </c>
      <c r="U318" s="21" t="s">
        <v>430</v>
      </c>
      <c r="V318" s="22" t="s">
        <v>77</v>
      </c>
      <c r="W318" s="23">
        <v>206</v>
      </c>
      <c r="X318" s="24"/>
    </row>
    <row r="319" spans="1:24" s="1" customFormat="1" ht="108" customHeight="1" x14ac:dyDescent="0.3">
      <c r="A319" s="11" t="s">
        <v>607</v>
      </c>
      <c r="B319" s="11" t="s">
        <v>692</v>
      </c>
      <c r="C319" s="12" t="s">
        <v>693</v>
      </c>
      <c r="D319" s="13"/>
      <c r="E319" s="67" t="str">
        <f>HYPERLINK("https://www.google.ru/search?q=570703&amp;newwindow=1&amp;tbm=isch","Еще фото")</f>
        <v>Еще фото</v>
      </c>
      <c r="F319" s="14" t="s">
        <v>253</v>
      </c>
      <c r="G319" s="11" t="s">
        <v>668</v>
      </c>
      <c r="H319" s="11" t="s">
        <v>669</v>
      </c>
      <c r="I319" s="15" t="s">
        <v>668</v>
      </c>
      <c r="J319" s="15" t="s">
        <v>360</v>
      </c>
      <c r="K319" s="16" t="s">
        <v>71</v>
      </c>
      <c r="L319" s="15"/>
      <c r="M319" s="15"/>
      <c r="N319" s="15" t="s">
        <v>225</v>
      </c>
      <c r="O319" s="15"/>
      <c r="P319" s="16" t="s">
        <v>670</v>
      </c>
      <c r="Q319" s="17">
        <v>1199</v>
      </c>
      <c r="R319" s="18">
        <v>30</v>
      </c>
      <c r="S319" s="26">
        <v>965.19499999999982</v>
      </c>
      <c r="T319" s="20" t="s">
        <v>75</v>
      </c>
      <c r="U319" s="21" t="s">
        <v>430</v>
      </c>
      <c r="V319" s="22" t="s">
        <v>77</v>
      </c>
      <c r="W319" s="23">
        <v>416</v>
      </c>
      <c r="X319" s="24"/>
    </row>
    <row r="320" spans="1:24" s="1" customFormat="1" ht="108" customHeight="1" x14ac:dyDescent="0.3">
      <c r="A320" s="11" t="s">
        <v>607</v>
      </c>
      <c r="B320" s="11" t="s">
        <v>694</v>
      </c>
      <c r="C320" s="12" t="s">
        <v>695</v>
      </c>
      <c r="D320" s="13"/>
      <c r="E320" s="67" t="str">
        <f>HYPERLINK("https://www.google.ru/search?q=570704&amp;newwindow=1&amp;tbm=isch","Еще фото")</f>
        <v>Еще фото</v>
      </c>
      <c r="F320" s="14"/>
      <c r="G320" s="11" t="s">
        <v>668</v>
      </c>
      <c r="H320" s="11" t="s">
        <v>669</v>
      </c>
      <c r="I320" s="15" t="s">
        <v>668</v>
      </c>
      <c r="J320" s="15" t="s">
        <v>360</v>
      </c>
      <c r="K320" s="16" t="s">
        <v>71</v>
      </c>
      <c r="L320" s="15"/>
      <c r="M320" s="15"/>
      <c r="N320" s="15" t="s">
        <v>225</v>
      </c>
      <c r="O320" s="15"/>
      <c r="P320" s="16" t="s">
        <v>670</v>
      </c>
      <c r="Q320" s="17">
        <v>1599</v>
      </c>
      <c r="R320" s="18">
        <v>30</v>
      </c>
      <c r="S320" s="19">
        <v>1287.1949999999999</v>
      </c>
      <c r="T320" s="20" t="s">
        <v>75</v>
      </c>
      <c r="U320" s="21" t="s">
        <v>430</v>
      </c>
      <c r="V320" s="22" t="s">
        <v>77</v>
      </c>
      <c r="W320" s="23">
        <v>302</v>
      </c>
      <c r="X320" s="24"/>
    </row>
    <row r="321" spans="1:24" s="1" customFormat="1" ht="108" customHeight="1" x14ac:dyDescent="0.3">
      <c r="A321" s="11" t="s">
        <v>607</v>
      </c>
      <c r="B321" s="11" t="s">
        <v>696</v>
      </c>
      <c r="C321" s="12" t="s">
        <v>697</v>
      </c>
      <c r="D321" s="13"/>
      <c r="E321" s="67" t="str">
        <f>HYPERLINK("https://www.google.ru/search?q=570824&amp;newwindow=1&amp;tbm=isch","Еще фото")</f>
        <v>Еще фото</v>
      </c>
      <c r="F321" s="14" t="s">
        <v>253</v>
      </c>
      <c r="G321" s="11" t="s">
        <v>668</v>
      </c>
      <c r="H321" s="11" t="s">
        <v>669</v>
      </c>
      <c r="I321" s="15" t="s">
        <v>668</v>
      </c>
      <c r="J321" s="15" t="s">
        <v>360</v>
      </c>
      <c r="K321" s="16" t="s">
        <v>71</v>
      </c>
      <c r="L321" s="15"/>
      <c r="M321" s="15"/>
      <c r="N321" s="15" t="s">
        <v>225</v>
      </c>
      <c r="O321" s="15"/>
      <c r="P321" s="16" t="s">
        <v>670</v>
      </c>
      <c r="Q321" s="17">
        <v>1599</v>
      </c>
      <c r="R321" s="18">
        <v>30</v>
      </c>
      <c r="S321" s="19">
        <v>1287.1949999999999</v>
      </c>
      <c r="T321" s="20" t="s">
        <v>75</v>
      </c>
      <c r="U321" s="21" t="s">
        <v>430</v>
      </c>
      <c r="V321" s="22" t="s">
        <v>77</v>
      </c>
      <c r="W321" s="23">
        <v>367</v>
      </c>
      <c r="X321" s="24"/>
    </row>
    <row r="322" spans="1:24" s="1" customFormat="1" ht="108" customHeight="1" x14ac:dyDescent="0.3">
      <c r="A322" s="11" t="s">
        <v>607</v>
      </c>
      <c r="B322" s="11" t="s">
        <v>698</v>
      </c>
      <c r="C322" s="12" t="s">
        <v>699</v>
      </c>
      <c r="D322" s="13"/>
      <c r="E322" s="67" t="str">
        <f>HYPERLINK("https://www.google.ru/search?q=571603&amp;newwindow=1&amp;tbm=isch","Еще фото")</f>
        <v>Еще фото</v>
      </c>
      <c r="F322" s="14" t="s">
        <v>253</v>
      </c>
      <c r="G322" s="11" t="s">
        <v>668</v>
      </c>
      <c r="H322" s="11" t="s">
        <v>669</v>
      </c>
      <c r="I322" s="15" t="s">
        <v>668</v>
      </c>
      <c r="J322" s="15" t="s">
        <v>360</v>
      </c>
      <c r="K322" s="16" t="s">
        <v>71</v>
      </c>
      <c r="L322" s="15"/>
      <c r="M322" s="15"/>
      <c r="N322" s="15" t="s">
        <v>682</v>
      </c>
      <c r="O322" s="15"/>
      <c r="P322" s="16" t="s">
        <v>670</v>
      </c>
      <c r="Q322" s="53">
        <v>999</v>
      </c>
      <c r="R322" s="18">
        <v>30</v>
      </c>
      <c r="S322" s="26">
        <v>804.19499999999994</v>
      </c>
      <c r="T322" s="20" t="s">
        <v>75</v>
      </c>
      <c r="U322" s="21" t="s">
        <v>430</v>
      </c>
      <c r="V322" s="22" t="s">
        <v>77</v>
      </c>
      <c r="W322" s="23">
        <v>842</v>
      </c>
      <c r="X322" s="24"/>
    </row>
    <row r="323" spans="1:24" s="1" customFormat="1" ht="108" customHeight="1" x14ac:dyDescent="0.3">
      <c r="A323" s="11" t="s">
        <v>607</v>
      </c>
      <c r="B323" s="11" t="s">
        <v>700</v>
      </c>
      <c r="C323" s="12" t="s">
        <v>701</v>
      </c>
      <c r="D323" s="13"/>
      <c r="E323" s="67" t="str">
        <f>HYPERLINK("https://www.google.ru/search?q=578270&amp;newwindow=1&amp;tbm=isch","Еще фото")</f>
        <v>Еще фото</v>
      </c>
      <c r="F323" s="14"/>
      <c r="G323" s="11" t="s">
        <v>702</v>
      </c>
      <c r="H323" s="11" t="s">
        <v>669</v>
      </c>
      <c r="I323" s="15" t="s">
        <v>668</v>
      </c>
      <c r="J323" s="15" t="s">
        <v>360</v>
      </c>
      <c r="K323" s="16" t="s">
        <v>59</v>
      </c>
      <c r="L323" s="15"/>
      <c r="M323" s="15"/>
      <c r="N323" s="15" t="s">
        <v>55</v>
      </c>
      <c r="O323" s="15"/>
      <c r="P323" s="16" t="s">
        <v>670</v>
      </c>
      <c r="Q323" s="17">
        <v>19600</v>
      </c>
      <c r="R323" s="18">
        <v>30</v>
      </c>
      <c r="S323" s="19">
        <v>15777.999999999998</v>
      </c>
      <c r="T323" s="20" t="s">
        <v>75</v>
      </c>
      <c r="U323" s="21" t="s">
        <v>430</v>
      </c>
      <c r="V323" s="22" t="s">
        <v>77</v>
      </c>
      <c r="W323" s="23">
        <v>1</v>
      </c>
      <c r="X323" s="24"/>
    </row>
    <row r="324" spans="1:24" s="1" customFormat="1" ht="108" customHeight="1" x14ac:dyDescent="0.3">
      <c r="A324" s="11" t="s">
        <v>607</v>
      </c>
      <c r="B324" s="11" t="s">
        <v>703</v>
      </c>
      <c r="C324" s="12" t="s">
        <v>704</v>
      </c>
      <c r="D324" s="13"/>
      <c r="E324" s="67" t="str">
        <f>HYPERLINK("https://www.google.ru/search?q=578413&amp;newwindow=1&amp;tbm=isch","Еще фото")</f>
        <v>Еще фото</v>
      </c>
      <c r="F324" s="14"/>
      <c r="G324" s="11" t="s">
        <v>668</v>
      </c>
      <c r="H324" s="11" t="s">
        <v>669</v>
      </c>
      <c r="I324" s="15" t="s">
        <v>668</v>
      </c>
      <c r="J324" s="15" t="s">
        <v>360</v>
      </c>
      <c r="K324" s="16" t="s">
        <v>59</v>
      </c>
      <c r="L324" s="15"/>
      <c r="M324" s="15"/>
      <c r="N324" s="15" t="s">
        <v>225</v>
      </c>
      <c r="O324" s="15"/>
      <c r="P324" s="16" t="s">
        <v>691</v>
      </c>
      <c r="Q324" s="53">
        <v>899</v>
      </c>
      <c r="R324" s="18">
        <v>30</v>
      </c>
      <c r="S324" s="26">
        <v>723.69499999999994</v>
      </c>
      <c r="T324" s="20" t="s">
        <v>75</v>
      </c>
      <c r="U324" s="21" t="s">
        <v>430</v>
      </c>
      <c r="V324" s="22" t="s">
        <v>77</v>
      </c>
      <c r="W324" s="23">
        <v>279</v>
      </c>
      <c r="X324" s="24"/>
    </row>
    <row r="325" spans="1:24" s="1" customFormat="1" ht="108" customHeight="1" x14ac:dyDescent="0.3">
      <c r="A325" s="11" t="s">
        <v>607</v>
      </c>
      <c r="B325" s="11" t="s">
        <v>705</v>
      </c>
      <c r="C325" s="12" t="s">
        <v>706</v>
      </c>
      <c r="D325" s="13"/>
      <c r="E325" s="67" t="str">
        <f>HYPERLINK("https://www.google.ru/search?q=578420&amp;newwindow=1&amp;tbm=isch","Еще фото")</f>
        <v>Еще фото</v>
      </c>
      <c r="F325" s="14"/>
      <c r="G325" s="11" t="s">
        <v>668</v>
      </c>
      <c r="H325" s="11" t="s">
        <v>669</v>
      </c>
      <c r="I325" s="15" t="s">
        <v>668</v>
      </c>
      <c r="J325" s="15" t="s">
        <v>360</v>
      </c>
      <c r="K325" s="16" t="s">
        <v>59</v>
      </c>
      <c r="L325" s="15" t="s">
        <v>707</v>
      </c>
      <c r="M325" s="15"/>
      <c r="N325" s="15" t="s">
        <v>55</v>
      </c>
      <c r="O325" s="15"/>
      <c r="P325" s="16" t="s">
        <v>691</v>
      </c>
      <c r="Q325" s="17">
        <v>19490</v>
      </c>
      <c r="R325" s="18">
        <v>30</v>
      </c>
      <c r="S325" s="19">
        <v>15689.449999999999</v>
      </c>
      <c r="T325" s="20" t="s">
        <v>75</v>
      </c>
      <c r="U325" s="21" t="s">
        <v>430</v>
      </c>
      <c r="V325" s="22" t="s">
        <v>77</v>
      </c>
      <c r="W325" s="23">
        <v>3</v>
      </c>
      <c r="X325" s="24"/>
    </row>
    <row r="326" spans="1:24" s="1" customFormat="1" ht="108" customHeight="1" x14ac:dyDescent="0.3">
      <c r="A326" s="11" t="s">
        <v>607</v>
      </c>
      <c r="B326" s="11" t="s">
        <v>708</v>
      </c>
      <c r="C326" s="12" t="s">
        <v>709</v>
      </c>
      <c r="D326" s="13"/>
      <c r="E326" s="67" t="str">
        <f>HYPERLINK("https://www.google.ru/search?q=578423&amp;newwindow=1&amp;tbm=isch","Еще фото")</f>
        <v>Еще фото</v>
      </c>
      <c r="F326" s="14" t="s">
        <v>253</v>
      </c>
      <c r="G326" s="11" t="s">
        <v>668</v>
      </c>
      <c r="H326" s="11" t="s">
        <v>669</v>
      </c>
      <c r="I326" s="15" t="s">
        <v>668</v>
      </c>
      <c r="J326" s="15" t="s">
        <v>360</v>
      </c>
      <c r="K326" s="16" t="s">
        <v>59</v>
      </c>
      <c r="L326" s="15"/>
      <c r="M326" s="15"/>
      <c r="N326" s="15" t="s">
        <v>225</v>
      </c>
      <c r="O326" s="15"/>
      <c r="P326" s="16" t="s">
        <v>670</v>
      </c>
      <c r="Q326" s="53">
        <v>899</v>
      </c>
      <c r="R326" s="18">
        <v>30</v>
      </c>
      <c r="S326" s="26">
        <v>723.69499999999994</v>
      </c>
      <c r="T326" s="20" t="s">
        <v>75</v>
      </c>
      <c r="U326" s="21" t="s">
        <v>430</v>
      </c>
      <c r="V326" s="22" t="s">
        <v>77</v>
      </c>
      <c r="W326" s="23">
        <v>669</v>
      </c>
      <c r="X326" s="24"/>
    </row>
    <row r="327" spans="1:24" s="1" customFormat="1" ht="35" customHeight="1" x14ac:dyDescent="0.3">
      <c r="A327" s="11" t="s">
        <v>607</v>
      </c>
      <c r="B327" s="11" t="s">
        <v>710</v>
      </c>
      <c r="C327" s="12" t="s">
        <v>711</v>
      </c>
      <c r="D327" s="85"/>
      <c r="E327" s="67" t="str">
        <f>HYPERLINK("https://www.google.ru/search?q=816955-WH&amp;newwindow=1&amp;tbm=isch","Еще фото")</f>
        <v>Еще фото</v>
      </c>
      <c r="F327" s="14"/>
      <c r="G327" s="11" t="s">
        <v>712</v>
      </c>
      <c r="H327" s="11" t="s">
        <v>69</v>
      </c>
      <c r="I327" s="15" t="s">
        <v>713</v>
      </c>
      <c r="J327" s="15" t="s">
        <v>360</v>
      </c>
      <c r="K327" s="16" t="s">
        <v>59</v>
      </c>
      <c r="L327" s="83" t="s">
        <v>714</v>
      </c>
      <c r="M327" s="15"/>
      <c r="N327" s="15" t="s">
        <v>173</v>
      </c>
      <c r="O327" s="15"/>
      <c r="P327" s="16" t="s">
        <v>715</v>
      </c>
      <c r="Q327" s="17">
        <v>1299</v>
      </c>
      <c r="R327" s="18">
        <v>52.44</v>
      </c>
      <c r="S327" s="26">
        <v>710.43549999999993</v>
      </c>
      <c r="T327" s="20" t="s">
        <v>99</v>
      </c>
      <c r="U327" s="21" t="s">
        <v>716</v>
      </c>
      <c r="V327" s="22" t="s">
        <v>716</v>
      </c>
      <c r="W327" s="23">
        <v>6</v>
      </c>
      <c r="X327" s="24"/>
    </row>
    <row r="328" spans="1:24" s="1" customFormat="1" ht="35" customHeight="1" x14ac:dyDescent="0.3">
      <c r="A328" s="25" t="s">
        <v>607</v>
      </c>
      <c r="B328" s="25" t="s">
        <v>710</v>
      </c>
      <c r="C328" s="12" t="s">
        <v>711</v>
      </c>
      <c r="D328" s="86"/>
      <c r="E328" s="67" t="str">
        <f>HYPERLINK("https://www.google.ru/search?q=816955-WH&amp;newwindow=1&amp;tbm=isch","Еще фото")</f>
        <v>Еще фото</v>
      </c>
      <c r="F328" s="14"/>
      <c r="G328" s="25" t="s">
        <v>712</v>
      </c>
      <c r="H328" s="25" t="s">
        <v>69</v>
      </c>
      <c r="I328" s="25" t="s">
        <v>713</v>
      </c>
      <c r="J328" s="15" t="s">
        <v>360</v>
      </c>
      <c r="K328" s="16" t="s">
        <v>59</v>
      </c>
      <c r="L328" s="88"/>
      <c r="M328" s="15"/>
      <c r="N328" s="15" t="s">
        <v>173</v>
      </c>
      <c r="O328" s="15"/>
      <c r="P328" s="16" t="s">
        <v>715</v>
      </c>
      <c r="Q328" s="17">
        <v>1299</v>
      </c>
      <c r="R328" s="18">
        <v>52.44</v>
      </c>
      <c r="S328" s="26">
        <v>710.43549999999993</v>
      </c>
      <c r="T328" s="20" t="s">
        <v>99</v>
      </c>
      <c r="U328" s="21" t="s">
        <v>717</v>
      </c>
      <c r="V328" s="22" t="s">
        <v>717</v>
      </c>
      <c r="W328" s="23">
        <v>23</v>
      </c>
      <c r="X328" s="24"/>
    </row>
    <row r="329" spans="1:24" s="1" customFormat="1" ht="37.049999999999997" customHeight="1" x14ac:dyDescent="0.3">
      <c r="A329" s="25" t="s">
        <v>607</v>
      </c>
      <c r="B329" s="25" t="s">
        <v>710</v>
      </c>
      <c r="C329" s="12" t="s">
        <v>711</v>
      </c>
      <c r="D329" s="87"/>
      <c r="E329" s="67" t="str">
        <f>HYPERLINK("https://www.google.ru/search?q=816955-WH&amp;newwindow=1&amp;tbm=isch","Еще фото")</f>
        <v>Еще фото</v>
      </c>
      <c r="F329" s="14"/>
      <c r="G329" s="25" t="s">
        <v>712</v>
      </c>
      <c r="H329" s="25" t="s">
        <v>69</v>
      </c>
      <c r="I329" s="25" t="s">
        <v>713</v>
      </c>
      <c r="J329" s="15" t="s">
        <v>360</v>
      </c>
      <c r="K329" s="16" t="s">
        <v>59</v>
      </c>
      <c r="L329" s="84"/>
      <c r="M329" s="15"/>
      <c r="N329" s="15" t="s">
        <v>173</v>
      </c>
      <c r="O329" s="15"/>
      <c r="P329" s="16" t="s">
        <v>715</v>
      </c>
      <c r="Q329" s="17">
        <v>1299</v>
      </c>
      <c r="R329" s="18">
        <v>52.44</v>
      </c>
      <c r="S329" s="26">
        <v>710.43549999999993</v>
      </c>
      <c r="T329" s="20" t="s">
        <v>99</v>
      </c>
      <c r="U329" s="21" t="s">
        <v>718</v>
      </c>
      <c r="V329" s="22" t="s">
        <v>718</v>
      </c>
      <c r="W329" s="23">
        <v>8</v>
      </c>
      <c r="X329" s="24"/>
    </row>
    <row r="330" spans="1:24" s="1" customFormat="1" ht="108" customHeight="1" x14ac:dyDescent="0.3">
      <c r="A330" s="11" t="s">
        <v>607</v>
      </c>
      <c r="B330" s="11" t="s">
        <v>719</v>
      </c>
      <c r="C330" s="12" t="s">
        <v>720</v>
      </c>
      <c r="D330" s="13"/>
      <c r="E330" s="67" t="str">
        <f>HYPERLINK("https://www.google.ru/search?q=816131-WH&amp;newwindow=1&amp;tbm=isch","Еще фото")</f>
        <v>Еще фото</v>
      </c>
      <c r="F330" s="14"/>
      <c r="G330" s="11" t="s">
        <v>712</v>
      </c>
      <c r="H330" s="11" t="s">
        <v>69</v>
      </c>
      <c r="I330" s="15" t="s">
        <v>713</v>
      </c>
      <c r="J330" s="15" t="s">
        <v>360</v>
      </c>
      <c r="K330" s="16" t="s">
        <v>59</v>
      </c>
      <c r="L330" s="15" t="s">
        <v>721</v>
      </c>
      <c r="M330" s="15"/>
      <c r="N330" s="15" t="s">
        <v>173</v>
      </c>
      <c r="O330" s="15"/>
      <c r="P330" s="16" t="s">
        <v>722</v>
      </c>
      <c r="Q330" s="17">
        <v>1499</v>
      </c>
      <c r="R330" s="18">
        <v>48.78</v>
      </c>
      <c r="S330" s="26">
        <v>882.93549999999993</v>
      </c>
      <c r="T330" s="20" t="s">
        <v>99</v>
      </c>
      <c r="U330" s="21" t="s">
        <v>716</v>
      </c>
      <c r="V330" s="22" t="s">
        <v>716</v>
      </c>
      <c r="W330" s="23">
        <v>5</v>
      </c>
      <c r="X330" s="24"/>
    </row>
    <row r="331" spans="1:24" s="1" customFormat="1" ht="52.05" customHeight="1" x14ac:dyDescent="0.3">
      <c r="A331" s="11" t="s">
        <v>607</v>
      </c>
      <c r="B331" s="11" t="s">
        <v>710</v>
      </c>
      <c r="C331" s="12" t="s">
        <v>723</v>
      </c>
      <c r="D331" s="81"/>
      <c r="E331" s="67" t="str">
        <f>HYPERLINK("https://www.google.ru/search?q=816955-BK&amp;newwindow=1&amp;tbm=isch","Еще фото")</f>
        <v>Еще фото</v>
      </c>
      <c r="F331" s="14"/>
      <c r="G331" s="11" t="s">
        <v>712</v>
      </c>
      <c r="H331" s="11" t="s">
        <v>69</v>
      </c>
      <c r="I331" s="15" t="s">
        <v>713</v>
      </c>
      <c r="J331" s="15" t="s">
        <v>360</v>
      </c>
      <c r="K331" s="16" t="s">
        <v>59</v>
      </c>
      <c r="L331" s="83" t="s">
        <v>714</v>
      </c>
      <c r="M331" s="15"/>
      <c r="N331" s="15" t="s">
        <v>38</v>
      </c>
      <c r="O331" s="15"/>
      <c r="P331" s="16" t="s">
        <v>715</v>
      </c>
      <c r="Q331" s="17">
        <v>1299</v>
      </c>
      <c r="R331" s="18">
        <v>33</v>
      </c>
      <c r="S331" s="26">
        <v>1000.8795</v>
      </c>
      <c r="T331" s="20" t="s">
        <v>99</v>
      </c>
      <c r="U331" s="21" t="s">
        <v>717</v>
      </c>
      <c r="V331" s="22" t="s">
        <v>717</v>
      </c>
      <c r="W331" s="23">
        <v>12</v>
      </c>
      <c r="X331" s="24"/>
    </row>
    <row r="332" spans="1:24" s="1" customFormat="1" ht="61.05" customHeight="1" x14ac:dyDescent="0.3">
      <c r="A332" s="25" t="s">
        <v>607</v>
      </c>
      <c r="B332" s="25" t="s">
        <v>710</v>
      </c>
      <c r="C332" s="12" t="s">
        <v>723</v>
      </c>
      <c r="D332" s="82"/>
      <c r="E332" s="67" t="str">
        <f>HYPERLINK("https://www.google.ru/search?q=816955-BK&amp;newwindow=1&amp;tbm=isch","Еще фото")</f>
        <v>Еще фото</v>
      </c>
      <c r="F332" s="14"/>
      <c r="G332" s="25" t="s">
        <v>712</v>
      </c>
      <c r="H332" s="25" t="s">
        <v>69</v>
      </c>
      <c r="I332" s="25" t="s">
        <v>713</v>
      </c>
      <c r="J332" s="15" t="s">
        <v>360</v>
      </c>
      <c r="K332" s="16" t="s">
        <v>59</v>
      </c>
      <c r="L332" s="84"/>
      <c r="M332" s="15"/>
      <c r="N332" s="15" t="s">
        <v>38</v>
      </c>
      <c r="O332" s="15"/>
      <c r="P332" s="16" t="s">
        <v>715</v>
      </c>
      <c r="Q332" s="17">
        <v>1299</v>
      </c>
      <c r="R332" s="18">
        <v>33</v>
      </c>
      <c r="S332" s="26">
        <v>1000.8795</v>
      </c>
      <c r="T332" s="20" t="s">
        <v>99</v>
      </c>
      <c r="U332" s="21" t="s">
        <v>718</v>
      </c>
      <c r="V332" s="22" t="s">
        <v>718</v>
      </c>
      <c r="W332" s="23">
        <v>18</v>
      </c>
      <c r="X332" s="24"/>
    </row>
    <row r="333" spans="1:24" s="1" customFormat="1" ht="52.05" customHeight="1" x14ac:dyDescent="0.3">
      <c r="A333" s="11" t="s">
        <v>607</v>
      </c>
      <c r="B333" s="11" t="s">
        <v>724</v>
      </c>
      <c r="C333" s="12" t="s">
        <v>725</v>
      </c>
      <c r="D333" s="81"/>
      <c r="E333" s="67" t="str">
        <f>HYPERLINK("https://www.google.ru/search?q=811555-BK&amp;newwindow=1&amp;tbm=isch","Еще фото")</f>
        <v>Еще фото</v>
      </c>
      <c r="F333" s="14"/>
      <c r="G333" s="11" t="s">
        <v>726</v>
      </c>
      <c r="H333" s="11" t="s">
        <v>69</v>
      </c>
      <c r="I333" s="15" t="s">
        <v>713</v>
      </c>
      <c r="J333" s="15" t="s">
        <v>360</v>
      </c>
      <c r="K333" s="16" t="s">
        <v>71</v>
      </c>
      <c r="L333" s="83" t="s">
        <v>727</v>
      </c>
      <c r="M333" s="15"/>
      <c r="N333" s="15" t="s">
        <v>38</v>
      </c>
      <c r="O333" s="15"/>
      <c r="P333" s="16" t="s">
        <v>728</v>
      </c>
      <c r="Q333" s="17">
        <v>1699</v>
      </c>
      <c r="R333" s="18">
        <v>30</v>
      </c>
      <c r="S333" s="19">
        <v>1367.6949999999999</v>
      </c>
      <c r="T333" s="20" t="s">
        <v>99</v>
      </c>
      <c r="U333" s="21" t="s">
        <v>729</v>
      </c>
      <c r="V333" s="22" t="s">
        <v>729</v>
      </c>
      <c r="W333" s="23">
        <v>9</v>
      </c>
      <c r="X333" s="24"/>
    </row>
    <row r="334" spans="1:24" s="1" customFormat="1" ht="61.05" customHeight="1" x14ac:dyDescent="0.3">
      <c r="A334" s="25" t="s">
        <v>607</v>
      </c>
      <c r="B334" s="25" t="s">
        <v>724</v>
      </c>
      <c r="C334" s="12" t="s">
        <v>725</v>
      </c>
      <c r="D334" s="82"/>
      <c r="E334" s="67" t="str">
        <f>HYPERLINK("https://www.google.ru/search?q=811555-BK&amp;newwindow=1&amp;tbm=isch","Еще фото")</f>
        <v>Еще фото</v>
      </c>
      <c r="F334" s="14"/>
      <c r="G334" s="25" t="s">
        <v>726</v>
      </c>
      <c r="H334" s="25" t="s">
        <v>69</v>
      </c>
      <c r="I334" s="25" t="s">
        <v>713</v>
      </c>
      <c r="J334" s="15" t="s">
        <v>360</v>
      </c>
      <c r="K334" s="16" t="s">
        <v>71</v>
      </c>
      <c r="L334" s="84"/>
      <c r="M334" s="15"/>
      <c r="N334" s="15" t="s">
        <v>38</v>
      </c>
      <c r="O334" s="15"/>
      <c r="P334" s="16" t="s">
        <v>728</v>
      </c>
      <c r="Q334" s="17">
        <v>1699</v>
      </c>
      <c r="R334" s="18">
        <v>30</v>
      </c>
      <c r="S334" s="19">
        <v>1367.6949999999999</v>
      </c>
      <c r="T334" s="20" t="s">
        <v>99</v>
      </c>
      <c r="U334" s="21" t="s">
        <v>730</v>
      </c>
      <c r="V334" s="22" t="s">
        <v>730</v>
      </c>
      <c r="W334" s="23">
        <v>9</v>
      </c>
      <c r="X334" s="24"/>
    </row>
    <row r="335" spans="1:24" s="1" customFormat="1" ht="35" customHeight="1" x14ac:dyDescent="0.3">
      <c r="A335" s="11" t="s">
        <v>607</v>
      </c>
      <c r="B335" s="11" t="s">
        <v>724</v>
      </c>
      <c r="C335" s="12" t="s">
        <v>731</v>
      </c>
      <c r="D335" s="85"/>
      <c r="E335" s="67" t="str">
        <f>HYPERLINK("https://www.google.ru/search?q=811555-WH&amp;newwindow=1&amp;tbm=isch","Еще фото")</f>
        <v>Еще фото</v>
      </c>
      <c r="F335" s="14"/>
      <c r="G335" s="11" t="s">
        <v>726</v>
      </c>
      <c r="H335" s="11" t="s">
        <v>69</v>
      </c>
      <c r="I335" s="15" t="s">
        <v>713</v>
      </c>
      <c r="J335" s="15" t="s">
        <v>360</v>
      </c>
      <c r="K335" s="16" t="s">
        <v>71</v>
      </c>
      <c r="L335" s="83" t="s">
        <v>727</v>
      </c>
      <c r="M335" s="15"/>
      <c r="N335" s="15" t="s">
        <v>173</v>
      </c>
      <c r="O335" s="15"/>
      <c r="P335" s="16" t="s">
        <v>728</v>
      </c>
      <c r="Q335" s="17">
        <v>1699</v>
      </c>
      <c r="R335" s="18">
        <v>30</v>
      </c>
      <c r="S335" s="19">
        <v>1367.6949999999999</v>
      </c>
      <c r="T335" s="20" t="s">
        <v>99</v>
      </c>
      <c r="U335" s="21" t="s">
        <v>729</v>
      </c>
      <c r="V335" s="22" t="s">
        <v>729</v>
      </c>
      <c r="W335" s="23">
        <v>1</v>
      </c>
      <c r="X335" s="24"/>
    </row>
    <row r="336" spans="1:24" s="1" customFormat="1" ht="35" customHeight="1" x14ac:dyDescent="0.3">
      <c r="A336" s="25" t="s">
        <v>607</v>
      </c>
      <c r="B336" s="25" t="s">
        <v>724</v>
      </c>
      <c r="C336" s="12" t="s">
        <v>731</v>
      </c>
      <c r="D336" s="86"/>
      <c r="E336" s="67" t="str">
        <f>HYPERLINK("https://www.google.ru/search?q=811555-WH&amp;newwindow=1&amp;tbm=isch","Еще фото")</f>
        <v>Еще фото</v>
      </c>
      <c r="F336" s="14"/>
      <c r="G336" s="25" t="s">
        <v>726</v>
      </c>
      <c r="H336" s="25" t="s">
        <v>69</v>
      </c>
      <c r="I336" s="25" t="s">
        <v>713</v>
      </c>
      <c r="J336" s="15" t="s">
        <v>360</v>
      </c>
      <c r="K336" s="16" t="s">
        <v>71</v>
      </c>
      <c r="L336" s="88"/>
      <c r="M336" s="15"/>
      <c r="N336" s="15" t="s">
        <v>173</v>
      </c>
      <c r="O336" s="15"/>
      <c r="P336" s="16" t="s">
        <v>728</v>
      </c>
      <c r="Q336" s="17">
        <v>1699</v>
      </c>
      <c r="R336" s="18">
        <v>30</v>
      </c>
      <c r="S336" s="19">
        <v>1367.6949999999999</v>
      </c>
      <c r="T336" s="20" t="s">
        <v>99</v>
      </c>
      <c r="U336" s="21" t="s">
        <v>730</v>
      </c>
      <c r="V336" s="22" t="s">
        <v>730</v>
      </c>
      <c r="W336" s="23">
        <v>3</v>
      </c>
      <c r="X336" s="24"/>
    </row>
    <row r="337" spans="1:24" s="1" customFormat="1" ht="37.049999999999997" customHeight="1" x14ac:dyDescent="0.3">
      <c r="A337" s="25" t="s">
        <v>607</v>
      </c>
      <c r="B337" s="25" t="s">
        <v>724</v>
      </c>
      <c r="C337" s="12" t="s">
        <v>731</v>
      </c>
      <c r="D337" s="87"/>
      <c r="E337" s="67" t="str">
        <f>HYPERLINK("https://www.google.ru/search?q=811555-WH&amp;newwindow=1&amp;tbm=isch","Еще фото")</f>
        <v>Еще фото</v>
      </c>
      <c r="F337" s="14"/>
      <c r="G337" s="25" t="s">
        <v>726</v>
      </c>
      <c r="H337" s="25" t="s">
        <v>69</v>
      </c>
      <c r="I337" s="25" t="s">
        <v>713</v>
      </c>
      <c r="J337" s="15" t="s">
        <v>360</v>
      </c>
      <c r="K337" s="16" t="s">
        <v>71</v>
      </c>
      <c r="L337" s="84"/>
      <c r="M337" s="15"/>
      <c r="N337" s="15" t="s">
        <v>173</v>
      </c>
      <c r="O337" s="15"/>
      <c r="P337" s="16" t="s">
        <v>728</v>
      </c>
      <c r="Q337" s="17">
        <v>1699</v>
      </c>
      <c r="R337" s="18">
        <v>30</v>
      </c>
      <c r="S337" s="19">
        <v>1367.6949999999999</v>
      </c>
      <c r="T337" s="20" t="s">
        <v>99</v>
      </c>
      <c r="U337" s="21" t="s">
        <v>732</v>
      </c>
      <c r="V337" s="22" t="s">
        <v>732</v>
      </c>
      <c r="W337" s="23">
        <v>7</v>
      </c>
      <c r="X337" s="24"/>
    </row>
    <row r="338" spans="1:24" s="1" customFormat="1" ht="52.05" customHeight="1" x14ac:dyDescent="0.3">
      <c r="A338" s="11" t="s">
        <v>607</v>
      </c>
      <c r="B338" s="11" t="s">
        <v>733</v>
      </c>
      <c r="C338" s="12" t="s">
        <v>734</v>
      </c>
      <c r="D338" s="81"/>
      <c r="E338" s="67" t="str">
        <f>HYPERLINK("https://www.google.ru/search?q=811565-BK&amp;newwindow=1&amp;tbm=isch","Еще фото")</f>
        <v>Еще фото</v>
      </c>
      <c r="F338" s="14"/>
      <c r="G338" s="11" t="s">
        <v>726</v>
      </c>
      <c r="H338" s="11" t="s">
        <v>69</v>
      </c>
      <c r="I338" s="15" t="s">
        <v>713</v>
      </c>
      <c r="J338" s="15" t="s">
        <v>360</v>
      </c>
      <c r="K338" s="16" t="s">
        <v>71</v>
      </c>
      <c r="L338" s="83" t="s">
        <v>735</v>
      </c>
      <c r="M338" s="15"/>
      <c r="N338" s="15" t="s">
        <v>38</v>
      </c>
      <c r="O338" s="15"/>
      <c r="P338" s="16" t="s">
        <v>736</v>
      </c>
      <c r="Q338" s="17">
        <v>1699</v>
      </c>
      <c r="R338" s="18">
        <v>30</v>
      </c>
      <c r="S338" s="19">
        <v>1367.6949999999999</v>
      </c>
      <c r="T338" s="20" t="s">
        <v>99</v>
      </c>
      <c r="U338" s="21" t="s">
        <v>729</v>
      </c>
      <c r="V338" s="22" t="s">
        <v>729</v>
      </c>
      <c r="W338" s="23">
        <v>5</v>
      </c>
      <c r="X338" s="24"/>
    </row>
    <row r="339" spans="1:24" s="1" customFormat="1" ht="61.05" customHeight="1" x14ac:dyDescent="0.3">
      <c r="A339" s="25" t="s">
        <v>607</v>
      </c>
      <c r="B339" s="25" t="s">
        <v>733</v>
      </c>
      <c r="C339" s="12" t="s">
        <v>734</v>
      </c>
      <c r="D339" s="82"/>
      <c r="E339" s="67" t="str">
        <f>HYPERLINK("https://www.google.ru/search?q=811565-BK&amp;newwindow=1&amp;tbm=isch","Еще фото")</f>
        <v>Еще фото</v>
      </c>
      <c r="F339" s="14"/>
      <c r="G339" s="25" t="s">
        <v>726</v>
      </c>
      <c r="H339" s="25" t="s">
        <v>69</v>
      </c>
      <c r="I339" s="25" t="s">
        <v>713</v>
      </c>
      <c r="J339" s="15" t="s">
        <v>360</v>
      </c>
      <c r="K339" s="16" t="s">
        <v>71</v>
      </c>
      <c r="L339" s="84"/>
      <c r="M339" s="15"/>
      <c r="N339" s="15" t="s">
        <v>38</v>
      </c>
      <c r="O339" s="15"/>
      <c r="P339" s="16" t="s">
        <v>736</v>
      </c>
      <c r="Q339" s="17">
        <v>1699</v>
      </c>
      <c r="R339" s="18">
        <v>30</v>
      </c>
      <c r="S339" s="19">
        <v>1367.6949999999999</v>
      </c>
      <c r="T339" s="20" t="s">
        <v>99</v>
      </c>
      <c r="U339" s="21" t="s">
        <v>730</v>
      </c>
      <c r="V339" s="22" t="s">
        <v>730</v>
      </c>
      <c r="W339" s="23">
        <v>13</v>
      </c>
      <c r="X339" s="24"/>
    </row>
    <row r="340" spans="1:24" s="1" customFormat="1" ht="35" customHeight="1" x14ac:dyDescent="0.3">
      <c r="A340" s="11" t="s">
        <v>607</v>
      </c>
      <c r="B340" s="11" t="s">
        <v>733</v>
      </c>
      <c r="C340" s="12" t="s">
        <v>737</v>
      </c>
      <c r="D340" s="85"/>
      <c r="E340" s="67" t="str">
        <f>HYPERLINK("https://www.google.ru/search?q=811565-WH&amp;newwindow=1&amp;tbm=isch","Еще фото")</f>
        <v>Еще фото</v>
      </c>
      <c r="F340" s="14"/>
      <c r="G340" s="11" t="s">
        <v>726</v>
      </c>
      <c r="H340" s="11" t="s">
        <v>69</v>
      </c>
      <c r="I340" s="15" t="s">
        <v>713</v>
      </c>
      <c r="J340" s="15" t="s">
        <v>360</v>
      </c>
      <c r="K340" s="16" t="s">
        <v>71</v>
      </c>
      <c r="L340" s="83" t="s">
        <v>735</v>
      </c>
      <c r="M340" s="15"/>
      <c r="N340" s="15" t="s">
        <v>173</v>
      </c>
      <c r="O340" s="15"/>
      <c r="P340" s="16" t="s">
        <v>736</v>
      </c>
      <c r="Q340" s="17">
        <v>1699</v>
      </c>
      <c r="R340" s="18">
        <v>30</v>
      </c>
      <c r="S340" s="19">
        <v>1367.6949999999999</v>
      </c>
      <c r="T340" s="20" t="s">
        <v>99</v>
      </c>
      <c r="U340" s="21" t="s">
        <v>729</v>
      </c>
      <c r="V340" s="22" t="s">
        <v>729</v>
      </c>
      <c r="W340" s="23">
        <v>5</v>
      </c>
      <c r="X340" s="24"/>
    </row>
    <row r="341" spans="1:24" s="1" customFormat="1" ht="35" customHeight="1" x14ac:dyDescent="0.3">
      <c r="A341" s="25" t="s">
        <v>607</v>
      </c>
      <c r="B341" s="25" t="s">
        <v>733</v>
      </c>
      <c r="C341" s="12" t="s">
        <v>737</v>
      </c>
      <c r="D341" s="86"/>
      <c r="E341" s="67" t="str">
        <f>HYPERLINK("https://www.google.ru/search?q=811565-WH&amp;newwindow=1&amp;tbm=isch","Еще фото")</f>
        <v>Еще фото</v>
      </c>
      <c r="F341" s="14"/>
      <c r="G341" s="25" t="s">
        <v>726</v>
      </c>
      <c r="H341" s="25" t="s">
        <v>69</v>
      </c>
      <c r="I341" s="25" t="s">
        <v>713</v>
      </c>
      <c r="J341" s="15" t="s">
        <v>360</v>
      </c>
      <c r="K341" s="16" t="s">
        <v>71</v>
      </c>
      <c r="L341" s="88"/>
      <c r="M341" s="15"/>
      <c r="N341" s="15" t="s">
        <v>173</v>
      </c>
      <c r="O341" s="15"/>
      <c r="P341" s="16" t="s">
        <v>736</v>
      </c>
      <c r="Q341" s="17">
        <v>1699</v>
      </c>
      <c r="R341" s="18">
        <v>30</v>
      </c>
      <c r="S341" s="19">
        <v>1367.6949999999999</v>
      </c>
      <c r="T341" s="20" t="s">
        <v>99</v>
      </c>
      <c r="U341" s="21" t="s">
        <v>730</v>
      </c>
      <c r="V341" s="22" t="s">
        <v>730</v>
      </c>
      <c r="W341" s="23">
        <v>12</v>
      </c>
      <c r="X341" s="24"/>
    </row>
    <row r="342" spans="1:24" s="1" customFormat="1" ht="37.049999999999997" customHeight="1" x14ac:dyDescent="0.3">
      <c r="A342" s="25" t="s">
        <v>607</v>
      </c>
      <c r="B342" s="25" t="s">
        <v>733</v>
      </c>
      <c r="C342" s="12" t="s">
        <v>737</v>
      </c>
      <c r="D342" s="87"/>
      <c r="E342" s="67" t="str">
        <f>HYPERLINK("https://www.google.ru/search?q=811565-WH&amp;newwindow=1&amp;tbm=isch","Еще фото")</f>
        <v>Еще фото</v>
      </c>
      <c r="F342" s="14"/>
      <c r="G342" s="25" t="s">
        <v>726</v>
      </c>
      <c r="H342" s="25" t="s">
        <v>69</v>
      </c>
      <c r="I342" s="25" t="s">
        <v>713</v>
      </c>
      <c r="J342" s="15" t="s">
        <v>360</v>
      </c>
      <c r="K342" s="16" t="s">
        <v>71</v>
      </c>
      <c r="L342" s="84"/>
      <c r="M342" s="15"/>
      <c r="N342" s="15" t="s">
        <v>173</v>
      </c>
      <c r="O342" s="15"/>
      <c r="P342" s="16" t="s">
        <v>736</v>
      </c>
      <c r="Q342" s="17">
        <v>1699</v>
      </c>
      <c r="R342" s="18">
        <v>30</v>
      </c>
      <c r="S342" s="19">
        <v>1367.6949999999999</v>
      </c>
      <c r="T342" s="20" t="s">
        <v>99</v>
      </c>
      <c r="U342" s="21" t="s">
        <v>732</v>
      </c>
      <c r="V342" s="22" t="s">
        <v>732</v>
      </c>
      <c r="W342" s="23">
        <v>9</v>
      </c>
      <c r="X342" s="24"/>
    </row>
    <row r="343" spans="1:24" s="1" customFormat="1" ht="35" customHeight="1" x14ac:dyDescent="0.3">
      <c r="A343" s="11" t="s">
        <v>607</v>
      </c>
      <c r="B343" s="11" t="s">
        <v>738</v>
      </c>
      <c r="C343" s="12" t="s">
        <v>739</v>
      </c>
      <c r="D343" s="85"/>
      <c r="E343" s="67" t="str">
        <f>HYPERLINK("https://www.google.ru/search?q=811575-BK&amp;newwindow=1&amp;tbm=isch","Еще фото")</f>
        <v>Еще фото</v>
      </c>
      <c r="F343" s="14"/>
      <c r="G343" s="11" t="s">
        <v>740</v>
      </c>
      <c r="H343" s="11" t="s">
        <v>69</v>
      </c>
      <c r="I343" s="15" t="s">
        <v>713</v>
      </c>
      <c r="J343" s="15" t="s">
        <v>360</v>
      </c>
      <c r="K343" s="16" t="s">
        <v>71</v>
      </c>
      <c r="L343" s="83" t="s">
        <v>741</v>
      </c>
      <c r="M343" s="15"/>
      <c r="N343" s="15" t="s">
        <v>38</v>
      </c>
      <c r="O343" s="15"/>
      <c r="P343" s="16" t="s">
        <v>742</v>
      </c>
      <c r="Q343" s="17">
        <v>1199</v>
      </c>
      <c r="R343" s="18">
        <v>30</v>
      </c>
      <c r="S343" s="26">
        <v>965.19499999999982</v>
      </c>
      <c r="T343" s="20" t="s">
        <v>99</v>
      </c>
      <c r="U343" s="21" t="s">
        <v>729</v>
      </c>
      <c r="V343" s="22" t="s">
        <v>729</v>
      </c>
      <c r="W343" s="23">
        <v>5</v>
      </c>
      <c r="X343" s="24"/>
    </row>
    <row r="344" spans="1:24" s="1" customFormat="1" ht="35" customHeight="1" x14ac:dyDescent="0.3">
      <c r="A344" s="25" t="s">
        <v>607</v>
      </c>
      <c r="B344" s="25" t="s">
        <v>738</v>
      </c>
      <c r="C344" s="12" t="s">
        <v>739</v>
      </c>
      <c r="D344" s="86"/>
      <c r="E344" s="67" t="str">
        <f>HYPERLINK("https://www.google.ru/search?q=811575-BK&amp;newwindow=1&amp;tbm=isch","Еще фото")</f>
        <v>Еще фото</v>
      </c>
      <c r="F344" s="14"/>
      <c r="G344" s="25" t="s">
        <v>740</v>
      </c>
      <c r="H344" s="25" t="s">
        <v>69</v>
      </c>
      <c r="I344" s="25" t="s">
        <v>713</v>
      </c>
      <c r="J344" s="15" t="s">
        <v>360</v>
      </c>
      <c r="K344" s="16" t="s">
        <v>71</v>
      </c>
      <c r="L344" s="88"/>
      <c r="M344" s="15"/>
      <c r="N344" s="15" t="s">
        <v>38</v>
      </c>
      <c r="O344" s="15"/>
      <c r="P344" s="16" t="s">
        <v>742</v>
      </c>
      <c r="Q344" s="17">
        <v>1199</v>
      </c>
      <c r="R344" s="18">
        <v>30</v>
      </c>
      <c r="S344" s="26">
        <v>965.19499999999982</v>
      </c>
      <c r="T344" s="20" t="s">
        <v>99</v>
      </c>
      <c r="U344" s="21" t="s">
        <v>730</v>
      </c>
      <c r="V344" s="22" t="s">
        <v>730</v>
      </c>
      <c r="W344" s="23">
        <v>6</v>
      </c>
      <c r="X344" s="24"/>
    </row>
    <row r="345" spans="1:24" s="1" customFormat="1" ht="37.049999999999997" customHeight="1" x14ac:dyDescent="0.3">
      <c r="A345" s="25" t="s">
        <v>607</v>
      </c>
      <c r="B345" s="25" t="s">
        <v>738</v>
      </c>
      <c r="C345" s="12" t="s">
        <v>739</v>
      </c>
      <c r="D345" s="87"/>
      <c r="E345" s="67" t="str">
        <f>HYPERLINK("https://www.google.ru/search?q=811575-BK&amp;newwindow=1&amp;tbm=isch","Еще фото")</f>
        <v>Еще фото</v>
      </c>
      <c r="F345" s="14"/>
      <c r="G345" s="25" t="s">
        <v>740</v>
      </c>
      <c r="H345" s="25" t="s">
        <v>69</v>
      </c>
      <c r="I345" s="25" t="s">
        <v>713</v>
      </c>
      <c r="J345" s="15" t="s">
        <v>360</v>
      </c>
      <c r="K345" s="16" t="s">
        <v>71</v>
      </c>
      <c r="L345" s="84"/>
      <c r="M345" s="15"/>
      <c r="N345" s="15" t="s">
        <v>38</v>
      </c>
      <c r="O345" s="15"/>
      <c r="P345" s="16" t="s">
        <v>742</v>
      </c>
      <c r="Q345" s="17">
        <v>1199</v>
      </c>
      <c r="R345" s="18">
        <v>30</v>
      </c>
      <c r="S345" s="26">
        <v>965.19499999999982</v>
      </c>
      <c r="T345" s="20" t="s">
        <v>99</v>
      </c>
      <c r="U345" s="21" t="s">
        <v>732</v>
      </c>
      <c r="V345" s="22" t="s">
        <v>732</v>
      </c>
      <c r="W345" s="23">
        <v>4</v>
      </c>
      <c r="X345" s="24"/>
    </row>
    <row r="346" spans="1:24" s="1" customFormat="1" ht="108" customHeight="1" x14ac:dyDescent="0.3">
      <c r="A346" s="11" t="s">
        <v>607</v>
      </c>
      <c r="B346" s="11" t="s">
        <v>743</v>
      </c>
      <c r="C346" s="12" t="s">
        <v>744</v>
      </c>
      <c r="D346" s="13"/>
      <c r="E346" s="67" t="str">
        <f>HYPERLINK("https://www.google.ru/search?q=811934-BK&amp;newwindow=1&amp;tbm=isch","Еще фото")</f>
        <v>Еще фото</v>
      </c>
      <c r="F346" s="14"/>
      <c r="G346" s="11" t="s">
        <v>712</v>
      </c>
      <c r="H346" s="11" t="s">
        <v>69</v>
      </c>
      <c r="I346" s="15" t="s">
        <v>713</v>
      </c>
      <c r="J346" s="15" t="s">
        <v>360</v>
      </c>
      <c r="K346" s="16" t="s">
        <v>71</v>
      </c>
      <c r="L346" s="15" t="s">
        <v>745</v>
      </c>
      <c r="M346" s="15"/>
      <c r="N346" s="15" t="s">
        <v>38</v>
      </c>
      <c r="O346" s="15"/>
      <c r="P346" s="16" t="s">
        <v>746</v>
      </c>
      <c r="Q346" s="17">
        <v>1499</v>
      </c>
      <c r="R346" s="18">
        <v>30</v>
      </c>
      <c r="S346" s="19">
        <v>1206.6949999999999</v>
      </c>
      <c r="T346" s="20" t="s">
        <v>99</v>
      </c>
      <c r="U346" s="21" t="s">
        <v>729</v>
      </c>
      <c r="V346" s="22" t="s">
        <v>729</v>
      </c>
      <c r="W346" s="23">
        <v>5</v>
      </c>
      <c r="X346" s="24"/>
    </row>
    <row r="347" spans="1:24" s="1" customFormat="1" ht="108" customHeight="1" x14ac:dyDescent="0.3">
      <c r="A347" s="11" t="s">
        <v>607</v>
      </c>
      <c r="B347" s="11" t="s">
        <v>747</v>
      </c>
      <c r="C347" s="12" t="s">
        <v>748</v>
      </c>
      <c r="D347" s="13"/>
      <c r="E347" s="67" t="str">
        <f>HYPERLINK("https://www.google.ru/search?q=811954-BK&amp;newwindow=1&amp;tbm=isch","Еще фото")</f>
        <v>Еще фото</v>
      </c>
      <c r="F347" s="14"/>
      <c r="G347" s="11" t="s">
        <v>712</v>
      </c>
      <c r="H347" s="11" t="s">
        <v>69</v>
      </c>
      <c r="I347" s="15" t="s">
        <v>713</v>
      </c>
      <c r="J347" s="15" t="s">
        <v>360</v>
      </c>
      <c r="K347" s="16" t="s">
        <v>71</v>
      </c>
      <c r="L347" s="15" t="s">
        <v>745</v>
      </c>
      <c r="M347" s="15"/>
      <c r="N347" s="15" t="s">
        <v>38</v>
      </c>
      <c r="O347" s="15"/>
      <c r="P347" s="16" t="s">
        <v>749</v>
      </c>
      <c r="Q347" s="17">
        <v>1799</v>
      </c>
      <c r="R347" s="18">
        <v>30</v>
      </c>
      <c r="S347" s="19">
        <v>1448.1949999999999</v>
      </c>
      <c r="T347" s="20" t="s">
        <v>99</v>
      </c>
      <c r="U347" s="21" t="s">
        <v>729</v>
      </c>
      <c r="V347" s="22" t="s">
        <v>729</v>
      </c>
      <c r="W347" s="23">
        <v>6</v>
      </c>
      <c r="X347" s="24"/>
    </row>
    <row r="348" spans="1:24" s="1" customFormat="1" ht="108" customHeight="1" x14ac:dyDescent="0.3">
      <c r="A348" s="11" t="s">
        <v>607</v>
      </c>
      <c r="B348" s="11" t="s">
        <v>750</v>
      </c>
      <c r="C348" s="12" t="s">
        <v>751</v>
      </c>
      <c r="D348" s="13"/>
      <c r="E348" s="67" t="str">
        <f>HYPERLINK("https://www.google.ru/search?q=285621-YW&amp;newwindow=1&amp;tbm=isch","Еще фото")</f>
        <v>Еще фото</v>
      </c>
      <c r="F348" s="14"/>
      <c r="G348" s="11" t="s">
        <v>752</v>
      </c>
      <c r="H348" s="11" t="s">
        <v>669</v>
      </c>
      <c r="I348" s="15" t="s">
        <v>753</v>
      </c>
      <c r="J348" s="15" t="s">
        <v>360</v>
      </c>
      <c r="K348" s="16" t="s">
        <v>71</v>
      </c>
      <c r="L348" s="15" t="s">
        <v>754</v>
      </c>
      <c r="M348" s="15"/>
      <c r="N348" s="15" t="s">
        <v>225</v>
      </c>
      <c r="O348" s="15"/>
      <c r="P348" s="16" t="s">
        <v>500</v>
      </c>
      <c r="Q348" s="53">
        <v>999</v>
      </c>
      <c r="R348" s="18">
        <v>33</v>
      </c>
      <c r="S348" s="26">
        <v>769.72950000000003</v>
      </c>
      <c r="T348" s="20" t="s">
        <v>75</v>
      </c>
      <c r="U348" s="21" t="s">
        <v>755</v>
      </c>
      <c r="V348" s="22" t="s">
        <v>77</v>
      </c>
      <c r="W348" s="23">
        <v>63</v>
      </c>
      <c r="X348" s="24"/>
    </row>
    <row r="349" spans="1:24" s="1" customFormat="1" ht="17" customHeight="1" x14ac:dyDescent="0.3">
      <c r="A349" s="11" t="s">
        <v>607</v>
      </c>
      <c r="B349" s="11" t="s">
        <v>756</v>
      </c>
      <c r="C349" s="12" t="s">
        <v>757</v>
      </c>
      <c r="D349" s="85"/>
      <c r="E349" s="67" t="str">
        <f t="shared" ref="E349:E354" si="3">HYPERLINK("https://www.google.ru/search?q=273225-NVLI&amp;newwindow=1&amp;tbm=isch","Еще фото")</f>
        <v>Еще фото</v>
      </c>
      <c r="F349" s="14"/>
      <c r="G349" s="11" t="s">
        <v>153</v>
      </c>
      <c r="H349" s="11" t="s">
        <v>93</v>
      </c>
      <c r="I349" s="15" t="s">
        <v>154</v>
      </c>
      <c r="J349" s="15" t="s">
        <v>360</v>
      </c>
      <c r="K349" s="16" t="s">
        <v>45</v>
      </c>
      <c r="L349" s="83" t="s">
        <v>758</v>
      </c>
      <c r="M349" s="15"/>
      <c r="N349" s="15" t="s">
        <v>31</v>
      </c>
      <c r="O349" s="15"/>
      <c r="P349" s="16" t="s">
        <v>401</v>
      </c>
      <c r="Q349" s="17">
        <v>16199</v>
      </c>
      <c r="R349" s="18">
        <v>48.84</v>
      </c>
      <c r="S349" s="19">
        <v>9530.9354999999996</v>
      </c>
      <c r="T349" s="20" t="s">
        <v>333</v>
      </c>
      <c r="U349" s="21" t="s">
        <v>356</v>
      </c>
      <c r="V349" s="29">
        <v>39.5</v>
      </c>
      <c r="W349" s="23">
        <v>2</v>
      </c>
      <c r="X349" s="24"/>
    </row>
    <row r="350" spans="1:24" s="1" customFormat="1" ht="17" customHeight="1" x14ac:dyDescent="0.3">
      <c r="A350" s="25" t="s">
        <v>607</v>
      </c>
      <c r="B350" s="25" t="s">
        <v>756</v>
      </c>
      <c r="C350" s="12" t="s">
        <v>757</v>
      </c>
      <c r="D350" s="86"/>
      <c r="E350" s="67" t="str">
        <f t="shared" si="3"/>
        <v>Еще фото</v>
      </c>
      <c r="F350" s="14"/>
      <c r="G350" s="25" t="s">
        <v>153</v>
      </c>
      <c r="H350" s="25" t="s">
        <v>93</v>
      </c>
      <c r="I350" s="25" t="s">
        <v>154</v>
      </c>
      <c r="J350" s="15" t="s">
        <v>360</v>
      </c>
      <c r="K350" s="16" t="s">
        <v>45</v>
      </c>
      <c r="L350" s="88"/>
      <c r="M350" s="15"/>
      <c r="N350" s="15" t="s">
        <v>31</v>
      </c>
      <c r="O350" s="15"/>
      <c r="P350" s="16" t="s">
        <v>401</v>
      </c>
      <c r="Q350" s="17">
        <v>16199</v>
      </c>
      <c r="R350" s="18">
        <v>48.84</v>
      </c>
      <c r="S350" s="19">
        <v>9530.9354999999996</v>
      </c>
      <c r="T350" s="20" t="s">
        <v>333</v>
      </c>
      <c r="U350" s="21" t="s">
        <v>357</v>
      </c>
      <c r="V350" s="23">
        <v>40</v>
      </c>
      <c r="W350" s="23">
        <v>1</v>
      </c>
      <c r="X350" s="24"/>
    </row>
    <row r="351" spans="1:24" s="1" customFormat="1" ht="17" customHeight="1" x14ac:dyDescent="0.3">
      <c r="A351" s="25" t="s">
        <v>607</v>
      </c>
      <c r="B351" s="25" t="s">
        <v>756</v>
      </c>
      <c r="C351" s="12" t="s">
        <v>757</v>
      </c>
      <c r="D351" s="86"/>
      <c r="E351" s="67" t="str">
        <f t="shared" si="3"/>
        <v>Еще фото</v>
      </c>
      <c r="F351" s="14"/>
      <c r="G351" s="25" t="s">
        <v>153</v>
      </c>
      <c r="H351" s="25" t="s">
        <v>93</v>
      </c>
      <c r="I351" s="25" t="s">
        <v>154</v>
      </c>
      <c r="J351" s="15" t="s">
        <v>360</v>
      </c>
      <c r="K351" s="16" t="s">
        <v>45</v>
      </c>
      <c r="L351" s="88"/>
      <c r="M351" s="15"/>
      <c r="N351" s="15" t="s">
        <v>31</v>
      </c>
      <c r="O351" s="15"/>
      <c r="P351" s="16" t="s">
        <v>401</v>
      </c>
      <c r="Q351" s="17">
        <v>16199</v>
      </c>
      <c r="R351" s="18">
        <v>48.84</v>
      </c>
      <c r="S351" s="19">
        <v>9530.9354999999996</v>
      </c>
      <c r="T351" s="20" t="s">
        <v>333</v>
      </c>
      <c r="U351" s="21" t="s">
        <v>343</v>
      </c>
      <c r="V351" s="23">
        <v>41</v>
      </c>
      <c r="W351" s="23">
        <v>1</v>
      </c>
      <c r="X351" s="24"/>
    </row>
    <row r="352" spans="1:24" s="1" customFormat="1" ht="17" customHeight="1" x14ac:dyDescent="0.3">
      <c r="A352" s="25" t="s">
        <v>607</v>
      </c>
      <c r="B352" s="25" t="s">
        <v>756</v>
      </c>
      <c r="C352" s="12" t="s">
        <v>757</v>
      </c>
      <c r="D352" s="86"/>
      <c r="E352" s="67" t="str">
        <f t="shared" si="3"/>
        <v>Еще фото</v>
      </c>
      <c r="F352" s="14"/>
      <c r="G352" s="25" t="s">
        <v>153</v>
      </c>
      <c r="H352" s="25" t="s">
        <v>93</v>
      </c>
      <c r="I352" s="25" t="s">
        <v>154</v>
      </c>
      <c r="J352" s="15" t="s">
        <v>360</v>
      </c>
      <c r="K352" s="16" t="s">
        <v>45</v>
      </c>
      <c r="L352" s="88"/>
      <c r="M352" s="15"/>
      <c r="N352" s="15" t="s">
        <v>31</v>
      </c>
      <c r="O352" s="15"/>
      <c r="P352" s="16" t="s">
        <v>401</v>
      </c>
      <c r="Q352" s="17">
        <v>16199</v>
      </c>
      <c r="R352" s="18">
        <v>48.84</v>
      </c>
      <c r="S352" s="19">
        <v>9530.9354999999996</v>
      </c>
      <c r="T352" s="20" t="s">
        <v>333</v>
      </c>
      <c r="U352" s="21" t="s">
        <v>344</v>
      </c>
      <c r="V352" s="29">
        <v>41.5</v>
      </c>
      <c r="W352" s="23">
        <v>1</v>
      </c>
      <c r="X352" s="24"/>
    </row>
    <row r="353" spans="1:24" s="1" customFormat="1" ht="17" customHeight="1" x14ac:dyDescent="0.3">
      <c r="A353" s="25" t="s">
        <v>607</v>
      </c>
      <c r="B353" s="25" t="s">
        <v>756</v>
      </c>
      <c r="C353" s="12" t="s">
        <v>757</v>
      </c>
      <c r="D353" s="86"/>
      <c r="E353" s="67" t="str">
        <f t="shared" si="3"/>
        <v>Еще фото</v>
      </c>
      <c r="F353" s="14"/>
      <c r="G353" s="25" t="s">
        <v>153</v>
      </c>
      <c r="H353" s="25" t="s">
        <v>93</v>
      </c>
      <c r="I353" s="25" t="s">
        <v>154</v>
      </c>
      <c r="J353" s="15" t="s">
        <v>360</v>
      </c>
      <c r="K353" s="16" t="s">
        <v>45</v>
      </c>
      <c r="L353" s="88"/>
      <c r="M353" s="15"/>
      <c r="N353" s="15" t="s">
        <v>31</v>
      </c>
      <c r="O353" s="15"/>
      <c r="P353" s="16" t="s">
        <v>401</v>
      </c>
      <c r="Q353" s="17">
        <v>16199</v>
      </c>
      <c r="R353" s="18">
        <v>48.84</v>
      </c>
      <c r="S353" s="19">
        <v>9530.9354999999996</v>
      </c>
      <c r="T353" s="20" t="s">
        <v>333</v>
      </c>
      <c r="U353" s="21" t="s">
        <v>345</v>
      </c>
      <c r="V353" s="23">
        <v>42</v>
      </c>
      <c r="W353" s="23">
        <v>1</v>
      </c>
      <c r="X353" s="24"/>
    </row>
    <row r="354" spans="1:24" s="1" customFormat="1" ht="22.05" customHeight="1" x14ac:dyDescent="0.3">
      <c r="A354" s="25" t="s">
        <v>607</v>
      </c>
      <c r="B354" s="25" t="s">
        <v>756</v>
      </c>
      <c r="C354" s="12" t="s">
        <v>757</v>
      </c>
      <c r="D354" s="87"/>
      <c r="E354" s="67" t="str">
        <f t="shared" si="3"/>
        <v>Еще фото</v>
      </c>
      <c r="F354" s="14"/>
      <c r="G354" s="25" t="s">
        <v>153</v>
      </c>
      <c r="H354" s="25" t="s">
        <v>93</v>
      </c>
      <c r="I354" s="25" t="s">
        <v>154</v>
      </c>
      <c r="J354" s="15" t="s">
        <v>360</v>
      </c>
      <c r="K354" s="16" t="s">
        <v>45</v>
      </c>
      <c r="L354" s="84"/>
      <c r="M354" s="15"/>
      <c r="N354" s="15" t="s">
        <v>31</v>
      </c>
      <c r="O354" s="15"/>
      <c r="P354" s="16" t="s">
        <v>401</v>
      </c>
      <c r="Q354" s="17">
        <v>16199</v>
      </c>
      <c r="R354" s="18">
        <v>48.84</v>
      </c>
      <c r="S354" s="19">
        <v>9530.9354999999996</v>
      </c>
      <c r="T354" s="20" t="s">
        <v>333</v>
      </c>
      <c r="U354" s="21" t="s">
        <v>392</v>
      </c>
      <c r="V354" s="23">
        <v>43</v>
      </c>
      <c r="W354" s="23">
        <v>1</v>
      </c>
      <c r="X354" s="24"/>
    </row>
    <row r="355" spans="1:24" s="1" customFormat="1" ht="108" customHeight="1" x14ac:dyDescent="0.3">
      <c r="A355" s="11" t="s">
        <v>607</v>
      </c>
      <c r="B355" s="11" t="s">
        <v>759</v>
      </c>
      <c r="C355" s="12" t="s">
        <v>760</v>
      </c>
      <c r="D355" s="13"/>
      <c r="E355" s="67" t="str">
        <f>HYPERLINK("https://www.google.ru/search?q=274425-CWLN&amp;newwindow=1&amp;tbm=isch","Еще фото")</f>
        <v>Еще фото</v>
      </c>
      <c r="F355" s="14"/>
      <c r="G355" s="11" t="s">
        <v>153</v>
      </c>
      <c r="H355" s="11" t="s">
        <v>93</v>
      </c>
      <c r="I355" s="15" t="s">
        <v>154</v>
      </c>
      <c r="J355" s="15" t="s">
        <v>360</v>
      </c>
      <c r="K355" s="16" t="s">
        <v>29</v>
      </c>
      <c r="L355" s="15" t="s">
        <v>761</v>
      </c>
      <c r="M355" s="15"/>
      <c r="N355" s="15" t="s">
        <v>173</v>
      </c>
      <c r="O355" s="15"/>
      <c r="P355" s="16" t="s">
        <v>401</v>
      </c>
      <c r="Q355" s="17">
        <v>11999</v>
      </c>
      <c r="R355" s="18">
        <v>45.83</v>
      </c>
      <c r="S355" s="19">
        <v>7474.9884999999995</v>
      </c>
      <c r="T355" s="20" t="s">
        <v>333</v>
      </c>
      <c r="U355" s="21" t="s">
        <v>354</v>
      </c>
      <c r="V355" s="23">
        <v>36</v>
      </c>
      <c r="W355" s="23">
        <v>1</v>
      </c>
      <c r="X355" s="24"/>
    </row>
    <row r="356" spans="1:24" s="1" customFormat="1" ht="108" customHeight="1" x14ac:dyDescent="0.3">
      <c r="A356" s="11" t="s">
        <v>607</v>
      </c>
      <c r="B356" s="11" t="s">
        <v>762</v>
      </c>
      <c r="C356" s="12" t="s">
        <v>763</v>
      </c>
      <c r="D356" s="13"/>
      <c r="E356" s="67" t="str">
        <f>HYPERLINK("https://www.google.ru/search?q=273263-LNWH&amp;newwindow=1&amp;tbm=isch","Еще фото")</f>
        <v>Еще фото</v>
      </c>
      <c r="F356" s="14"/>
      <c r="G356" s="11" t="s">
        <v>153</v>
      </c>
      <c r="H356" s="11" t="s">
        <v>93</v>
      </c>
      <c r="I356" s="15" t="s">
        <v>154</v>
      </c>
      <c r="J356" s="15" t="s">
        <v>360</v>
      </c>
      <c r="K356" s="16" t="s">
        <v>45</v>
      </c>
      <c r="L356" s="15" t="s">
        <v>764</v>
      </c>
      <c r="M356" s="15"/>
      <c r="N356" s="15" t="s">
        <v>765</v>
      </c>
      <c r="O356" s="15"/>
      <c r="P356" s="16" t="s">
        <v>106</v>
      </c>
      <c r="Q356" s="17">
        <v>13999</v>
      </c>
      <c r="R356" s="18">
        <v>45.71</v>
      </c>
      <c r="S356" s="19">
        <v>8739.9884999999995</v>
      </c>
      <c r="T356" s="20" t="s">
        <v>333</v>
      </c>
      <c r="U356" s="21" t="s">
        <v>343</v>
      </c>
      <c r="V356" s="23">
        <v>41</v>
      </c>
      <c r="W356" s="23">
        <v>5</v>
      </c>
      <c r="X356" s="24"/>
    </row>
    <row r="357" spans="1:24" s="1" customFormat="1" ht="108" customHeight="1" x14ac:dyDescent="0.3">
      <c r="A357" s="11" t="s">
        <v>607</v>
      </c>
      <c r="B357" s="11" t="s">
        <v>766</v>
      </c>
      <c r="C357" s="12" t="s">
        <v>767</v>
      </c>
      <c r="D357" s="13"/>
      <c r="E357" s="67" t="str">
        <f>HYPERLINK("https://www.google.ru/search?q=273656-CGBB&amp;newwindow=1&amp;tbm=isch","Еще фото")</f>
        <v>Еще фото</v>
      </c>
      <c r="F357" s="14"/>
      <c r="G357" s="11" t="s">
        <v>153</v>
      </c>
      <c r="H357" s="11" t="s">
        <v>93</v>
      </c>
      <c r="I357" s="15" t="s">
        <v>154</v>
      </c>
      <c r="J357" s="15" t="s">
        <v>768</v>
      </c>
      <c r="K357" s="16" t="s">
        <v>45</v>
      </c>
      <c r="L357" s="15" t="s">
        <v>769</v>
      </c>
      <c r="M357" s="15"/>
      <c r="N357" s="15" t="s">
        <v>55</v>
      </c>
      <c r="O357" s="15"/>
      <c r="P357" s="16" t="s">
        <v>770</v>
      </c>
      <c r="Q357" s="17">
        <v>15999</v>
      </c>
      <c r="R357" s="18">
        <v>45.62</v>
      </c>
      <c r="S357" s="19">
        <v>10004.988499999999</v>
      </c>
      <c r="T357" s="20" t="s">
        <v>333</v>
      </c>
      <c r="U357" s="21" t="s">
        <v>392</v>
      </c>
      <c r="V357" s="23">
        <v>43</v>
      </c>
      <c r="W357" s="23">
        <v>4</v>
      </c>
      <c r="X357" s="24"/>
    </row>
    <row r="358" spans="1:24" s="1" customFormat="1" ht="108" customHeight="1" x14ac:dyDescent="0.3">
      <c r="A358" s="11" t="s">
        <v>607</v>
      </c>
      <c r="B358" s="11" t="s">
        <v>771</v>
      </c>
      <c r="C358" s="12" t="s">
        <v>772</v>
      </c>
      <c r="D358" s="13"/>
      <c r="E358" s="67" t="str">
        <f>HYPERLINK("https://www.google.ru/search?q=274146-LBDB&amp;newwindow=1&amp;tbm=isch","Еще фото")</f>
        <v>Еще фото</v>
      </c>
      <c r="F358" s="14"/>
      <c r="G358" s="11" t="s">
        <v>153</v>
      </c>
      <c r="H358" s="11" t="s">
        <v>93</v>
      </c>
      <c r="I358" s="15" t="s">
        <v>154</v>
      </c>
      <c r="J358" s="15" t="s">
        <v>360</v>
      </c>
      <c r="K358" s="16" t="s">
        <v>29</v>
      </c>
      <c r="L358" s="15" t="s">
        <v>773</v>
      </c>
      <c r="M358" s="15"/>
      <c r="N358" s="15" t="s">
        <v>122</v>
      </c>
      <c r="O358" s="15"/>
      <c r="P358" s="16" t="s">
        <v>770</v>
      </c>
      <c r="Q358" s="17">
        <v>15999</v>
      </c>
      <c r="R358" s="18">
        <v>45.62</v>
      </c>
      <c r="S358" s="19">
        <v>10004.988499999999</v>
      </c>
      <c r="T358" s="20" t="s">
        <v>333</v>
      </c>
      <c r="U358" s="21" t="s">
        <v>357</v>
      </c>
      <c r="V358" s="23">
        <v>40</v>
      </c>
      <c r="W358" s="23">
        <v>1</v>
      </c>
      <c r="X358" s="24"/>
    </row>
    <row r="359" spans="1:24" s="1" customFormat="1" ht="108" customHeight="1" x14ac:dyDescent="0.3">
      <c r="A359" s="11" t="s">
        <v>607</v>
      </c>
      <c r="B359" s="11" t="s">
        <v>774</v>
      </c>
      <c r="C359" s="12" t="s">
        <v>775</v>
      </c>
      <c r="D359" s="13"/>
      <c r="E359" s="67" t="str">
        <f>HYPERLINK("https://www.google.ru/search?q=273114-DGBL&amp;newwindow=1&amp;tbm=isch","Еще фото")</f>
        <v>Еще фото</v>
      </c>
      <c r="F359" s="14"/>
      <c r="G359" s="11" t="s">
        <v>153</v>
      </c>
      <c r="H359" s="11" t="s">
        <v>93</v>
      </c>
      <c r="I359" s="15" t="s">
        <v>154</v>
      </c>
      <c r="J359" s="15" t="s">
        <v>360</v>
      </c>
      <c r="K359" s="16" t="s">
        <v>45</v>
      </c>
      <c r="L359" s="15" t="s">
        <v>776</v>
      </c>
      <c r="M359" s="15"/>
      <c r="N359" s="15" t="s">
        <v>777</v>
      </c>
      <c r="O359" s="15"/>
      <c r="P359" s="16" t="s">
        <v>770</v>
      </c>
      <c r="Q359" s="17">
        <v>14499</v>
      </c>
      <c r="R359" s="18">
        <v>45.51</v>
      </c>
      <c r="S359" s="19">
        <v>9084.9884999999995</v>
      </c>
      <c r="T359" s="20" t="s">
        <v>333</v>
      </c>
      <c r="U359" s="21" t="s">
        <v>366</v>
      </c>
      <c r="V359" s="29">
        <v>43.5</v>
      </c>
      <c r="W359" s="23">
        <v>1</v>
      </c>
      <c r="X359" s="24"/>
    </row>
    <row r="360" spans="1:24" s="1" customFormat="1" ht="108" customHeight="1" x14ac:dyDescent="0.3">
      <c r="A360" s="11" t="s">
        <v>607</v>
      </c>
      <c r="B360" s="11" t="s">
        <v>778</v>
      </c>
      <c r="C360" s="12" t="s">
        <v>779</v>
      </c>
      <c r="D360" s="13"/>
      <c r="E360" s="67" t="str">
        <f>HYPERLINK("https://www.google.ru/search?q=274104-DBLB&amp;newwindow=1&amp;tbm=isch","Еще фото")</f>
        <v>Еще фото</v>
      </c>
      <c r="F360" s="14"/>
      <c r="G360" s="11" t="s">
        <v>153</v>
      </c>
      <c r="H360" s="11" t="s">
        <v>93</v>
      </c>
      <c r="I360" s="15" t="s">
        <v>154</v>
      </c>
      <c r="J360" s="15" t="s">
        <v>360</v>
      </c>
      <c r="K360" s="16" t="s">
        <v>29</v>
      </c>
      <c r="L360" s="15" t="s">
        <v>776</v>
      </c>
      <c r="M360" s="15"/>
      <c r="N360" s="15" t="s">
        <v>31</v>
      </c>
      <c r="O360" s="15"/>
      <c r="P360" s="16" t="s">
        <v>770</v>
      </c>
      <c r="Q360" s="17">
        <v>14499</v>
      </c>
      <c r="R360" s="18">
        <v>45.51</v>
      </c>
      <c r="S360" s="19">
        <v>9084.9884999999995</v>
      </c>
      <c r="T360" s="20" t="s">
        <v>333</v>
      </c>
      <c r="U360" s="21" t="s">
        <v>335</v>
      </c>
      <c r="V360" s="23">
        <v>38</v>
      </c>
      <c r="W360" s="23">
        <v>1</v>
      </c>
      <c r="X360" s="24"/>
    </row>
    <row r="361" spans="1:24" s="1" customFormat="1" ht="108" customHeight="1" x14ac:dyDescent="0.3">
      <c r="A361" s="11" t="s">
        <v>607</v>
      </c>
      <c r="B361" s="11" t="s">
        <v>780</v>
      </c>
      <c r="C361" s="12" t="s">
        <v>781</v>
      </c>
      <c r="D361" s="13"/>
      <c r="E361" s="67" t="str">
        <f>HYPERLINK("https://www.google.ru/search?q=273404-BBWH&amp;newwindow=1&amp;tbm=isch","Еще фото")</f>
        <v>Еще фото</v>
      </c>
      <c r="F361" s="55" t="s">
        <v>688</v>
      </c>
      <c r="G361" s="11" t="s">
        <v>153</v>
      </c>
      <c r="H361" s="11" t="s">
        <v>93</v>
      </c>
      <c r="I361" s="15" t="s">
        <v>154</v>
      </c>
      <c r="J361" s="15" t="s">
        <v>360</v>
      </c>
      <c r="K361" s="16" t="s">
        <v>45</v>
      </c>
      <c r="L361" s="15" t="s">
        <v>782</v>
      </c>
      <c r="M361" s="15"/>
      <c r="N361" s="15" t="s">
        <v>31</v>
      </c>
      <c r="O361" s="15"/>
      <c r="P361" s="16" t="s">
        <v>770</v>
      </c>
      <c r="Q361" s="17">
        <v>10999</v>
      </c>
      <c r="R361" s="18">
        <v>45.45</v>
      </c>
      <c r="S361" s="19">
        <v>6899.9884999999995</v>
      </c>
      <c r="T361" s="20" t="s">
        <v>333</v>
      </c>
      <c r="U361" s="21" t="s">
        <v>345</v>
      </c>
      <c r="V361" s="23">
        <v>42</v>
      </c>
      <c r="W361" s="23">
        <v>1</v>
      </c>
      <c r="X361" s="24"/>
    </row>
    <row r="362" spans="1:24" s="1" customFormat="1" ht="108" customHeight="1" x14ac:dyDescent="0.3">
      <c r="A362" s="11" t="s">
        <v>607</v>
      </c>
      <c r="B362" s="11" t="s">
        <v>756</v>
      </c>
      <c r="C362" s="12" t="s">
        <v>783</v>
      </c>
      <c r="D362" s="13"/>
      <c r="E362" s="67" t="str">
        <f>HYPERLINK("https://www.google.ru/search?q=273245-DBRD&amp;newwindow=1&amp;tbm=isch","Еще фото")</f>
        <v>Еще фото</v>
      </c>
      <c r="F362" s="14"/>
      <c r="G362" s="11" t="s">
        <v>153</v>
      </c>
      <c r="H362" s="11" t="s">
        <v>93</v>
      </c>
      <c r="I362" s="15" t="s">
        <v>154</v>
      </c>
      <c r="J362" s="15" t="s">
        <v>360</v>
      </c>
      <c r="K362" s="16" t="s">
        <v>45</v>
      </c>
      <c r="L362" s="15" t="s">
        <v>758</v>
      </c>
      <c r="M362" s="15"/>
      <c r="N362" s="15" t="s">
        <v>73</v>
      </c>
      <c r="O362" s="15"/>
      <c r="P362" s="16" t="s">
        <v>401</v>
      </c>
      <c r="Q362" s="17">
        <v>15899</v>
      </c>
      <c r="R362" s="18">
        <v>45.28</v>
      </c>
      <c r="S362" s="19">
        <v>10004.988499999999</v>
      </c>
      <c r="T362" s="20" t="s">
        <v>333</v>
      </c>
      <c r="U362" s="21" t="s">
        <v>343</v>
      </c>
      <c r="V362" s="23">
        <v>41</v>
      </c>
      <c r="W362" s="23">
        <v>1</v>
      </c>
      <c r="X362" s="24"/>
    </row>
    <row r="363" spans="1:24" s="1" customFormat="1" ht="52.05" customHeight="1" x14ac:dyDescent="0.3">
      <c r="A363" s="11" t="s">
        <v>607</v>
      </c>
      <c r="B363" s="11" t="s">
        <v>756</v>
      </c>
      <c r="C363" s="12" t="s">
        <v>784</v>
      </c>
      <c r="D363" s="81"/>
      <c r="E363" s="67" t="str">
        <f>HYPERLINK("https://www.google.ru/search?q=273265-WHBK&amp;newwindow=1&amp;tbm=isch","Еще фото")</f>
        <v>Еще фото</v>
      </c>
      <c r="F363" s="14"/>
      <c r="G363" s="11" t="s">
        <v>153</v>
      </c>
      <c r="H363" s="11" t="s">
        <v>93</v>
      </c>
      <c r="I363" s="15" t="s">
        <v>154</v>
      </c>
      <c r="J363" s="15" t="s">
        <v>360</v>
      </c>
      <c r="K363" s="16" t="s">
        <v>45</v>
      </c>
      <c r="L363" s="83" t="s">
        <v>758</v>
      </c>
      <c r="M363" s="15"/>
      <c r="N363" s="15" t="s">
        <v>436</v>
      </c>
      <c r="O363" s="15"/>
      <c r="P363" s="16" t="s">
        <v>401</v>
      </c>
      <c r="Q363" s="17">
        <v>15899</v>
      </c>
      <c r="R363" s="18">
        <v>45.28</v>
      </c>
      <c r="S363" s="19">
        <v>10004.988499999999</v>
      </c>
      <c r="T363" s="20" t="s">
        <v>333</v>
      </c>
      <c r="U363" s="21" t="s">
        <v>343</v>
      </c>
      <c r="V363" s="23">
        <v>41</v>
      </c>
      <c r="W363" s="23">
        <v>1</v>
      </c>
      <c r="X363" s="24"/>
    </row>
    <row r="364" spans="1:24" s="1" customFormat="1" ht="61.05" customHeight="1" x14ac:dyDescent="0.3">
      <c r="A364" s="25" t="s">
        <v>607</v>
      </c>
      <c r="B364" s="25" t="s">
        <v>756</v>
      </c>
      <c r="C364" s="12" t="s">
        <v>784</v>
      </c>
      <c r="D364" s="82"/>
      <c r="E364" s="67" t="str">
        <f>HYPERLINK("https://www.google.ru/search?q=273265-WHBK&amp;newwindow=1&amp;tbm=isch","Еще фото")</f>
        <v>Еще фото</v>
      </c>
      <c r="F364" s="14"/>
      <c r="G364" s="25" t="s">
        <v>153</v>
      </c>
      <c r="H364" s="25" t="s">
        <v>93</v>
      </c>
      <c r="I364" s="25" t="s">
        <v>154</v>
      </c>
      <c r="J364" s="15" t="s">
        <v>360</v>
      </c>
      <c r="K364" s="16" t="s">
        <v>45</v>
      </c>
      <c r="L364" s="84"/>
      <c r="M364" s="15"/>
      <c r="N364" s="15" t="s">
        <v>436</v>
      </c>
      <c r="O364" s="15"/>
      <c r="P364" s="16" t="s">
        <v>401</v>
      </c>
      <c r="Q364" s="17">
        <v>15899</v>
      </c>
      <c r="R364" s="18">
        <v>45.28</v>
      </c>
      <c r="S364" s="19">
        <v>10004.988499999999</v>
      </c>
      <c r="T364" s="20" t="s">
        <v>333</v>
      </c>
      <c r="U364" s="21" t="s">
        <v>785</v>
      </c>
      <c r="V364" s="23">
        <v>44</v>
      </c>
      <c r="W364" s="23">
        <v>2</v>
      </c>
      <c r="X364" s="24"/>
    </row>
    <row r="365" spans="1:24" s="1" customFormat="1" ht="108" customHeight="1" x14ac:dyDescent="0.3">
      <c r="A365" s="11" t="s">
        <v>607</v>
      </c>
      <c r="B365" s="11" t="s">
        <v>786</v>
      </c>
      <c r="C365" s="12" t="s">
        <v>787</v>
      </c>
      <c r="D365" s="13"/>
      <c r="E365" s="67" t="str">
        <f>HYPERLINK("https://www.google.ru/search?q=273226-RDDR&amp;newwindow=1&amp;tbm=isch","Еще фото")</f>
        <v>Еще фото</v>
      </c>
      <c r="F365" s="14"/>
      <c r="G365" s="11" t="s">
        <v>153</v>
      </c>
      <c r="H365" s="11" t="s">
        <v>93</v>
      </c>
      <c r="I365" s="15" t="s">
        <v>154</v>
      </c>
      <c r="J365" s="15" t="s">
        <v>360</v>
      </c>
      <c r="K365" s="16" t="s">
        <v>45</v>
      </c>
      <c r="L365" s="15" t="s">
        <v>788</v>
      </c>
      <c r="M365" s="15"/>
      <c r="N365" s="15" t="s">
        <v>73</v>
      </c>
      <c r="O365" s="15"/>
      <c r="P365" s="16" t="s">
        <v>770</v>
      </c>
      <c r="Q365" s="17">
        <v>16199</v>
      </c>
      <c r="R365" s="18">
        <v>45.06</v>
      </c>
      <c r="S365" s="19">
        <v>10234.988499999999</v>
      </c>
      <c r="T365" s="20" t="s">
        <v>333</v>
      </c>
      <c r="U365" s="21" t="s">
        <v>345</v>
      </c>
      <c r="V365" s="23">
        <v>42</v>
      </c>
      <c r="W365" s="23">
        <v>1</v>
      </c>
      <c r="X365" s="24"/>
    </row>
    <row r="366" spans="1:24" s="1" customFormat="1" ht="26" customHeight="1" x14ac:dyDescent="0.3">
      <c r="A366" s="11" t="s">
        <v>607</v>
      </c>
      <c r="B366" s="11" t="s">
        <v>789</v>
      </c>
      <c r="C366" s="12" t="s">
        <v>790</v>
      </c>
      <c r="D366" s="85"/>
      <c r="E366" s="67" t="str">
        <f>HYPERLINK("https://www.google.ru/search?q=273143-FGLN&amp;newwindow=1&amp;tbm=isch","Еще фото")</f>
        <v>Еще фото</v>
      </c>
      <c r="F366" s="14"/>
      <c r="G366" s="11" t="s">
        <v>153</v>
      </c>
      <c r="H366" s="11" t="s">
        <v>93</v>
      </c>
      <c r="I366" s="15" t="s">
        <v>154</v>
      </c>
      <c r="J366" s="15" t="s">
        <v>360</v>
      </c>
      <c r="K366" s="16" t="s">
        <v>45</v>
      </c>
      <c r="L366" s="83" t="s">
        <v>791</v>
      </c>
      <c r="M366" s="15"/>
      <c r="N366" s="15" t="s">
        <v>792</v>
      </c>
      <c r="O366" s="15"/>
      <c r="P366" s="16" t="s">
        <v>106</v>
      </c>
      <c r="Q366" s="17">
        <v>13999</v>
      </c>
      <c r="R366" s="18">
        <v>45.01</v>
      </c>
      <c r="S366" s="19">
        <v>8852.4354999999996</v>
      </c>
      <c r="T366" s="20" t="s">
        <v>333</v>
      </c>
      <c r="U366" s="21" t="s">
        <v>356</v>
      </c>
      <c r="V366" s="29">
        <v>39.5</v>
      </c>
      <c r="W366" s="23">
        <v>2</v>
      </c>
      <c r="X366" s="24"/>
    </row>
    <row r="367" spans="1:24" s="1" customFormat="1" ht="26" customHeight="1" x14ac:dyDescent="0.3">
      <c r="A367" s="25" t="s">
        <v>607</v>
      </c>
      <c r="B367" s="25" t="s">
        <v>789</v>
      </c>
      <c r="C367" s="12" t="s">
        <v>790</v>
      </c>
      <c r="D367" s="86"/>
      <c r="E367" s="67" t="str">
        <f>HYPERLINK("https://www.google.ru/search?q=273143-FGLN&amp;newwindow=1&amp;tbm=isch","Еще фото")</f>
        <v>Еще фото</v>
      </c>
      <c r="F367" s="14"/>
      <c r="G367" s="25" t="s">
        <v>153</v>
      </c>
      <c r="H367" s="25" t="s">
        <v>93</v>
      </c>
      <c r="I367" s="25" t="s">
        <v>154</v>
      </c>
      <c r="J367" s="15" t="s">
        <v>360</v>
      </c>
      <c r="K367" s="16" t="s">
        <v>45</v>
      </c>
      <c r="L367" s="88"/>
      <c r="M367" s="15"/>
      <c r="N367" s="15" t="s">
        <v>792</v>
      </c>
      <c r="O367" s="15"/>
      <c r="P367" s="16" t="s">
        <v>106</v>
      </c>
      <c r="Q367" s="17">
        <v>13999</v>
      </c>
      <c r="R367" s="18">
        <v>45.01</v>
      </c>
      <c r="S367" s="19">
        <v>8852.4354999999996</v>
      </c>
      <c r="T367" s="20" t="s">
        <v>333</v>
      </c>
      <c r="U367" s="21" t="s">
        <v>357</v>
      </c>
      <c r="V367" s="23">
        <v>40</v>
      </c>
      <c r="W367" s="23">
        <v>3</v>
      </c>
      <c r="X367" s="24"/>
    </row>
    <row r="368" spans="1:24" s="1" customFormat="1" ht="26" customHeight="1" x14ac:dyDescent="0.3">
      <c r="A368" s="25" t="s">
        <v>607</v>
      </c>
      <c r="B368" s="25" t="s">
        <v>789</v>
      </c>
      <c r="C368" s="12" t="s">
        <v>790</v>
      </c>
      <c r="D368" s="86"/>
      <c r="E368" s="67" t="str">
        <f>HYPERLINK("https://www.google.ru/search?q=273143-FGLN&amp;newwindow=1&amp;tbm=isch","Еще фото")</f>
        <v>Еще фото</v>
      </c>
      <c r="F368" s="14"/>
      <c r="G368" s="25" t="s">
        <v>153</v>
      </c>
      <c r="H368" s="25" t="s">
        <v>93</v>
      </c>
      <c r="I368" s="25" t="s">
        <v>154</v>
      </c>
      <c r="J368" s="15" t="s">
        <v>360</v>
      </c>
      <c r="K368" s="16" t="s">
        <v>45</v>
      </c>
      <c r="L368" s="88"/>
      <c r="M368" s="15"/>
      <c r="N368" s="15" t="s">
        <v>792</v>
      </c>
      <c r="O368" s="15"/>
      <c r="P368" s="16" t="s">
        <v>106</v>
      </c>
      <c r="Q368" s="17">
        <v>13999</v>
      </c>
      <c r="R368" s="18">
        <v>45.01</v>
      </c>
      <c r="S368" s="19">
        <v>8852.4354999999996</v>
      </c>
      <c r="T368" s="20" t="s">
        <v>333</v>
      </c>
      <c r="U368" s="21" t="s">
        <v>343</v>
      </c>
      <c r="V368" s="23">
        <v>41</v>
      </c>
      <c r="W368" s="23">
        <v>2</v>
      </c>
      <c r="X368" s="24"/>
    </row>
    <row r="369" spans="1:24" s="1" customFormat="1" ht="26" customHeight="1" x14ac:dyDescent="0.3">
      <c r="A369" s="25" t="s">
        <v>607</v>
      </c>
      <c r="B369" s="25" t="s">
        <v>789</v>
      </c>
      <c r="C369" s="12" t="s">
        <v>790</v>
      </c>
      <c r="D369" s="87"/>
      <c r="E369" s="67" t="str">
        <f>HYPERLINK("https://www.google.ru/search?q=273143-FGLN&amp;newwindow=1&amp;tbm=isch","Еще фото")</f>
        <v>Еще фото</v>
      </c>
      <c r="F369" s="14"/>
      <c r="G369" s="25" t="s">
        <v>153</v>
      </c>
      <c r="H369" s="25" t="s">
        <v>93</v>
      </c>
      <c r="I369" s="25" t="s">
        <v>154</v>
      </c>
      <c r="J369" s="15" t="s">
        <v>360</v>
      </c>
      <c r="K369" s="16" t="s">
        <v>45</v>
      </c>
      <c r="L369" s="84"/>
      <c r="M369" s="15"/>
      <c r="N369" s="15" t="s">
        <v>792</v>
      </c>
      <c r="O369" s="15"/>
      <c r="P369" s="16" t="s">
        <v>106</v>
      </c>
      <c r="Q369" s="17">
        <v>13999</v>
      </c>
      <c r="R369" s="18">
        <v>45.01</v>
      </c>
      <c r="S369" s="19">
        <v>8852.4354999999996</v>
      </c>
      <c r="T369" s="20" t="s">
        <v>333</v>
      </c>
      <c r="U369" s="21" t="s">
        <v>344</v>
      </c>
      <c r="V369" s="29">
        <v>41.5</v>
      </c>
      <c r="W369" s="23">
        <v>6</v>
      </c>
      <c r="X369" s="24"/>
    </row>
    <row r="370" spans="1:24" s="1" customFormat="1" ht="11" customHeight="1" x14ac:dyDescent="0.3">
      <c r="A370" s="11" t="s">
        <v>607</v>
      </c>
      <c r="B370" s="11" t="s">
        <v>793</v>
      </c>
      <c r="C370" s="12" t="s">
        <v>794</v>
      </c>
      <c r="D370" s="85"/>
      <c r="E370" s="67" t="str">
        <f t="shared" ref="E370:E381" si="4">HYPERLINK("https://www.google.ru/search?q=275506-BBTE&amp;newwindow=1&amp;tbm=isch","Еще фото")</f>
        <v>Еще фото</v>
      </c>
      <c r="F370" s="14"/>
      <c r="G370" s="11" t="s">
        <v>153</v>
      </c>
      <c r="H370" s="11" t="s">
        <v>93</v>
      </c>
      <c r="I370" s="15" t="s">
        <v>154</v>
      </c>
      <c r="J370" s="15" t="s">
        <v>360</v>
      </c>
      <c r="K370" s="16" t="s">
        <v>59</v>
      </c>
      <c r="L370" s="83" t="s">
        <v>795</v>
      </c>
      <c r="M370" s="15"/>
      <c r="N370" s="15" t="s">
        <v>38</v>
      </c>
      <c r="O370" s="15"/>
      <c r="P370" s="16" t="s">
        <v>770</v>
      </c>
      <c r="Q370" s="17">
        <v>7999</v>
      </c>
      <c r="R370" s="18">
        <v>33</v>
      </c>
      <c r="S370" s="19">
        <v>6163.2294999999995</v>
      </c>
      <c r="T370" s="20" t="s">
        <v>333</v>
      </c>
      <c r="U370" s="21" t="s">
        <v>796</v>
      </c>
      <c r="V370" s="29">
        <v>32.5</v>
      </c>
      <c r="W370" s="23">
        <v>6</v>
      </c>
      <c r="X370" s="24"/>
    </row>
    <row r="371" spans="1:24" s="1" customFormat="1" ht="11" customHeight="1" x14ac:dyDescent="0.3">
      <c r="A371" s="25" t="s">
        <v>607</v>
      </c>
      <c r="B371" s="25" t="s">
        <v>793</v>
      </c>
      <c r="C371" s="12" t="s">
        <v>794</v>
      </c>
      <c r="D371" s="86"/>
      <c r="E371" s="67" t="str">
        <f t="shared" si="4"/>
        <v>Еще фото</v>
      </c>
      <c r="F371" s="14"/>
      <c r="G371" s="25" t="s">
        <v>153</v>
      </c>
      <c r="H371" s="25" t="s">
        <v>93</v>
      </c>
      <c r="I371" s="25" t="s">
        <v>154</v>
      </c>
      <c r="J371" s="15" t="s">
        <v>360</v>
      </c>
      <c r="K371" s="16" t="s">
        <v>59</v>
      </c>
      <c r="L371" s="88"/>
      <c r="M371" s="15"/>
      <c r="N371" s="15" t="s">
        <v>38</v>
      </c>
      <c r="O371" s="15"/>
      <c r="P371" s="16" t="s">
        <v>770</v>
      </c>
      <c r="Q371" s="17">
        <v>7999</v>
      </c>
      <c r="R371" s="18">
        <v>33</v>
      </c>
      <c r="S371" s="19">
        <v>6163.2294999999995</v>
      </c>
      <c r="T371" s="20" t="s">
        <v>333</v>
      </c>
      <c r="U371" s="21" t="s">
        <v>797</v>
      </c>
      <c r="V371" s="29">
        <v>33.5</v>
      </c>
      <c r="W371" s="23">
        <v>7</v>
      </c>
      <c r="X371" s="24"/>
    </row>
    <row r="372" spans="1:24" s="1" customFormat="1" ht="11" customHeight="1" x14ac:dyDescent="0.3">
      <c r="A372" s="25" t="s">
        <v>607</v>
      </c>
      <c r="B372" s="25" t="s">
        <v>793</v>
      </c>
      <c r="C372" s="12" t="s">
        <v>794</v>
      </c>
      <c r="D372" s="86"/>
      <c r="E372" s="67" t="str">
        <f t="shared" si="4"/>
        <v>Еще фото</v>
      </c>
      <c r="F372" s="14"/>
      <c r="G372" s="25" t="s">
        <v>153</v>
      </c>
      <c r="H372" s="25" t="s">
        <v>93</v>
      </c>
      <c r="I372" s="25" t="s">
        <v>154</v>
      </c>
      <c r="J372" s="15" t="s">
        <v>360</v>
      </c>
      <c r="K372" s="16" t="s">
        <v>59</v>
      </c>
      <c r="L372" s="88"/>
      <c r="M372" s="15"/>
      <c r="N372" s="15" t="s">
        <v>38</v>
      </c>
      <c r="O372" s="15"/>
      <c r="P372" s="16" t="s">
        <v>770</v>
      </c>
      <c r="Q372" s="17">
        <v>7999</v>
      </c>
      <c r="R372" s="18">
        <v>33</v>
      </c>
      <c r="S372" s="19">
        <v>6163.2294999999995</v>
      </c>
      <c r="T372" s="20" t="s">
        <v>333</v>
      </c>
      <c r="U372" s="21" t="s">
        <v>798</v>
      </c>
      <c r="V372" s="29">
        <v>26.5</v>
      </c>
      <c r="W372" s="23">
        <v>5</v>
      </c>
      <c r="X372" s="24"/>
    </row>
    <row r="373" spans="1:24" s="1" customFormat="1" ht="11" customHeight="1" x14ac:dyDescent="0.3">
      <c r="A373" s="25" t="s">
        <v>607</v>
      </c>
      <c r="B373" s="25" t="s">
        <v>793</v>
      </c>
      <c r="C373" s="12" t="s">
        <v>794</v>
      </c>
      <c r="D373" s="86"/>
      <c r="E373" s="67" t="str">
        <f t="shared" si="4"/>
        <v>Еще фото</v>
      </c>
      <c r="F373" s="14"/>
      <c r="G373" s="25" t="s">
        <v>153</v>
      </c>
      <c r="H373" s="25" t="s">
        <v>93</v>
      </c>
      <c r="I373" s="25" t="s">
        <v>154</v>
      </c>
      <c r="J373" s="15" t="s">
        <v>360</v>
      </c>
      <c r="K373" s="16" t="s">
        <v>59</v>
      </c>
      <c r="L373" s="88"/>
      <c r="M373" s="15"/>
      <c r="N373" s="15" t="s">
        <v>38</v>
      </c>
      <c r="O373" s="15"/>
      <c r="P373" s="16" t="s">
        <v>770</v>
      </c>
      <c r="Q373" s="17">
        <v>7999</v>
      </c>
      <c r="R373" s="18">
        <v>33</v>
      </c>
      <c r="S373" s="19">
        <v>6163.2294999999995</v>
      </c>
      <c r="T373" s="20" t="s">
        <v>333</v>
      </c>
      <c r="U373" s="21" t="s">
        <v>799</v>
      </c>
      <c r="V373" s="23">
        <v>27</v>
      </c>
      <c r="W373" s="23">
        <v>5</v>
      </c>
      <c r="X373" s="24"/>
    </row>
    <row r="374" spans="1:24" s="1" customFormat="1" ht="11" customHeight="1" x14ac:dyDescent="0.3">
      <c r="A374" s="25" t="s">
        <v>607</v>
      </c>
      <c r="B374" s="25" t="s">
        <v>793</v>
      </c>
      <c r="C374" s="12" t="s">
        <v>794</v>
      </c>
      <c r="D374" s="86"/>
      <c r="E374" s="67" t="str">
        <f t="shared" si="4"/>
        <v>Еще фото</v>
      </c>
      <c r="F374" s="14"/>
      <c r="G374" s="25" t="s">
        <v>153</v>
      </c>
      <c r="H374" s="25" t="s">
        <v>93</v>
      </c>
      <c r="I374" s="25" t="s">
        <v>154</v>
      </c>
      <c r="J374" s="15" t="s">
        <v>360</v>
      </c>
      <c r="K374" s="16" t="s">
        <v>59</v>
      </c>
      <c r="L374" s="88"/>
      <c r="M374" s="15"/>
      <c r="N374" s="15" t="s">
        <v>38</v>
      </c>
      <c r="O374" s="15"/>
      <c r="P374" s="16" t="s">
        <v>770</v>
      </c>
      <c r="Q374" s="17">
        <v>7999</v>
      </c>
      <c r="R374" s="18">
        <v>33</v>
      </c>
      <c r="S374" s="19">
        <v>6163.2294999999995</v>
      </c>
      <c r="T374" s="20" t="s">
        <v>333</v>
      </c>
      <c r="U374" s="21" t="s">
        <v>800</v>
      </c>
      <c r="V374" s="29">
        <v>27.5</v>
      </c>
      <c r="W374" s="23">
        <v>2</v>
      </c>
      <c r="X374" s="24"/>
    </row>
    <row r="375" spans="1:24" s="1" customFormat="1" ht="11" customHeight="1" x14ac:dyDescent="0.3">
      <c r="A375" s="25" t="s">
        <v>607</v>
      </c>
      <c r="B375" s="25" t="s">
        <v>793</v>
      </c>
      <c r="C375" s="12" t="s">
        <v>794</v>
      </c>
      <c r="D375" s="86"/>
      <c r="E375" s="67" t="str">
        <f t="shared" si="4"/>
        <v>Еще фото</v>
      </c>
      <c r="F375" s="14"/>
      <c r="G375" s="25" t="s">
        <v>153</v>
      </c>
      <c r="H375" s="25" t="s">
        <v>93</v>
      </c>
      <c r="I375" s="25" t="s">
        <v>154</v>
      </c>
      <c r="J375" s="15" t="s">
        <v>360</v>
      </c>
      <c r="K375" s="16" t="s">
        <v>59</v>
      </c>
      <c r="L375" s="88"/>
      <c r="M375" s="15"/>
      <c r="N375" s="15" t="s">
        <v>38</v>
      </c>
      <c r="O375" s="15"/>
      <c r="P375" s="16" t="s">
        <v>770</v>
      </c>
      <c r="Q375" s="17">
        <v>7999</v>
      </c>
      <c r="R375" s="18">
        <v>33</v>
      </c>
      <c r="S375" s="19">
        <v>6163.2294999999995</v>
      </c>
      <c r="T375" s="20" t="s">
        <v>333</v>
      </c>
      <c r="U375" s="21" t="s">
        <v>801</v>
      </c>
      <c r="V375" s="23">
        <v>33</v>
      </c>
      <c r="W375" s="23">
        <v>5</v>
      </c>
      <c r="X375" s="24"/>
    </row>
    <row r="376" spans="1:24" s="1" customFormat="1" ht="11" customHeight="1" x14ac:dyDescent="0.3">
      <c r="A376" s="25" t="s">
        <v>607</v>
      </c>
      <c r="B376" s="25" t="s">
        <v>793</v>
      </c>
      <c r="C376" s="12" t="s">
        <v>794</v>
      </c>
      <c r="D376" s="86"/>
      <c r="E376" s="67" t="str">
        <f t="shared" si="4"/>
        <v>Еще фото</v>
      </c>
      <c r="F376" s="14"/>
      <c r="G376" s="25" t="s">
        <v>153</v>
      </c>
      <c r="H376" s="25" t="s">
        <v>93</v>
      </c>
      <c r="I376" s="25" t="s">
        <v>154</v>
      </c>
      <c r="J376" s="15" t="s">
        <v>360</v>
      </c>
      <c r="K376" s="16" t="s">
        <v>59</v>
      </c>
      <c r="L376" s="88"/>
      <c r="M376" s="15"/>
      <c r="N376" s="15" t="s">
        <v>38</v>
      </c>
      <c r="O376" s="15"/>
      <c r="P376" s="16" t="s">
        <v>770</v>
      </c>
      <c r="Q376" s="17">
        <v>7999</v>
      </c>
      <c r="R376" s="18">
        <v>33</v>
      </c>
      <c r="S376" s="19">
        <v>6163.2294999999995</v>
      </c>
      <c r="T376" s="20" t="s">
        <v>333</v>
      </c>
      <c r="U376" s="21" t="s">
        <v>802</v>
      </c>
      <c r="V376" s="23">
        <v>28</v>
      </c>
      <c r="W376" s="23">
        <v>9</v>
      </c>
      <c r="X376" s="24"/>
    </row>
    <row r="377" spans="1:24" s="1" customFormat="1" ht="11" customHeight="1" x14ac:dyDescent="0.3">
      <c r="A377" s="25" t="s">
        <v>607</v>
      </c>
      <c r="B377" s="25" t="s">
        <v>793</v>
      </c>
      <c r="C377" s="12" t="s">
        <v>794</v>
      </c>
      <c r="D377" s="86"/>
      <c r="E377" s="67" t="str">
        <f t="shared" si="4"/>
        <v>Еще фото</v>
      </c>
      <c r="F377" s="14"/>
      <c r="G377" s="25" t="s">
        <v>153</v>
      </c>
      <c r="H377" s="25" t="s">
        <v>93</v>
      </c>
      <c r="I377" s="25" t="s">
        <v>154</v>
      </c>
      <c r="J377" s="15" t="s">
        <v>360</v>
      </c>
      <c r="K377" s="16" t="s">
        <v>59</v>
      </c>
      <c r="L377" s="88"/>
      <c r="M377" s="15"/>
      <c r="N377" s="15" t="s">
        <v>38</v>
      </c>
      <c r="O377" s="15"/>
      <c r="P377" s="16" t="s">
        <v>770</v>
      </c>
      <c r="Q377" s="17">
        <v>7999</v>
      </c>
      <c r="R377" s="18">
        <v>33</v>
      </c>
      <c r="S377" s="19">
        <v>6163.2294999999995</v>
      </c>
      <c r="T377" s="20" t="s">
        <v>333</v>
      </c>
      <c r="U377" s="21" t="s">
        <v>803</v>
      </c>
      <c r="V377" s="23">
        <v>29</v>
      </c>
      <c r="W377" s="23">
        <v>2</v>
      </c>
      <c r="X377" s="24"/>
    </row>
    <row r="378" spans="1:24" s="1" customFormat="1" ht="11" customHeight="1" x14ac:dyDescent="0.3">
      <c r="A378" s="25" t="s">
        <v>607</v>
      </c>
      <c r="B378" s="25" t="s">
        <v>793</v>
      </c>
      <c r="C378" s="12" t="s">
        <v>794</v>
      </c>
      <c r="D378" s="86"/>
      <c r="E378" s="67" t="str">
        <f t="shared" si="4"/>
        <v>Еще фото</v>
      </c>
      <c r="F378" s="14"/>
      <c r="G378" s="25" t="s">
        <v>153</v>
      </c>
      <c r="H378" s="25" t="s">
        <v>93</v>
      </c>
      <c r="I378" s="25" t="s">
        <v>154</v>
      </c>
      <c r="J378" s="15" t="s">
        <v>360</v>
      </c>
      <c r="K378" s="16" t="s">
        <v>59</v>
      </c>
      <c r="L378" s="88"/>
      <c r="M378" s="15"/>
      <c r="N378" s="15" t="s">
        <v>38</v>
      </c>
      <c r="O378" s="15"/>
      <c r="P378" s="16" t="s">
        <v>770</v>
      </c>
      <c r="Q378" s="17">
        <v>7999</v>
      </c>
      <c r="R378" s="18">
        <v>33</v>
      </c>
      <c r="S378" s="19">
        <v>6163.2294999999995</v>
      </c>
      <c r="T378" s="20" t="s">
        <v>333</v>
      </c>
      <c r="U378" s="21" t="s">
        <v>804</v>
      </c>
      <c r="V378" s="23">
        <v>30</v>
      </c>
      <c r="W378" s="23">
        <v>4</v>
      </c>
      <c r="X378" s="24"/>
    </row>
    <row r="379" spans="1:24" s="1" customFormat="1" ht="11" customHeight="1" x14ac:dyDescent="0.3">
      <c r="A379" s="15" t="s">
        <v>607</v>
      </c>
      <c r="B379" s="15" t="s">
        <v>793</v>
      </c>
      <c r="C379" s="12" t="s">
        <v>794</v>
      </c>
      <c r="D379" s="86"/>
      <c r="E379" s="67" t="str">
        <f t="shared" si="4"/>
        <v>Еще фото</v>
      </c>
      <c r="F379" s="56"/>
      <c r="G379" s="15" t="s">
        <v>153</v>
      </c>
      <c r="H379" s="15" t="s">
        <v>93</v>
      </c>
      <c r="I379" s="15" t="s">
        <v>154</v>
      </c>
      <c r="J379" s="15" t="s">
        <v>360</v>
      </c>
      <c r="K379" s="15" t="s">
        <v>59</v>
      </c>
      <c r="L379" s="88"/>
      <c r="M379" s="15"/>
      <c r="N379" s="15" t="s">
        <v>38</v>
      </c>
      <c r="O379" s="15"/>
      <c r="P379" s="15" t="s">
        <v>770</v>
      </c>
      <c r="Q379" s="57">
        <v>7999</v>
      </c>
      <c r="R379" s="58">
        <v>33</v>
      </c>
      <c r="S379" s="59">
        <v>6163.2294999999995</v>
      </c>
      <c r="T379" s="20" t="s">
        <v>333</v>
      </c>
      <c r="U379" s="21" t="s">
        <v>805</v>
      </c>
      <c r="V379" s="29">
        <v>30.5</v>
      </c>
      <c r="W379" s="23">
        <v>6</v>
      </c>
      <c r="X379" s="24"/>
    </row>
    <row r="380" spans="1:24" s="1" customFormat="1" ht="11" customHeight="1" x14ac:dyDescent="0.3">
      <c r="A380" s="15" t="s">
        <v>607</v>
      </c>
      <c r="B380" s="15" t="s">
        <v>793</v>
      </c>
      <c r="C380" s="12" t="s">
        <v>794</v>
      </c>
      <c r="D380" s="86"/>
      <c r="E380" s="67" t="str">
        <f t="shared" si="4"/>
        <v>Еще фото</v>
      </c>
      <c r="F380" s="56"/>
      <c r="G380" s="15" t="s">
        <v>153</v>
      </c>
      <c r="H380" s="15" t="s">
        <v>93</v>
      </c>
      <c r="I380" s="15" t="s">
        <v>154</v>
      </c>
      <c r="J380" s="15" t="s">
        <v>360</v>
      </c>
      <c r="K380" s="15" t="s">
        <v>59</v>
      </c>
      <c r="L380" s="88"/>
      <c r="M380" s="15"/>
      <c r="N380" s="15" t="s">
        <v>38</v>
      </c>
      <c r="O380" s="15"/>
      <c r="P380" s="15" t="s">
        <v>770</v>
      </c>
      <c r="Q380" s="57">
        <v>7999</v>
      </c>
      <c r="R380" s="58">
        <v>33</v>
      </c>
      <c r="S380" s="59">
        <v>6163.2294999999995</v>
      </c>
      <c r="T380" s="20" t="s">
        <v>333</v>
      </c>
      <c r="U380" s="21" t="s">
        <v>806</v>
      </c>
      <c r="V380" s="23">
        <v>31</v>
      </c>
      <c r="W380" s="23">
        <v>14</v>
      </c>
      <c r="X380" s="24"/>
    </row>
    <row r="381" spans="1:24" s="1" customFormat="1" ht="11" customHeight="1" x14ac:dyDescent="0.3">
      <c r="A381" s="15" t="s">
        <v>607</v>
      </c>
      <c r="B381" s="15" t="s">
        <v>793</v>
      </c>
      <c r="C381" s="12" t="s">
        <v>794</v>
      </c>
      <c r="D381" s="87"/>
      <c r="E381" s="67" t="str">
        <f t="shared" si="4"/>
        <v>Еще фото</v>
      </c>
      <c r="F381" s="56"/>
      <c r="G381" s="15" t="s">
        <v>153</v>
      </c>
      <c r="H381" s="15" t="s">
        <v>93</v>
      </c>
      <c r="I381" s="15" t="s">
        <v>154</v>
      </c>
      <c r="J381" s="15" t="s">
        <v>360</v>
      </c>
      <c r="K381" s="15" t="s">
        <v>59</v>
      </c>
      <c r="L381" s="84"/>
      <c r="M381" s="15"/>
      <c r="N381" s="15" t="s">
        <v>38</v>
      </c>
      <c r="O381" s="15"/>
      <c r="P381" s="15" t="s">
        <v>770</v>
      </c>
      <c r="Q381" s="57">
        <v>7999</v>
      </c>
      <c r="R381" s="58">
        <v>33</v>
      </c>
      <c r="S381" s="59">
        <v>6163.2294999999995</v>
      </c>
      <c r="T381" s="20" t="s">
        <v>333</v>
      </c>
      <c r="U381" s="21" t="s">
        <v>807</v>
      </c>
      <c r="V381" s="29">
        <v>31.5</v>
      </c>
      <c r="W381" s="23">
        <v>7</v>
      </c>
      <c r="X381" s="24"/>
    </row>
    <row r="382" spans="1:24" s="1" customFormat="1" ht="11" customHeight="1" x14ac:dyDescent="0.3">
      <c r="A382" s="11" t="s">
        <v>607</v>
      </c>
      <c r="B382" s="11" t="s">
        <v>808</v>
      </c>
      <c r="C382" s="12" t="s">
        <v>809</v>
      </c>
      <c r="D382" s="85"/>
      <c r="E382" s="67" t="str">
        <f t="shared" ref="E382:E392" si="5">HYPERLINK("https://www.google.ru/search?q=275516-RDDR&amp;newwindow=1&amp;tbm=isch","Еще фото")</f>
        <v>Еще фото</v>
      </c>
      <c r="F382" s="14"/>
      <c r="G382" s="11" t="s">
        <v>153</v>
      </c>
      <c r="H382" s="11" t="s">
        <v>93</v>
      </c>
      <c r="I382" s="15" t="s">
        <v>154</v>
      </c>
      <c r="J382" s="15" t="s">
        <v>360</v>
      </c>
      <c r="K382" s="16" t="s">
        <v>59</v>
      </c>
      <c r="L382" s="83" t="s">
        <v>795</v>
      </c>
      <c r="M382" s="15"/>
      <c r="N382" s="15" t="s">
        <v>73</v>
      </c>
      <c r="O382" s="15"/>
      <c r="P382" s="16" t="s">
        <v>770</v>
      </c>
      <c r="Q382" s="17">
        <v>7999</v>
      </c>
      <c r="R382" s="18">
        <v>33</v>
      </c>
      <c r="S382" s="19">
        <v>6163.2294999999995</v>
      </c>
      <c r="T382" s="20" t="s">
        <v>333</v>
      </c>
      <c r="U382" s="21" t="s">
        <v>796</v>
      </c>
      <c r="V382" s="29">
        <v>32.5</v>
      </c>
      <c r="W382" s="23">
        <v>7</v>
      </c>
      <c r="X382" s="24"/>
    </row>
    <row r="383" spans="1:24" s="1" customFormat="1" ht="11" customHeight="1" x14ac:dyDescent="0.3">
      <c r="A383" s="25" t="s">
        <v>607</v>
      </c>
      <c r="B383" s="25" t="s">
        <v>808</v>
      </c>
      <c r="C383" s="12" t="s">
        <v>809</v>
      </c>
      <c r="D383" s="86"/>
      <c r="E383" s="67" t="str">
        <f t="shared" si="5"/>
        <v>Еще фото</v>
      </c>
      <c r="F383" s="14"/>
      <c r="G383" s="25" t="s">
        <v>153</v>
      </c>
      <c r="H383" s="25" t="s">
        <v>93</v>
      </c>
      <c r="I383" s="25" t="s">
        <v>154</v>
      </c>
      <c r="J383" s="15" t="s">
        <v>360</v>
      </c>
      <c r="K383" s="16" t="s">
        <v>59</v>
      </c>
      <c r="L383" s="88"/>
      <c r="M383" s="15"/>
      <c r="N383" s="15" t="s">
        <v>73</v>
      </c>
      <c r="O383" s="15"/>
      <c r="P383" s="16" t="s">
        <v>770</v>
      </c>
      <c r="Q383" s="17">
        <v>7999</v>
      </c>
      <c r="R383" s="18">
        <v>33</v>
      </c>
      <c r="S383" s="19">
        <v>6163.2294999999995</v>
      </c>
      <c r="T383" s="20" t="s">
        <v>333</v>
      </c>
      <c r="U383" s="21" t="s">
        <v>798</v>
      </c>
      <c r="V383" s="29">
        <v>26.5</v>
      </c>
      <c r="W383" s="23">
        <v>3</v>
      </c>
      <c r="X383" s="24"/>
    </row>
    <row r="384" spans="1:24" s="1" customFormat="1" ht="11" customHeight="1" x14ac:dyDescent="0.3">
      <c r="A384" s="25" t="s">
        <v>607</v>
      </c>
      <c r="B384" s="25" t="s">
        <v>808</v>
      </c>
      <c r="C384" s="12" t="s">
        <v>809</v>
      </c>
      <c r="D384" s="86"/>
      <c r="E384" s="67" t="str">
        <f t="shared" si="5"/>
        <v>Еще фото</v>
      </c>
      <c r="F384" s="14"/>
      <c r="G384" s="25" t="s">
        <v>153</v>
      </c>
      <c r="H384" s="25" t="s">
        <v>93</v>
      </c>
      <c r="I384" s="25" t="s">
        <v>154</v>
      </c>
      <c r="J384" s="15" t="s">
        <v>360</v>
      </c>
      <c r="K384" s="16" t="s">
        <v>59</v>
      </c>
      <c r="L384" s="88"/>
      <c r="M384" s="15"/>
      <c r="N384" s="15" t="s">
        <v>73</v>
      </c>
      <c r="O384" s="15"/>
      <c r="P384" s="16" t="s">
        <v>770</v>
      </c>
      <c r="Q384" s="17">
        <v>7999</v>
      </c>
      <c r="R384" s="18">
        <v>33</v>
      </c>
      <c r="S384" s="19">
        <v>6163.2294999999995</v>
      </c>
      <c r="T384" s="20" t="s">
        <v>333</v>
      </c>
      <c r="U384" s="21" t="s">
        <v>799</v>
      </c>
      <c r="V384" s="23">
        <v>27</v>
      </c>
      <c r="W384" s="23">
        <v>1</v>
      </c>
      <c r="X384" s="24"/>
    </row>
    <row r="385" spans="1:24" s="1" customFormat="1" ht="11" customHeight="1" x14ac:dyDescent="0.3">
      <c r="A385" s="25" t="s">
        <v>607</v>
      </c>
      <c r="B385" s="25" t="s">
        <v>808</v>
      </c>
      <c r="C385" s="12" t="s">
        <v>809</v>
      </c>
      <c r="D385" s="86"/>
      <c r="E385" s="67" t="str">
        <f t="shared" si="5"/>
        <v>Еще фото</v>
      </c>
      <c r="F385" s="14"/>
      <c r="G385" s="25" t="s">
        <v>153</v>
      </c>
      <c r="H385" s="25" t="s">
        <v>93</v>
      </c>
      <c r="I385" s="25" t="s">
        <v>154</v>
      </c>
      <c r="J385" s="15" t="s">
        <v>360</v>
      </c>
      <c r="K385" s="16" t="s">
        <v>59</v>
      </c>
      <c r="L385" s="88"/>
      <c r="M385" s="15"/>
      <c r="N385" s="15" t="s">
        <v>73</v>
      </c>
      <c r="O385" s="15"/>
      <c r="P385" s="16" t="s">
        <v>770</v>
      </c>
      <c r="Q385" s="17">
        <v>7999</v>
      </c>
      <c r="R385" s="18">
        <v>33</v>
      </c>
      <c r="S385" s="19">
        <v>6163.2294999999995</v>
      </c>
      <c r="T385" s="20" t="s">
        <v>333</v>
      </c>
      <c r="U385" s="21" t="s">
        <v>800</v>
      </c>
      <c r="V385" s="29">
        <v>27.5</v>
      </c>
      <c r="W385" s="23">
        <v>8</v>
      </c>
      <c r="X385" s="24"/>
    </row>
    <row r="386" spans="1:24" s="1" customFormat="1" ht="11" customHeight="1" x14ac:dyDescent="0.3">
      <c r="A386" s="25" t="s">
        <v>607</v>
      </c>
      <c r="B386" s="25" t="s">
        <v>808</v>
      </c>
      <c r="C386" s="12" t="s">
        <v>809</v>
      </c>
      <c r="D386" s="86"/>
      <c r="E386" s="67" t="str">
        <f t="shared" si="5"/>
        <v>Еще фото</v>
      </c>
      <c r="F386" s="14"/>
      <c r="G386" s="25" t="s">
        <v>153</v>
      </c>
      <c r="H386" s="25" t="s">
        <v>93</v>
      </c>
      <c r="I386" s="25" t="s">
        <v>154</v>
      </c>
      <c r="J386" s="15" t="s">
        <v>360</v>
      </c>
      <c r="K386" s="16" t="s">
        <v>59</v>
      </c>
      <c r="L386" s="88"/>
      <c r="M386" s="15"/>
      <c r="N386" s="15" t="s">
        <v>73</v>
      </c>
      <c r="O386" s="15"/>
      <c r="P386" s="16" t="s">
        <v>770</v>
      </c>
      <c r="Q386" s="17">
        <v>7999</v>
      </c>
      <c r="R386" s="18">
        <v>33</v>
      </c>
      <c r="S386" s="19">
        <v>6163.2294999999995</v>
      </c>
      <c r="T386" s="20" t="s">
        <v>333</v>
      </c>
      <c r="U386" s="21" t="s">
        <v>802</v>
      </c>
      <c r="V386" s="23">
        <v>28</v>
      </c>
      <c r="W386" s="23">
        <v>10</v>
      </c>
      <c r="X386" s="24"/>
    </row>
    <row r="387" spans="1:24" s="1" customFormat="1" ht="11" customHeight="1" x14ac:dyDescent="0.3">
      <c r="A387" s="25" t="s">
        <v>607</v>
      </c>
      <c r="B387" s="25" t="s">
        <v>808</v>
      </c>
      <c r="C387" s="12" t="s">
        <v>809</v>
      </c>
      <c r="D387" s="86"/>
      <c r="E387" s="67" t="str">
        <f t="shared" si="5"/>
        <v>Еще фото</v>
      </c>
      <c r="F387" s="14"/>
      <c r="G387" s="25" t="s">
        <v>153</v>
      </c>
      <c r="H387" s="25" t="s">
        <v>93</v>
      </c>
      <c r="I387" s="25" t="s">
        <v>154</v>
      </c>
      <c r="J387" s="15" t="s">
        <v>360</v>
      </c>
      <c r="K387" s="16" t="s">
        <v>59</v>
      </c>
      <c r="L387" s="88"/>
      <c r="M387" s="15"/>
      <c r="N387" s="15" t="s">
        <v>73</v>
      </c>
      <c r="O387" s="15"/>
      <c r="P387" s="16" t="s">
        <v>770</v>
      </c>
      <c r="Q387" s="17">
        <v>7999</v>
      </c>
      <c r="R387" s="18">
        <v>33</v>
      </c>
      <c r="S387" s="19">
        <v>6163.2294999999995</v>
      </c>
      <c r="T387" s="20" t="s">
        <v>333</v>
      </c>
      <c r="U387" s="21" t="s">
        <v>801</v>
      </c>
      <c r="V387" s="23">
        <v>33</v>
      </c>
      <c r="W387" s="23">
        <v>3</v>
      </c>
      <c r="X387" s="24"/>
    </row>
    <row r="388" spans="1:24" s="1" customFormat="1" ht="11" customHeight="1" x14ac:dyDescent="0.3">
      <c r="A388" s="25" t="s">
        <v>607</v>
      </c>
      <c r="B388" s="25" t="s">
        <v>808</v>
      </c>
      <c r="C388" s="12" t="s">
        <v>809</v>
      </c>
      <c r="D388" s="86"/>
      <c r="E388" s="67" t="str">
        <f t="shared" si="5"/>
        <v>Еще фото</v>
      </c>
      <c r="F388" s="14"/>
      <c r="G388" s="25" t="s">
        <v>153</v>
      </c>
      <c r="H388" s="25" t="s">
        <v>93</v>
      </c>
      <c r="I388" s="25" t="s">
        <v>154</v>
      </c>
      <c r="J388" s="15" t="s">
        <v>360</v>
      </c>
      <c r="K388" s="16" t="s">
        <v>59</v>
      </c>
      <c r="L388" s="88"/>
      <c r="M388" s="15"/>
      <c r="N388" s="15" t="s">
        <v>73</v>
      </c>
      <c r="O388" s="15"/>
      <c r="P388" s="16" t="s">
        <v>770</v>
      </c>
      <c r="Q388" s="17">
        <v>7999</v>
      </c>
      <c r="R388" s="18">
        <v>33</v>
      </c>
      <c r="S388" s="19">
        <v>6163.2294999999995</v>
      </c>
      <c r="T388" s="20" t="s">
        <v>333</v>
      </c>
      <c r="U388" s="21" t="s">
        <v>803</v>
      </c>
      <c r="V388" s="23">
        <v>29</v>
      </c>
      <c r="W388" s="23">
        <v>9</v>
      </c>
      <c r="X388" s="24"/>
    </row>
    <row r="389" spans="1:24" s="1" customFormat="1" ht="11" customHeight="1" x14ac:dyDescent="0.3">
      <c r="A389" s="25" t="s">
        <v>607</v>
      </c>
      <c r="B389" s="25" t="s">
        <v>808</v>
      </c>
      <c r="C389" s="12" t="s">
        <v>809</v>
      </c>
      <c r="D389" s="86"/>
      <c r="E389" s="67" t="str">
        <f t="shared" si="5"/>
        <v>Еще фото</v>
      </c>
      <c r="F389" s="14"/>
      <c r="G389" s="25" t="s">
        <v>153</v>
      </c>
      <c r="H389" s="25" t="s">
        <v>93</v>
      </c>
      <c r="I389" s="25" t="s">
        <v>154</v>
      </c>
      <c r="J389" s="15" t="s">
        <v>360</v>
      </c>
      <c r="K389" s="16" t="s">
        <v>59</v>
      </c>
      <c r="L389" s="88"/>
      <c r="M389" s="15"/>
      <c r="N389" s="15" t="s">
        <v>73</v>
      </c>
      <c r="O389" s="15"/>
      <c r="P389" s="16" t="s">
        <v>770</v>
      </c>
      <c r="Q389" s="17">
        <v>7999</v>
      </c>
      <c r="R389" s="18">
        <v>33</v>
      </c>
      <c r="S389" s="19">
        <v>6163.2294999999995</v>
      </c>
      <c r="T389" s="20" t="s">
        <v>333</v>
      </c>
      <c r="U389" s="21" t="s">
        <v>804</v>
      </c>
      <c r="V389" s="23">
        <v>30</v>
      </c>
      <c r="W389" s="23">
        <v>9</v>
      </c>
      <c r="X389" s="24"/>
    </row>
    <row r="390" spans="1:24" s="1" customFormat="1" ht="11" customHeight="1" x14ac:dyDescent="0.3">
      <c r="A390" s="25" t="s">
        <v>607</v>
      </c>
      <c r="B390" s="25" t="s">
        <v>808</v>
      </c>
      <c r="C390" s="12" t="s">
        <v>809</v>
      </c>
      <c r="D390" s="86"/>
      <c r="E390" s="67" t="str">
        <f t="shared" si="5"/>
        <v>Еще фото</v>
      </c>
      <c r="F390" s="14"/>
      <c r="G390" s="25" t="s">
        <v>153</v>
      </c>
      <c r="H390" s="25" t="s">
        <v>93</v>
      </c>
      <c r="I390" s="25" t="s">
        <v>154</v>
      </c>
      <c r="J390" s="15" t="s">
        <v>360</v>
      </c>
      <c r="K390" s="16" t="s">
        <v>59</v>
      </c>
      <c r="L390" s="88"/>
      <c r="M390" s="15"/>
      <c r="N390" s="15" t="s">
        <v>73</v>
      </c>
      <c r="O390" s="15"/>
      <c r="P390" s="16" t="s">
        <v>770</v>
      </c>
      <c r="Q390" s="17">
        <v>7999</v>
      </c>
      <c r="R390" s="18">
        <v>33</v>
      </c>
      <c r="S390" s="19">
        <v>6163.2294999999995</v>
      </c>
      <c r="T390" s="20" t="s">
        <v>333</v>
      </c>
      <c r="U390" s="21" t="s">
        <v>805</v>
      </c>
      <c r="V390" s="29">
        <v>30.5</v>
      </c>
      <c r="W390" s="23">
        <v>9</v>
      </c>
      <c r="X390" s="24"/>
    </row>
    <row r="391" spans="1:24" s="1" customFormat="1" ht="11" customHeight="1" x14ac:dyDescent="0.3">
      <c r="A391" s="15" t="s">
        <v>607</v>
      </c>
      <c r="B391" s="15" t="s">
        <v>808</v>
      </c>
      <c r="C391" s="12" t="s">
        <v>809</v>
      </c>
      <c r="D391" s="86"/>
      <c r="E391" s="67" t="str">
        <f t="shared" si="5"/>
        <v>Еще фото</v>
      </c>
      <c r="F391" s="56"/>
      <c r="G391" s="15" t="s">
        <v>153</v>
      </c>
      <c r="H391" s="15" t="s">
        <v>93</v>
      </c>
      <c r="I391" s="15" t="s">
        <v>154</v>
      </c>
      <c r="J391" s="15" t="s">
        <v>360</v>
      </c>
      <c r="K391" s="15" t="s">
        <v>59</v>
      </c>
      <c r="L391" s="88"/>
      <c r="M391" s="15"/>
      <c r="N391" s="15" t="s">
        <v>73</v>
      </c>
      <c r="O391" s="15"/>
      <c r="P391" s="15" t="s">
        <v>770</v>
      </c>
      <c r="Q391" s="57">
        <v>7999</v>
      </c>
      <c r="R391" s="58">
        <v>33</v>
      </c>
      <c r="S391" s="59">
        <v>6163.2294999999995</v>
      </c>
      <c r="T391" s="20" t="s">
        <v>333</v>
      </c>
      <c r="U391" s="21" t="s">
        <v>806</v>
      </c>
      <c r="V391" s="23">
        <v>31</v>
      </c>
      <c r="W391" s="23">
        <v>9</v>
      </c>
      <c r="X391" s="24"/>
    </row>
    <row r="392" spans="1:24" s="1" customFormat="1" ht="11" customHeight="1" x14ac:dyDescent="0.3">
      <c r="A392" s="15" t="s">
        <v>607</v>
      </c>
      <c r="B392" s="15" t="s">
        <v>808</v>
      </c>
      <c r="C392" s="12" t="s">
        <v>809</v>
      </c>
      <c r="D392" s="87"/>
      <c r="E392" s="67" t="str">
        <f t="shared" si="5"/>
        <v>Еще фото</v>
      </c>
      <c r="F392" s="56"/>
      <c r="G392" s="15" t="s">
        <v>153</v>
      </c>
      <c r="H392" s="15" t="s">
        <v>93</v>
      </c>
      <c r="I392" s="15" t="s">
        <v>154</v>
      </c>
      <c r="J392" s="15" t="s">
        <v>360</v>
      </c>
      <c r="K392" s="15" t="s">
        <v>59</v>
      </c>
      <c r="L392" s="84"/>
      <c r="M392" s="15"/>
      <c r="N392" s="15" t="s">
        <v>73</v>
      </c>
      <c r="O392" s="15"/>
      <c r="P392" s="15" t="s">
        <v>770</v>
      </c>
      <c r="Q392" s="57">
        <v>7999</v>
      </c>
      <c r="R392" s="58">
        <v>33</v>
      </c>
      <c r="S392" s="59">
        <v>6163.2294999999995</v>
      </c>
      <c r="T392" s="20" t="s">
        <v>333</v>
      </c>
      <c r="U392" s="21" t="s">
        <v>807</v>
      </c>
      <c r="V392" s="29">
        <v>31.5</v>
      </c>
      <c r="W392" s="23">
        <v>11</v>
      </c>
      <c r="X392" s="24"/>
    </row>
    <row r="393" spans="1:24" s="1" customFormat="1" ht="17" customHeight="1" x14ac:dyDescent="0.3">
      <c r="A393" s="11" t="s">
        <v>607</v>
      </c>
      <c r="B393" s="11" t="s">
        <v>810</v>
      </c>
      <c r="C393" s="12" t="s">
        <v>811</v>
      </c>
      <c r="D393" s="85"/>
      <c r="E393" s="67" t="str">
        <f t="shared" ref="E393:E398" si="6">HYPERLINK("https://www.google.ru/search?q=273105-BKWH&amp;newwindow=1&amp;tbm=isch","Еще фото")</f>
        <v>Еще фото</v>
      </c>
      <c r="F393" s="14"/>
      <c r="G393" s="11" t="s">
        <v>153</v>
      </c>
      <c r="H393" s="11" t="s">
        <v>93</v>
      </c>
      <c r="I393" s="15" t="s">
        <v>154</v>
      </c>
      <c r="J393" s="15" t="s">
        <v>360</v>
      </c>
      <c r="K393" s="16" t="s">
        <v>45</v>
      </c>
      <c r="L393" s="83" t="s">
        <v>812</v>
      </c>
      <c r="M393" s="15"/>
      <c r="N393" s="15" t="s">
        <v>341</v>
      </c>
      <c r="O393" s="15"/>
      <c r="P393" s="16" t="s">
        <v>401</v>
      </c>
      <c r="Q393" s="17">
        <v>18899</v>
      </c>
      <c r="R393" s="18">
        <v>30</v>
      </c>
      <c r="S393" s="19">
        <v>15213.694999999998</v>
      </c>
      <c r="T393" s="20" t="s">
        <v>333</v>
      </c>
      <c r="U393" s="21" t="s">
        <v>356</v>
      </c>
      <c r="V393" s="29">
        <v>39.5</v>
      </c>
      <c r="W393" s="23">
        <v>1</v>
      </c>
      <c r="X393" s="24"/>
    </row>
    <row r="394" spans="1:24" s="1" customFormat="1" ht="17" customHeight="1" x14ac:dyDescent="0.3">
      <c r="A394" s="25" t="s">
        <v>607</v>
      </c>
      <c r="B394" s="25" t="s">
        <v>810</v>
      </c>
      <c r="C394" s="12" t="s">
        <v>811</v>
      </c>
      <c r="D394" s="86"/>
      <c r="E394" s="67" t="str">
        <f t="shared" si="6"/>
        <v>Еще фото</v>
      </c>
      <c r="F394" s="14"/>
      <c r="G394" s="25" t="s">
        <v>153</v>
      </c>
      <c r="H394" s="25" t="s">
        <v>93</v>
      </c>
      <c r="I394" s="25" t="s">
        <v>154</v>
      </c>
      <c r="J394" s="15" t="s">
        <v>360</v>
      </c>
      <c r="K394" s="16" t="s">
        <v>45</v>
      </c>
      <c r="L394" s="88"/>
      <c r="M394" s="15"/>
      <c r="N394" s="15" t="s">
        <v>341</v>
      </c>
      <c r="O394" s="15"/>
      <c r="P394" s="16" t="s">
        <v>401</v>
      </c>
      <c r="Q394" s="17">
        <v>18899</v>
      </c>
      <c r="R394" s="18">
        <v>30</v>
      </c>
      <c r="S394" s="19">
        <v>15213.694999999998</v>
      </c>
      <c r="T394" s="20" t="s">
        <v>333</v>
      </c>
      <c r="U394" s="21" t="s">
        <v>357</v>
      </c>
      <c r="V394" s="23">
        <v>40</v>
      </c>
      <c r="W394" s="23">
        <v>4</v>
      </c>
      <c r="X394" s="24"/>
    </row>
    <row r="395" spans="1:24" s="1" customFormat="1" ht="17" customHeight="1" x14ac:dyDescent="0.3">
      <c r="A395" s="25" t="s">
        <v>607</v>
      </c>
      <c r="B395" s="25" t="s">
        <v>810</v>
      </c>
      <c r="C395" s="12" t="s">
        <v>811</v>
      </c>
      <c r="D395" s="86"/>
      <c r="E395" s="67" t="str">
        <f t="shared" si="6"/>
        <v>Еще фото</v>
      </c>
      <c r="F395" s="14"/>
      <c r="G395" s="25" t="s">
        <v>153</v>
      </c>
      <c r="H395" s="25" t="s">
        <v>93</v>
      </c>
      <c r="I395" s="25" t="s">
        <v>154</v>
      </c>
      <c r="J395" s="15" t="s">
        <v>360</v>
      </c>
      <c r="K395" s="16" t="s">
        <v>45</v>
      </c>
      <c r="L395" s="88"/>
      <c r="M395" s="15"/>
      <c r="N395" s="15" t="s">
        <v>341</v>
      </c>
      <c r="O395" s="15"/>
      <c r="P395" s="16" t="s">
        <v>401</v>
      </c>
      <c r="Q395" s="17">
        <v>18899</v>
      </c>
      <c r="R395" s="18">
        <v>30</v>
      </c>
      <c r="S395" s="19">
        <v>15213.694999999998</v>
      </c>
      <c r="T395" s="20" t="s">
        <v>333</v>
      </c>
      <c r="U395" s="21" t="s">
        <v>343</v>
      </c>
      <c r="V395" s="23">
        <v>41</v>
      </c>
      <c r="W395" s="23">
        <v>2</v>
      </c>
      <c r="X395" s="24"/>
    </row>
    <row r="396" spans="1:24" s="1" customFormat="1" ht="17" customHeight="1" x14ac:dyDescent="0.3">
      <c r="A396" s="25" t="s">
        <v>607</v>
      </c>
      <c r="B396" s="25" t="s">
        <v>810</v>
      </c>
      <c r="C396" s="12" t="s">
        <v>811</v>
      </c>
      <c r="D396" s="86"/>
      <c r="E396" s="67" t="str">
        <f t="shared" si="6"/>
        <v>Еще фото</v>
      </c>
      <c r="F396" s="14"/>
      <c r="G396" s="25" t="s">
        <v>153</v>
      </c>
      <c r="H396" s="25" t="s">
        <v>93</v>
      </c>
      <c r="I396" s="25" t="s">
        <v>154</v>
      </c>
      <c r="J396" s="15" t="s">
        <v>360</v>
      </c>
      <c r="K396" s="16" t="s">
        <v>45</v>
      </c>
      <c r="L396" s="88"/>
      <c r="M396" s="15"/>
      <c r="N396" s="15" t="s">
        <v>341</v>
      </c>
      <c r="O396" s="15"/>
      <c r="P396" s="16" t="s">
        <v>401</v>
      </c>
      <c r="Q396" s="17">
        <v>18899</v>
      </c>
      <c r="R396" s="18">
        <v>30</v>
      </c>
      <c r="S396" s="19">
        <v>15213.694999999998</v>
      </c>
      <c r="T396" s="20" t="s">
        <v>333</v>
      </c>
      <c r="U396" s="21" t="s">
        <v>344</v>
      </c>
      <c r="V396" s="29">
        <v>41.5</v>
      </c>
      <c r="W396" s="23">
        <v>1</v>
      </c>
      <c r="X396" s="24"/>
    </row>
    <row r="397" spans="1:24" s="1" customFormat="1" ht="17" customHeight="1" x14ac:dyDescent="0.3">
      <c r="A397" s="25" t="s">
        <v>607</v>
      </c>
      <c r="B397" s="25" t="s">
        <v>810</v>
      </c>
      <c r="C397" s="12" t="s">
        <v>811</v>
      </c>
      <c r="D397" s="86"/>
      <c r="E397" s="67" t="str">
        <f t="shared" si="6"/>
        <v>Еще фото</v>
      </c>
      <c r="F397" s="14"/>
      <c r="G397" s="25" t="s">
        <v>153</v>
      </c>
      <c r="H397" s="25" t="s">
        <v>93</v>
      </c>
      <c r="I397" s="25" t="s">
        <v>154</v>
      </c>
      <c r="J397" s="15" t="s">
        <v>360</v>
      </c>
      <c r="K397" s="16" t="s">
        <v>45</v>
      </c>
      <c r="L397" s="88"/>
      <c r="M397" s="15"/>
      <c r="N397" s="15" t="s">
        <v>341</v>
      </c>
      <c r="O397" s="15"/>
      <c r="P397" s="16" t="s">
        <v>401</v>
      </c>
      <c r="Q397" s="17">
        <v>18899</v>
      </c>
      <c r="R397" s="18">
        <v>30</v>
      </c>
      <c r="S397" s="19">
        <v>15213.694999999998</v>
      </c>
      <c r="T397" s="20" t="s">
        <v>333</v>
      </c>
      <c r="U397" s="21" t="s">
        <v>345</v>
      </c>
      <c r="V397" s="23">
        <v>42</v>
      </c>
      <c r="W397" s="23">
        <v>1</v>
      </c>
      <c r="X397" s="24"/>
    </row>
    <row r="398" spans="1:24" s="1" customFormat="1" ht="22.05" customHeight="1" x14ac:dyDescent="0.3">
      <c r="A398" s="25" t="s">
        <v>607</v>
      </c>
      <c r="B398" s="25" t="s">
        <v>810</v>
      </c>
      <c r="C398" s="12" t="s">
        <v>811</v>
      </c>
      <c r="D398" s="87"/>
      <c r="E398" s="67" t="str">
        <f t="shared" si="6"/>
        <v>Еще фото</v>
      </c>
      <c r="F398" s="14"/>
      <c r="G398" s="25" t="s">
        <v>153</v>
      </c>
      <c r="H398" s="25" t="s">
        <v>93</v>
      </c>
      <c r="I398" s="25" t="s">
        <v>154</v>
      </c>
      <c r="J398" s="15" t="s">
        <v>360</v>
      </c>
      <c r="K398" s="16" t="s">
        <v>45</v>
      </c>
      <c r="L398" s="84"/>
      <c r="M398" s="15"/>
      <c r="N398" s="15" t="s">
        <v>341</v>
      </c>
      <c r="O398" s="15"/>
      <c r="P398" s="16" t="s">
        <v>401</v>
      </c>
      <c r="Q398" s="17">
        <v>18899</v>
      </c>
      <c r="R398" s="18">
        <v>30</v>
      </c>
      <c r="S398" s="19">
        <v>15213.694999999998</v>
      </c>
      <c r="T398" s="20" t="s">
        <v>333</v>
      </c>
      <c r="U398" s="21" t="s">
        <v>392</v>
      </c>
      <c r="V398" s="23">
        <v>43</v>
      </c>
      <c r="W398" s="23">
        <v>1</v>
      </c>
      <c r="X398" s="24"/>
    </row>
    <row r="399" spans="1:24" s="1" customFormat="1" ht="26" customHeight="1" x14ac:dyDescent="0.3">
      <c r="A399" s="11" t="s">
        <v>607</v>
      </c>
      <c r="B399" s="11" t="s">
        <v>813</v>
      </c>
      <c r="C399" s="12" t="s">
        <v>814</v>
      </c>
      <c r="D399" s="85"/>
      <c r="E399" s="67" t="str">
        <f>HYPERLINK("https://www.google.ru/search?q=273106-BKTE&amp;newwindow=1&amp;tbm=isch","Еще фото")</f>
        <v>Еще фото</v>
      </c>
      <c r="F399" s="14"/>
      <c r="G399" s="11" t="s">
        <v>153</v>
      </c>
      <c r="H399" s="11" t="s">
        <v>93</v>
      </c>
      <c r="I399" s="15" t="s">
        <v>154</v>
      </c>
      <c r="J399" s="15" t="s">
        <v>360</v>
      </c>
      <c r="K399" s="16" t="s">
        <v>45</v>
      </c>
      <c r="L399" s="83" t="s">
        <v>815</v>
      </c>
      <c r="M399" s="15"/>
      <c r="N399" s="15" t="s">
        <v>38</v>
      </c>
      <c r="O399" s="15"/>
      <c r="P399" s="16" t="s">
        <v>770</v>
      </c>
      <c r="Q399" s="17">
        <v>17399</v>
      </c>
      <c r="R399" s="18">
        <v>30</v>
      </c>
      <c r="S399" s="19">
        <v>14006.194999999998</v>
      </c>
      <c r="T399" s="20" t="s">
        <v>333</v>
      </c>
      <c r="U399" s="21" t="s">
        <v>344</v>
      </c>
      <c r="V399" s="29">
        <v>41.5</v>
      </c>
      <c r="W399" s="23">
        <v>4</v>
      </c>
      <c r="X399" s="24"/>
    </row>
    <row r="400" spans="1:24" s="1" customFormat="1" ht="26" customHeight="1" x14ac:dyDescent="0.3">
      <c r="A400" s="25" t="s">
        <v>607</v>
      </c>
      <c r="B400" s="25" t="s">
        <v>813</v>
      </c>
      <c r="C400" s="12" t="s">
        <v>814</v>
      </c>
      <c r="D400" s="86"/>
      <c r="E400" s="67" t="str">
        <f>HYPERLINK("https://www.google.ru/search?q=273106-BKTE&amp;newwindow=1&amp;tbm=isch","Еще фото")</f>
        <v>Еще фото</v>
      </c>
      <c r="F400" s="14"/>
      <c r="G400" s="25" t="s">
        <v>153</v>
      </c>
      <c r="H400" s="25" t="s">
        <v>93</v>
      </c>
      <c r="I400" s="25" t="s">
        <v>154</v>
      </c>
      <c r="J400" s="15" t="s">
        <v>360</v>
      </c>
      <c r="K400" s="16" t="s">
        <v>45</v>
      </c>
      <c r="L400" s="88"/>
      <c r="M400" s="15"/>
      <c r="N400" s="15" t="s">
        <v>38</v>
      </c>
      <c r="O400" s="15"/>
      <c r="P400" s="16" t="s">
        <v>770</v>
      </c>
      <c r="Q400" s="17">
        <v>17399</v>
      </c>
      <c r="R400" s="18">
        <v>30</v>
      </c>
      <c r="S400" s="19">
        <v>14006.194999999998</v>
      </c>
      <c r="T400" s="20" t="s">
        <v>333</v>
      </c>
      <c r="U400" s="21" t="s">
        <v>345</v>
      </c>
      <c r="V400" s="23">
        <v>42</v>
      </c>
      <c r="W400" s="23">
        <v>3</v>
      </c>
      <c r="X400" s="24"/>
    </row>
    <row r="401" spans="1:24" s="1" customFormat="1" ht="26" customHeight="1" x14ac:dyDescent="0.3">
      <c r="A401" s="25" t="s">
        <v>607</v>
      </c>
      <c r="B401" s="25" t="s">
        <v>813</v>
      </c>
      <c r="C401" s="12" t="s">
        <v>814</v>
      </c>
      <c r="D401" s="86"/>
      <c r="E401" s="67" t="str">
        <f>HYPERLINK("https://www.google.ru/search?q=273106-BKTE&amp;newwindow=1&amp;tbm=isch","Еще фото")</f>
        <v>Еще фото</v>
      </c>
      <c r="F401" s="14"/>
      <c r="G401" s="25" t="s">
        <v>153</v>
      </c>
      <c r="H401" s="25" t="s">
        <v>93</v>
      </c>
      <c r="I401" s="25" t="s">
        <v>154</v>
      </c>
      <c r="J401" s="15" t="s">
        <v>360</v>
      </c>
      <c r="K401" s="16" t="s">
        <v>45</v>
      </c>
      <c r="L401" s="88"/>
      <c r="M401" s="15"/>
      <c r="N401" s="15" t="s">
        <v>38</v>
      </c>
      <c r="O401" s="15"/>
      <c r="P401" s="16" t="s">
        <v>770</v>
      </c>
      <c r="Q401" s="17">
        <v>17399</v>
      </c>
      <c r="R401" s="18">
        <v>30</v>
      </c>
      <c r="S401" s="19">
        <v>14006.194999999998</v>
      </c>
      <c r="T401" s="20" t="s">
        <v>333</v>
      </c>
      <c r="U401" s="21" t="s">
        <v>392</v>
      </c>
      <c r="V401" s="23">
        <v>43</v>
      </c>
      <c r="W401" s="23">
        <v>4</v>
      </c>
      <c r="X401" s="24"/>
    </row>
    <row r="402" spans="1:24" s="1" customFormat="1" ht="26" customHeight="1" x14ac:dyDescent="0.3">
      <c r="A402" s="25" t="s">
        <v>607</v>
      </c>
      <c r="B402" s="25" t="s">
        <v>813</v>
      </c>
      <c r="C402" s="12" t="s">
        <v>814</v>
      </c>
      <c r="D402" s="87"/>
      <c r="E402" s="67" t="str">
        <f>HYPERLINK("https://www.google.ru/search?q=273106-BKTE&amp;newwindow=1&amp;tbm=isch","Еще фото")</f>
        <v>Еще фото</v>
      </c>
      <c r="F402" s="14"/>
      <c r="G402" s="25" t="s">
        <v>153</v>
      </c>
      <c r="H402" s="25" t="s">
        <v>93</v>
      </c>
      <c r="I402" s="25" t="s">
        <v>154</v>
      </c>
      <c r="J402" s="15" t="s">
        <v>360</v>
      </c>
      <c r="K402" s="16" t="s">
        <v>45</v>
      </c>
      <c r="L402" s="84"/>
      <c r="M402" s="15"/>
      <c r="N402" s="15" t="s">
        <v>38</v>
      </c>
      <c r="O402" s="15"/>
      <c r="P402" s="16" t="s">
        <v>770</v>
      </c>
      <c r="Q402" s="17">
        <v>17399</v>
      </c>
      <c r="R402" s="18">
        <v>30</v>
      </c>
      <c r="S402" s="19">
        <v>14006.194999999998</v>
      </c>
      <c r="T402" s="20" t="s">
        <v>333</v>
      </c>
      <c r="U402" s="21" t="s">
        <v>366</v>
      </c>
      <c r="V402" s="29">
        <v>43.5</v>
      </c>
      <c r="W402" s="23">
        <v>2</v>
      </c>
      <c r="X402" s="24"/>
    </row>
    <row r="403" spans="1:24" s="1" customFormat="1" ht="52.05" customHeight="1" x14ac:dyDescent="0.3">
      <c r="A403" s="11" t="s">
        <v>607</v>
      </c>
      <c r="B403" s="11" t="s">
        <v>816</v>
      </c>
      <c r="C403" s="12" t="s">
        <v>817</v>
      </c>
      <c r="D403" s="81"/>
      <c r="E403" s="67" t="str">
        <f>HYPERLINK("https://www.google.ru/search?q=273113-BKRD&amp;newwindow=1&amp;tbm=isch","Еще фото")</f>
        <v>Еще фото</v>
      </c>
      <c r="F403" s="14"/>
      <c r="G403" s="11" t="s">
        <v>153</v>
      </c>
      <c r="H403" s="11" t="s">
        <v>93</v>
      </c>
      <c r="I403" s="15" t="s">
        <v>154</v>
      </c>
      <c r="J403" s="15" t="s">
        <v>360</v>
      </c>
      <c r="K403" s="16" t="s">
        <v>45</v>
      </c>
      <c r="L403" s="83" t="s">
        <v>818</v>
      </c>
      <c r="M403" s="15"/>
      <c r="N403" s="15" t="s">
        <v>38</v>
      </c>
      <c r="O403" s="15"/>
      <c r="P403" s="16" t="s">
        <v>770</v>
      </c>
      <c r="Q403" s="17">
        <v>13999</v>
      </c>
      <c r="R403" s="18">
        <v>30</v>
      </c>
      <c r="S403" s="19">
        <v>11269.194999999998</v>
      </c>
      <c r="T403" s="20" t="s">
        <v>333</v>
      </c>
      <c r="U403" s="21" t="s">
        <v>345</v>
      </c>
      <c r="V403" s="23">
        <v>42</v>
      </c>
      <c r="W403" s="23">
        <v>3</v>
      </c>
      <c r="X403" s="24"/>
    </row>
    <row r="404" spans="1:24" s="1" customFormat="1" ht="61.05" customHeight="1" x14ac:dyDescent="0.3">
      <c r="A404" s="25" t="s">
        <v>607</v>
      </c>
      <c r="B404" s="25" t="s">
        <v>816</v>
      </c>
      <c r="C404" s="12" t="s">
        <v>817</v>
      </c>
      <c r="D404" s="82"/>
      <c r="E404" s="67" t="str">
        <f>HYPERLINK("https://www.google.ru/search?q=273113-BKRD&amp;newwindow=1&amp;tbm=isch","Еще фото")</f>
        <v>Еще фото</v>
      </c>
      <c r="F404" s="14"/>
      <c r="G404" s="25" t="s">
        <v>153</v>
      </c>
      <c r="H404" s="25" t="s">
        <v>93</v>
      </c>
      <c r="I404" s="25" t="s">
        <v>154</v>
      </c>
      <c r="J404" s="15" t="s">
        <v>360</v>
      </c>
      <c r="K404" s="16" t="s">
        <v>45</v>
      </c>
      <c r="L404" s="84"/>
      <c r="M404" s="15"/>
      <c r="N404" s="15" t="s">
        <v>38</v>
      </c>
      <c r="O404" s="15"/>
      <c r="P404" s="16" t="s">
        <v>770</v>
      </c>
      <c r="Q404" s="17">
        <v>13999</v>
      </c>
      <c r="R404" s="18">
        <v>30</v>
      </c>
      <c r="S404" s="19">
        <v>11269.194999999998</v>
      </c>
      <c r="T404" s="20" t="s">
        <v>333</v>
      </c>
      <c r="U404" s="21" t="s">
        <v>392</v>
      </c>
      <c r="V404" s="23">
        <v>43</v>
      </c>
      <c r="W404" s="23">
        <v>9</v>
      </c>
      <c r="X404" s="24"/>
    </row>
    <row r="405" spans="1:24" s="1" customFormat="1" ht="11" customHeight="1" x14ac:dyDescent="0.3">
      <c r="A405" s="11" t="s">
        <v>607</v>
      </c>
      <c r="B405" s="11" t="s">
        <v>819</v>
      </c>
      <c r="C405" s="12" t="s">
        <v>820</v>
      </c>
      <c r="D405" s="85"/>
      <c r="E405" s="67" t="str">
        <f t="shared" ref="E405:E417" si="7">HYPERLINK("https://www.google.ru/search?q=273145-LINV&amp;newwindow=1&amp;tbm=isch","Еще фото")</f>
        <v>Еще фото</v>
      </c>
      <c r="F405" s="14"/>
      <c r="G405" s="11" t="s">
        <v>153</v>
      </c>
      <c r="H405" s="11" t="s">
        <v>93</v>
      </c>
      <c r="I405" s="15" t="s">
        <v>154</v>
      </c>
      <c r="J405" s="15" t="s">
        <v>360</v>
      </c>
      <c r="K405" s="16" t="s">
        <v>45</v>
      </c>
      <c r="L405" s="83" t="s">
        <v>821</v>
      </c>
      <c r="M405" s="15"/>
      <c r="N405" s="15" t="s">
        <v>822</v>
      </c>
      <c r="O405" s="15"/>
      <c r="P405" s="16" t="s">
        <v>401</v>
      </c>
      <c r="Q405" s="17">
        <v>15899</v>
      </c>
      <c r="R405" s="18">
        <v>30</v>
      </c>
      <c r="S405" s="19">
        <v>12798.694999999998</v>
      </c>
      <c r="T405" s="20" t="s">
        <v>333</v>
      </c>
      <c r="U405" s="21" t="s">
        <v>334</v>
      </c>
      <c r="V405" s="29">
        <v>37.5</v>
      </c>
      <c r="W405" s="23">
        <v>1</v>
      </c>
      <c r="X405" s="24"/>
    </row>
    <row r="406" spans="1:24" s="1" customFormat="1" ht="11" customHeight="1" x14ac:dyDescent="0.3">
      <c r="A406" s="25" t="s">
        <v>607</v>
      </c>
      <c r="B406" s="25" t="s">
        <v>819</v>
      </c>
      <c r="C406" s="12" t="s">
        <v>820</v>
      </c>
      <c r="D406" s="86"/>
      <c r="E406" s="67" t="str">
        <f t="shared" si="7"/>
        <v>Еще фото</v>
      </c>
      <c r="F406" s="14"/>
      <c r="G406" s="25" t="s">
        <v>153</v>
      </c>
      <c r="H406" s="25" t="s">
        <v>93</v>
      </c>
      <c r="I406" s="25" t="s">
        <v>154</v>
      </c>
      <c r="J406" s="15" t="s">
        <v>360</v>
      </c>
      <c r="K406" s="16" t="s">
        <v>45</v>
      </c>
      <c r="L406" s="88"/>
      <c r="M406" s="15"/>
      <c r="N406" s="15" t="s">
        <v>822</v>
      </c>
      <c r="O406" s="15"/>
      <c r="P406" s="16" t="s">
        <v>401</v>
      </c>
      <c r="Q406" s="17">
        <v>15899</v>
      </c>
      <c r="R406" s="18">
        <v>30</v>
      </c>
      <c r="S406" s="19">
        <v>12798.694999999998</v>
      </c>
      <c r="T406" s="20" t="s">
        <v>333</v>
      </c>
      <c r="U406" s="21" t="s">
        <v>335</v>
      </c>
      <c r="V406" s="23">
        <v>38</v>
      </c>
      <c r="W406" s="23">
        <v>3</v>
      </c>
      <c r="X406" s="24"/>
    </row>
    <row r="407" spans="1:24" s="1" customFormat="1" ht="11" customHeight="1" x14ac:dyDescent="0.3">
      <c r="A407" s="25" t="s">
        <v>607</v>
      </c>
      <c r="B407" s="25" t="s">
        <v>819</v>
      </c>
      <c r="C407" s="12" t="s">
        <v>820</v>
      </c>
      <c r="D407" s="86"/>
      <c r="E407" s="67" t="str">
        <f t="shared" si="7"/>
        <v>Еще фото</v>
      </c>
      <c r="F407" s="14"/>
      <c r="G407" s="25" t="s">
        <v>153</v>
      </c>
      <c r="H407" s="25" t="s">
        <v>93</v>
      </c>
      <c r="I407" s="25" t="s">
        <v>154</v>
      </c>
      <c r="J407" s="15" t="s">
        <v>360</v>
      </c>
      <c r="K407" s="16" t="s">
        <v>45</v>
      </c>
      <c r="L407" s="88"/>
      <c r="M407" s="15"/>
      <c r="N407" s="15" t="s">
        <v>822</v>
      </c>
      <c r="O407" s="15"/>
      <c r="P407" s="16" t="s">
        <v>401</v>
      </c>
      <c r="Q407" s="17">
        <v>15899</v>
      </c>
      <c r="R407" s="18">
        <v>30</v>
      </c>
      <c r="S407" s="19">
        <v>12798.694999999998</v>
      </c>
      <c r="T407" s="20" t="s">
        <v>333</v>
      </c>
      <c r="U407" s="21" t="s">
        <v>355</v>
      </c>
      <c r="V407" s="23">
        <v>39</v>
      </c>
      <c r="W407" s="23">
        <v>8</v>
      </c>
      <c r="X407" s="24"/>
    </row>
    <row r="408" spans="1:24" s="1" customFormat="1" ht="11" customHeight="1" x14ac:dyDescent="0.3">
      <c r="A408" s="25" t="s">
        <v>607</v>
      </c>
      <c r="B408" s="25" t="s">
        <v>819</v>
      </c>
      <c r="C408" s="12" t="s">
        <v>820</v>
      </c>
      <c r="D408" s="86"/>
      <c r="E408" s="67" t="str">
        <f t="shared" si="7"/>
        <v>Еще фото</v>
      </c>
      <c r="F408" s="14"/>
      <c r="G408" s="25" t="s">
        <v>153</v>
      </c>
      <c r="H408" s="25" t="s">
        <v>93</v>
      </c>
      <c r="I408" s="25" t="s">
        <v>154</v>
      </c>
      <c r="J408" s="15" t="s">
        <v>360</v>
      </c>
      <c r="K408" s="16" t="s">
        <v>45</v>
      </c>
      <c r="L408" s="88"/>
      <c r="M408" s="15"/>
      <c r="N408" s="15" t="s">
        <v>822</v>
      </c>
      <c r="O408" s="15"/>
      <c r="P408" s="16" t="s">
        <v>401</v>
      </c>
      <c r="Q408" s="17">
        <v>15899</v>
      </c>
      <c r="R408" s="18">
        <v>30</v>
      </c>
      <c r="S408" s="19">
        <v>12798.694999999998</v>
      </c>
      <c r="T408" s="20" t="s">
        <v>333</v>
      </c>
      <c r="U408" s="21" t="s">
        <v>356</v>
      </c>
      <c r="V408" s="29">
        <v>39.5</v>
      </c>
      <c r="W408" s="23">
        <v>8</v>
      </c>
      <c r="X408" s="24"/>
    </row>
    <row r="409" spans="1:24" s="1" customFormat="1" ht="11" customHeight="1" x14ac:dyDescent="0.3">
      <c r="A409" s="25" t="s">
        <v>607</v>
      </c>
      <c r="B409" s="25" t="s">
        <v>819</v>
      </c>
      <c r="C409" s="12" t="s">
        <v>820</v>
      </c>
      <c r="D409" s="86"/>
      <c r="E409" s="67" t="str">
        <f t="shared" si="7"/>
        <v>Еще фото</v>
      </c>
      <c r="F409" s="14"/>
      <c r="G409" s="25" t="s">
        <v>153</v>
      </c>
      <c r="H409" s="25" t="s">
        <v>93</v>
      </c>
      <c r="I409" s="25" t="s">
        <v>154</v>
      </c>
      <c r="J409" s="15" t="s">
        <v>360</v>
      </c>
      <c r="K409" s="16" t="s">
        <v>45</v>
      </c>
      <c r="L409" s="88"/>
      <c r="M409" s="15"/>
      <c r="N409" s="15" t="s">
        <v>822</v>
      </c>
      <c r="O409" s="15"/>
      <c r="P409" s="16" t="s">
        <v>401</v>
      </c>
      <c r="Q409" s="17">
        <v>15899</v>
      </c>
      <c r="R409" s="18">
        <v>30</v>
      </c>
      <c r="S409" s="19">
        <v>12798.694999999998</v>
      </c>
      <c r="T409" s="20" t="s">
        <v>333</v>
      </c>
      <c r="U409" s="21" t="s">
        <v>357</v>
      </c>
      <c r="V409" s="23">
        <v>40</v>
      </c>
      <c r="W409" s="23">
        <v>7</v>
      </c>
      <c r="X409" s="24"/>
    </row>
    <row r="410" spans="1:24" s="1" customFormat="1" ht="11" customHeight="1" x14ac:dyDescent="0.3">
      <c r="A410" s="25" t="s">
        <v>607</v>
      </c>
      <c r="B410" s="25" t="s">
        <v>819</v>
      </c>
      <c r="C410" s="12" t="s">
        <v>820</v>
      </c>
      <c r="D410" s="86"/>
      <c r="E410" s="67" t="str">
        <f t="shared" si="7"/>
        <v>Еще фото</v>
      </c>
      <c r="F410" s="14"/>
      <c r="G410" s="25" t="s">
        <v>153</v>
      </c>
      <c r="H410" s="25" t="s">
        <v>93</v>
      </c>
      <c r="I410" s="25" t="s">
        <v>154</v>
      </c>
      <c r="J410" s="15" t="s">
        <v>360</v>
      </c>
      <c r="K410" s="16" t="s">
        <v>45</v>
      </c>
      <c r="L410" s="88"/>
      <c r="M410" s="15"/>
      <c r="N410" s="15" t="s">
        <v>822</v>
      </c>
      <c r="O410" s="15"/>
      <c r="P410" s="16" t="s">
        <v>401</v>
      </c>
      <c r="Q410" s="17">
        <v>15899</v>
      </c>
      <c r="R410" s="18">
        <v>30</v>
      </c>
      <c r="S410" s="19">
        <v>12798.694999999998</v>
      </c>
      <c r="T410" s="20" t="s">
        <v>333</v>
      </c>
      <c r="U410" s="21" t="s">
        <v>343</v>
      </c>
      <c r="V410" s="23">
        <v>41</v>
      </c>
      <c r="W410" s="23">
        <v>9</v>
      </c>
      <c r="X410" s="24"/>
    </row>
    <row r="411" spans="1:24" s="1" customFormat="1" ht="11" customHeight="1" x14ac:dyDescent="0.3">
      <c r="A411" s="25" t="s">
        <v>607</v>
      </c>
      <c r="B411" s="25" t="s">
        <v>819</v>
      </c>
      <c r="C411" s="12" t="s">
        <v>820</v>
      </c>
      <c r="D411" s="86"/>
      <c r="E411" s="67" t="str">
        <f t="shared" si="7"/>
        <v>Еще фото</v>
      </c>
      <c r="F411" s="14"/>
      <c r="G411" s="25" t="s">
        <v>153</v>
      </c>
      <c r="H411" s="25" t="s">
        <v>93</v>
      </c>
      <c r="I411" s="25" t="s">
        <v>154</v>
      </c>
      <c r="J411" s="15" t="s">
        <v>360</v>
      </c>
      <c r="K411" s="16" t="s">
        <v>45</v>
      </c>
      <c r="L411" s="88"/>
      <c r="M411" s="15"/>
      <c r="N411" s="15" t="s">
        <v>822</v>
      </c>
      <c r="O411" s="15"/>
      <c r="P411" s="16" t="s">
        <v>401</v>
      </c>
      <c r="Q411" s="17">
        <v>15899</v>
      </c>
      <c r="R411" s="18">
        <v>30</v>
      </c>
      <c r="S411" s="19">
        <v>12798.694999999998</v>
      </c>
      <c r="T411" s="20" t="s">
        <v>333</v>
      </c>
      <c r="U411" s="21" t="s">
        <v>344</v>
      </c>
      <c r="V411" s="29">
        <v>41.5</v>
      </c>
      <c r="W411" s="23">
        <v>6</v>
      </c>
      <c r="X411" s="24"/>
    </row>
    <row r="412" spans="1:24" s="1" customFormat="1" ht="11" customHeight="1" x14ac:dyDescent="0.3">
      <c r="A412" s="25" t="s">
        <v>607</v>
      </c>
      <c r="B412" s="25" t="s">
        <v>819</v>
      </c>
      <c r="C412" s="12" t="s">
        <v>820</v>
      </c>
      <c r="D412" s="86"/>
      <c r="E412" s="67" t="str">
        <f t="shared" si="7"/>
        <v>Еще фото</v>
      </c>
      <c r="F412" s="14"/>
      <c r="G412" s="25" t="s">
        <v>153</v>
      </c>
      <c r="H412" s="25" t="s">
        <v>93</v>
      </c>
      <c r="I412" s="25" t="s">
        <v>154</v>
      </c>
      <c r="J412" s="15" t="s">
        <v>360</v>
      </c>
      <c r="K412" s="16" t="s">
        <v>45</v>
      </c>
      <c r="L412" s="88"/>
      <c r="M412" s="15"/>
      <c r="N412" s="15" t="s">
        <v>822</v>
      </c>
      <c r="O412" s="15"/>
      <c r="P412" s="16" t="s">
        <v>401</v>
      </c>
      <c r="Q412" s="17">
        <v>15899</v>
      </c>
      <c r="R412" s="18">
        <v>30</v>
      </c>
      <c r="S412" s="19">
        <v>12798.694999999998</v>
      </c>
      <c r="T412" s="20" t="s">
        <v>333</v>
      </c>
      <c r="U412" s="21" t="s">
        <v>345</v>
      </c>
      <c r="V412" s="23">
        <v>42</v>
      </c>
      <c r="W412" s="23">
        <v>8</v>
      </c>
      <c r="X412" s="24"/>
    </row>
    <row r="413" spans="1:24" s="1" customFormat="1" ht="11" customHeight="1" x14ac:dyDescent="0.3">
      <c r="A413" s="25" t="s">
        <v>607</v>
      </c>
      <c r="B413" s="25" t="s">
        <v>819</v>
      </c>
      <c r="C413" s="12" t="s">
        <v>820</v>
      </c>
      <c r="D413" s="86"/>
      <c r="E413" s="67" t="str">
        <f t="shared" si="7"/>
        <v>Еще фото</v>
      </c>
      <c r="F413" s="14"/>
      <c r="G413" s="25" t="s">
        <v>153</v>
      </c>
      <c r="H413" s="25" t="s">
        <v>93</v>
      </c>
      <c r="I413" s="25" t="s">
        <v>154</v>
      </c>
      <c r="J413" s="15" t="s">
        <v>360</v>
      </c>
      <c r="K413" s="16" t="s">
        <v>45</v>
      </c>
      <c r="L413" s="88"/>
      <c r="M413" s="15"/>
      <c r="N413" s="15" t="s">
        <v>822</v>
      </c>
      <c r="O413" s="15"/>
      <c r="P413" s="16" t="s">
        <v>401</v>
      </c>
      <c r="Q413" s="17">
        <v>15899</v>
      </c>
      <c r="R413" s="18">
        <v>30</v>
      </c>
      <c r="S413" s="19">
        <v>12798.694999999998</v>
      </c>
      <c r="T413" s="20" t="s">
        <v>333</v>
      </c>
      <c r="U413" s="21" t="s">
        <v>392</v>
      </c>
      <c r="V413" s="23">
        <v>43</v>
      </c>
      <c r="W413" s="23">
        <v>9</v>
      </c>
      <c r="X413" s="24"/>
    </row>
    <row r="414" spans="1:24" s="1" customFormat="1" ht="11" customHeight="1" x14ac:dyDescent="0.3">
      <c r="A414" s="15" t="s">
        <v>607</v>
      </c>
      <c r="B414" s="15" t="s">
        <v>819</v>
      </c>
      <c r="C414" s="12" t="s">
        <v>820</v>
      </c>
      <c r="D414" s="86"/>
      <c r="E414" s="67" t="str">
        <f t="shared" si="7"/>
        <v>Еще фото</v>
      </c>
      <c r="F414" s="56"/>
      <c r="G414" s="15" t="s">
        <v>153</v>
      </c>
      <c r="H414" s="15" t="s">
        <v>93</v>
      </c>
      <c r="I414" s="15" t="s">
        <v>154</v>
      </c>
      <c r="J414" s="15" t="s">
        <v>360</v>
      </c>
      <c r="K414" s="15" t="s">
        <v>45</v>
      </c>
      <c r="L414" s="88"/>
      <c r="M414" s="15"/>
      <c r="N414" s="15" t="s">
        <v>822</v>
      </c>
      <c r="O414" s="15"/>
      <c r="P414" s="15" t="s">
        <v>401</v>
      </c>
      <c r="Q414" s="57">
        <v>15899</v>
      </c>
      <c r="R414" s="58">
        <v>30</v>
      </c>
      <c r="S414" s="59">
        <v>12798.694999999998</v>
      </c>
      <c r="T414" s="20" t="s">
        <v>333</v>
      </c>
      <c r="U414" s="21" t="s">
        <v>366</v>
      </c>
      <c r="V414" s="29">
        <v>43.5</v>
      </c>
      <c r="W414" s="23">
        <v>9</v>
      </c>
      <c r="X414" s="24"/>
    </row>
    <row r="415" spans="1:24" s="1" customFormat="1" ht="11" customHeight="1" x14ac:dyDescent="0.3">
      <c r="A415" s="15" t="s">
        <v>607</v>
      </c>
      <c r="B415" s="15" t="s">
        <v>819</v>
      </c>
      <c r="C415" s="12" t="s">
        <v>820</v>
      </c>
      <c r="D415" s="86"/>
      <c r="E415" s="67" t="str">
        <f t="shared" si="7"/>
        <v>Еще фото</v>
      </c>
      <c r="F415" s="56"/>
      <c r="G415" s="15" t="s">
        <v>153</v>
      </c>
      <c r="H415" s="15" t="s">
        <v>93</v>
      </c>
      <c r="I415" s="15" t="s">
        <v>154</v>
      </c>
      <c r="J415" s="15" t="s">
        <v>360</v>
      </c>
      <c r="K415" s="15" t="s">
        <v>45</v>
      </c>
      <c r="L415" s="88"/>
      <c r="M415" s="15"/>
      <c r="N415" s="15" t="s">
        <v>822</v>
      </c>
      <c r="O415" s="15"/>
      <c r="P415" s="15" t="s">
        <v>401</v>
      </c>
      <c r="Q415" s="57">
        <v>15899</v>
      </c>
      <c r="R415" s="58">
        <v>30</v>
      </c>
      <c r="S415" s="59">
        <v>12798.694999999998</v>
      </c>
      <c r="T415" s="20" t="s">
        <v>333</v>
      </c>
      <c r="U415" s="21" t="s">
        <v>785</v>
      </c>
      <c r="V415" s="23">
        <v>44</v>
      </c>
      <c r="W415" s="23">
        <v>4</v>
      </c>
      <c r="X415" s="24"/>
    </row>
    <row r="416" spans="1:24" s="1" customFormat="1" ht="11" customHeight="1" x14ac:dyDescent="0.3">
      <c r="A416" s="15" t="s">
        <v>607</v>
      </c>
      <c r="B416" s="15" t="s">
        <v>819</v>
      </c>
      <c r="C416" s="12" t="s">
        <v>820</v>
      </c>
      <c r="D416" s="86"/>
      <c r="E416" s="67" t="str">
        <f t="shared" si="7"/>
        <v>Еще фото</v>
      </c>
      <c r="F416" s="56"/>
      <c r="G416" s="15" t="s">
        <v>153</v>
      </c>
      <c r="H416" s="15" t="s">
        <v>93</v>
      </c>
      <c r="I416" s="15" t="s">
        <v>154</v>
      </c>
      <c r="J416" s="15" t="s">
        <v>360</v>
      </c>
      <c r="K416" s="15" t="s">
        <v>45</v>
      </c>
      <c r="L416" s="88"/>
      <c r="M416" s="15"/>
      <c r="N416" s="15" t="s">
        <v>822</v>
      </c>
      <c r="O416" s="15"/>
      <c r="P416" s="15" t="s">
        <v>401</v>
      </c>
      <c r="Q416" s="57">
        <v>15899</v>
      </c>
      <c r="R416" s="58">
        <v>30</v>
      </c>
      <c r="S416" s="59">
        <v>12798.694999999998</v>
      </c>
      <c r="T416" s="20" t="s">
        <v>333</v>
      </c>
      <c r="U416" s="21" t="s">
        <v>823</v>
      </c>
      <c r="V416" s="23">
        <v>45</v>
      </c>
      <c r="W416" s="23">
        <v>6</v>
      </c>
      <c r="X416" s="24"/>
    </row>
    <row r="417" spans="1:24" s="1" customFormat="1" ht="11" customHeight="1" x14ac:dyDescent="0.3">
      <c r="A417" s="15" t="s">
        <v>607</v>
      </c>
      <c r="B417" s="15" t="s">
        <v>819</v>
      </c>
      <c r="C417" s="12" t="s">
        <v>820</v>
      </c>
      <c r="D417" s="87"/>
      <c r="E417" s="67" t="str">
        <f t="shared" si="7"/>
        <v>Еще фото</v>
      </c>
      <c r="F417" s="56"/>
      <c r="G417" s="15" t="s">
        <v>153</v>
      </c>
      <c r="H417" s="15" t="s">
        <v>93</v>
      </c>
      <c r="I417" s="15" t="s">
        <v>154</v>
      </c>
      <c r="J417" s="15" t="s">
        <v>360</v>
      </c>
      <c r="K417" s="15" t="s">
        <v>45</v>
      </c>
      <c r="L417" s="84"/>
      <c r="M417" s="15"/>
      <c r="N417" s="15" t="s">
        <v>822</v>
      </c>
      <c r="O417" s="15"/>
      <c r="P417" s="15" t="s">
        <v>401</v>
      </c>
      <c r="Q417" s="57">
        <v>15899</v>
      </c>
      <c r="R417" s="58">
        <v>30</v>
      </c>
      <c r="S417" s="59">
        <v>12798.694999999998</v>
      </c>
      <c r="T417" s="20" t="s">
        <v>333</v>
      </c>
      <c r="U417" s="21" t="s">
        <v>824</v>
      </c>
      <c r="V417" s="23">
        <v>46</v>
      </c>
      <c r="W417" s="23">
        <v>5</v>
      </c>
      <c r="X417" s="24"/>
    </row>
    <row r="418" spans="1:24" s="1" customFormat="1" ht="52.05" customHeight="1" x14ac:dyDescent="0.3">
      <c r="A418" s="11" t="s">
        <v>607</v>
      </c>
      <c r="B418" s="11" t="s">
        <v>825</v>
      </c>
      <c r="C418" s="12" t="s">
        <v>826</v>
      </c>
      <c r="D418" s="81"/>
      <c r="E418" s="67" t="str">
        <f>HYPERLINK("https://www.google.ru/search?q=273206-BBTE&amp;newwindow=1&amp;tbm=isch","Еще фото")</f>
        <v>Еще фото</v>
      </c>
      <c r="F418" s="14"/>
      <c r="G418" s="11" t="s">
        <v>153</v>
      </c>
      <c r="H418" s="11" t="s">
        <v>93</v>
      </c>
      <c r="I418" s="15" t="s">
        <v>154</v>
      </c>
      <c r="J418" s="15" t="s">
        <v>360</v>
      </c>
      <c r="K418" s="16" t="s">
        <v>45</v>
      </c>
      <c r="L418" s="83" t="s">
        <v>788</v>
      </c>
      <c r="M418" s="15"/>
      <c r="N418" s="15" t="s">
        <v>38</v>
      </c>
      <c r="O418" s="15"/>
      <c r="P418" s="16" t="s">
        <v>770</v>
      </c>
      <c r="Q418" s="17">
        <v>15999</v>
      </c>
      <c r="R418" s="18">
        <v>30</v>
      </c>
      <c r="S418" s="19">
        <v>12879.194999999998</v>
      </c>
      <c r="T418" s="20" t="s">
        <v>333</v>
      </c>
      <c r="U418" s="21" t="s">
        <v>343</v>
      </c>
      <c r="V418" s="23">
        <v>41</v>
      </c>
      <c r="W418" s="23">
        <v>1</v>
      </c>
      <c r="X418" s="24"/>
    </row>
    <row r="419" spans="1:24" s="1" customFormat="1" ht="61.05" customHeight="1" x14ac:dyDescent="0.3">
      <c r="A419" s="25" t="s">
        <v>607</v>
      </c>
      <c r="B419" s="25" t="s">
        <v>825</v>
      </c>
      <c r="C419" s="12" t="s">
        <v>826</v>
      </c>
      <c r="D419" s="82"/>
      <c r="E419" s="67" t="str">
        <f>HYPERLINK("https://www.google.ru/search?q=273206-BBTE&amp;newwindow=1&amp;tbm=isch","Еще фото")</f>
        <v>Еще фото</v>
      </c>
      <c r="F419" s="14"/>
      <c r="G419" s="25" t="s">
        <v>153</v>
      </c>
      <c r="H419" s="25" t="s">
        <v>93</v>
      </c>
      <c r="I419" s="25" t="s">
        <v>154</v>
      </c>
      <c r="J419" s="15" t="s">
        <v>360</v>
      </c>
      <c r="K419" s="16" t="s">
        <v>45</v>
      </c>
      <c r="L419" s="84"/>
      <c r="M419" s="15"/>
      <c r="N419" s="15" t="s">
        <v>38</v>
      </c>
      <c r="O419" s="15"/>
      <c r="P419" s="16" t="s">
        <v>770</v>
      </c>
      <c r="Q419" s="17">
        <v>15999</v>
      </c>
      <c r="R419" s="18">
        <v>30</v>
      </c>
      <c r="S419" s="19">
        <v>12879.194999999998</v>
      </c>
      <c r="T419" s="20" t="s">
        <v>333</v>
      </c>
      <c r="U419" s="21" t="s">
        <v>345</v>
      </c>
      <c r="V419" s="23">
        <v>42</v>
      </c>
      <c r="W419" s="23">
        <v>6</v>
      </c>
      <c r="X419" s="24"/>
    </row>
    <row r="420" spans="1:24" s="1" customFormat="1" ht="35" customHeight="1" x14ac:dyDescent="0.3">
      <c r="A420" s="11" t="s">
        <v>607</v>
      </c>
      <c r="B420" s="11" t="s">
        <v>827</v>
      </c>
      <c r="C420" s="12" t="s">
        <v>828</v>
      </c>
      <c r="D420" s="85"/>
      <c r="E420" s="67" t="str">
        <f>HYPERLINK("https://www.google.ru/search?q=273325-NVLI&amp;newwindow=1&amp;tbm=isch","Еще фото")</f>
        <v>Еще фото</v>
      </c>
      <c r="F420" s="14"/>
      <c r="G420" s="11" t="s">
        <v>153</v>
      </c>
      <c r="H420" s="11" t="s">
        <v>93</v>
      </c>
      <c r="I420" s="15" t="s">
        <v>154</v>
      </c>
      <c r="J420" s="15" t="s">
        <v>360</v>
      </c>
      <c r="K420" s="16" t="s">
        <v>45</v>
      </c>
      <c r="L420" s="83" t="s">
        <v>829</v>
      </c>
      <c r="M420" s="15"/>
      <c r="N420" s="15" t="s">
        <v>792</v>
      </c>
      <c r="O420" s="15"/>
      <c r="P420" s="16" t="s">
        <v>401</v>
      </c>
      <c r="Q420" s="17">
        <v>13199</v>
      </c>
      <c r="R420" s="18">
        <v>30</v>
      </c>
      <c r="S420" s="19">
        <v>10625.194999999998</v>
      </c>
      <c r="T420" s="20" t="s">
        <v>333</v>
      </c>
      <c r="U420" s="21" t="s">
        <v>355</v>
      </c>
      <c r="V420" s="23">
        <v>39</v>
      </c>
      <c r="W420" s="23">
        <v>2</v>
      </c>
      <c r="X420" s="24"/>
    </row>
    <row r="421" spans="1:24" s="1" customFormat="1" ht="35" customHeight="1" x14ac:dyDescent="0.3">
      <c r="A421" s="25" t="s">
        <v>607</v>
      </c>
      <c r="B421" s="25" t="s">
        <v>827</v>
      </c>
      <c r="C421" s="12" t="s">
        <v>828</v>
      </c>
      <c r="D421" s="86"/>
      <c r="E421" s="67" t="str">
        <f>HYPERLINK("https://www.google.ru/search?q=273325-NVLI&amp;newwindow=1&amp;tbm=isch","Еще фото")</f>
        <v>Еще фото</v>
      </c>
      <c r="F421" s="14"/>
      <c r="G421" s="25" t="s">
        <v>153</v>
      </c>
      <c r="H421" s="25" t="s">
        <v>93</v>
      </c>
      <c r="I421" s="25" t="s">
        <v>154</v>
      </c>
      <c r="J421" s="15" t="s">
        <v>360</v>
      </c>
      <c r="K421" s="16" t="s">
        <v>45</v>
      </c>
      <c r="L421" s="88"/>
      <c r="M421" s="15"/>
      <c r="N421" s="15" t="s">
        <v>792</v>
      </c>
      <c r="O421" s="15"/>
      <c r="P421" s="16" t="s">
        <v>401</v>
      </c>
      <c r="Q421" s="17">
        <v>13199</v>
      </c>
      <c r="R421" s="18">
        <v>30</v>
      </c>
      <c r="S421" s="19">
        <v>10625.194999999998</v>
      </c>
      <c r="T421" s="20" t="s">
        <v>333</v>
      </c>
      <c r="U421" s="21" t="s">
        <v>344</v>
      </c>
      <c r="V421" s="29">
        <v>41.5</v>
      </c>
      <c r="W421" s="23">
        <v>1</v>
      </c>
      <c r="X421" s="24"/>
    </row>
    <row r="422" spans="1:24" s="1" customFormat="1" ht="37.049999999999997" customHeight="1" x14ac:dyDescent="0.3">
      <c r="A422" s="25" t="s">
        <v>607</v>
      </c>
      <c r="B422" s="25" t="s">
        <v>827</v>
      </c>
      <c r="C422" s="12" t="s">
        <v>828</v>
      </c>
      <c r="D422" s="87"/>
      <c r="E422" s="67" t="str">
        <f>HYPERLINK("https://www.google.ru/search?q=273325-NVLI&amp;newwindow=1&amp;tbm=isch","Еще фото")</f>
        <v>Еще фото</v>
      </c>
      <c r="F422" s="14"/>
      <c r="G422" s="25" t="s">
        <v>153</v>
      </c>
      <c r="H422" s="25" t="s">
        <v>93</v>
      </c>
      <c r="I422" s="25" t="s">
        <v>154</v>
      </c>
      <c r="J422" s="15" t="s">
        <v>360</v>
      </c>
      <c r="K422" s="16" t="s">
        <v>45</v>
      </c>
      <c r="L422" s="84"/>
      <c r="M422" s="15"/>
      <c r="N422" s="15" t="s">
        <v>792</v>
      </c>
      <c r="O422" s="15"/>
      <c r="P422" s="16" t="s">
        <v>401</v>
      </c>
      <c r="Q422" s="17">
        <v>13199</v>
      </c>
      <c r="R422" s="18">
        <v>30</v>
      </c>
      <c r="S422" s="19">
        <v>10625.194999999998</v>
      </c>
      <c r="T422" s="20" t="s">
        <v>333</v>
      </c>
      <c r="U422" s="21" t="s">
        <v>366</v>
      </c>
      <c r="V422" s="29">
        <v>43.5</v>
      </c>
      <c r="W422" s="23">
        <v>3</v>
      </c>
      <c r="X422" s="24"/>
    </row>
    <row r="423" spans="1:24" s="1" customFormat="1" ht="35" customHeight="1" x14ac:dyDescent="0.3">
      <c r="A423" s="11" t="s">
        <v>607</v>
      </c>
      <c r="B423" s="11" t="s">
        <v>830</v>
      </c>
      <c r="C423" s="12" t="s">
        <v>831</v>
      </c>
      <c r="D423" s="85"/>
      <c r="E423" s="67" t="str">
        <f>HYPERLINK("https://www.google.ru/search?q=273386-BBTE&amp;newwindow=1&amp;tbm=isch","Еще фото")</f>
        <v>Еще фото</v>
      </c>
      <c r="F423" s="14"/>
      <c r="G423" s="11" t="s">
        <v>153</v>
      </c>
      <c r="H423" s="11" t="s">
        <v>93</v>
      </c>
      <c r="I423" s="15" t="s">
        <v>154</v>
      </c>
      <c r="J423" s="15" t="s">
        <v>360</v>
      </c>
      <c r="K423" s="16" t="s">
        <v>45</v>
      </c>
      <c r="L423" s="83" t="s">
        <v>832</v>
      </c>
      <c r="M423" s="15"/>
      <c r="N423" s="15" t="s">
        <v>38</v>
      </c>
      <c r="O423" s="15"/>
      <c r="P423" s="16" t="s">
        <v>770</v>
      </c>
      <c r="Q423" s="17">
        <v>13499</v>
      </c>
      <c r="R423" s="18">
        <v>30</v>
      </c>
      <c r="S423" s="19">
        <v>10866.694999999998</v>
      </c>
      <c r="T423" s="20" t="s">
        <v>333</v>
      </c>
      <c r="U423" s="21" t="s">
        <v>343</v>
      </c>
      <c r="V423" s="23">
        <v>41</v>
      </c>
      <c r="W423" s="23">
        <v>1</v>
      </c>
      <c r="X423" s="24"/>
    </row>
    <row r="424" spans="1:24" s="1" customFormat="1" ht="35" customHeight="1" x14ac:dyDescent="0.3">
      <c r="A424" s="25" t="s">
        <v>607</v>
      </c>
      <c r="B424" s="25" t="s">
        <v>830</v>
      </c>
      <c r="C424" s="12" t="s">
        <v>831</v>
      </c>
      <c r="D424" s="86"/>
      <c r="E424" s="67" t="str">
        <f>HYPERLINK("https://www.google.ru/search?q=273386-BBTE&amp;newwindow=1&amp;tbm=isch","Еще фото")</f>
        <v>Еще фото</v>
      </c>
      <c r="F424" s="14"/>
      <c r="G424" s="25" t="s">
        <v>153</v>
      </c>
      <c r="H424" s="25" t="s">
        <v>93</v>
      </c>
      <c r="I424" s="25" t="s">
        <v>154</v>
      </c>
      <c r="J424" s="15" t="s">
        <v>360</v>
      </c>
      <c r="K424" s="16" t="s">
        <v>45</v>
      </c>
      <c r="L424" s="88"/>
      <c r="M424" s="15"/>
      <c r="N424" s="15" t="s">
        <v>38</v>
      </c>
      <c r="O424" s="15"/>
      <c r="P424" s="16" t="s">
        <v>770</v>
      </c>
      <c r="Q424" s="17">
        <v>13499</v>
      </c>
      <c r="R424" s="18">
        <v>30</v>
      </c>
      <c r="S424" s="19">
        <v>10866.694999999998</v>
      </c>
      <c r="T424" s="20" t="s">
        <v>333</v>
      </c>
      <c r="U424" s="21" t="s">
        <v>345</v>
      </c>
      <c r="V424" s="23">
        <v>42</v>
      </c>
      <c r="W424" s="23">
        <v>2</v>
      </c>
      <c r="X424" s="24"/>
    </row>
    <row r="425" spans="1:24" s="1" customFormat="1" ht="37.049999999999997" customHeight="1" x14ac:dyDescent="0.3">
      <c r="A425" s="25" t="s">
        <v>607</v>
      </c>
      <c r="B425" s="25" t="s">
        <v>830</v>
      </c>
      <c r="C425" s="12" t="s">
        <v>831</v>
      </c>
      <c r="D425" s="87"/>
      <c r="E425" s="67" t="str">
        <f>HYPERLINK("https://www.google.ru/search?q=273386-BBTE&amp;newwindow=1&amp;tbm=isch","Еще фото")</f>
        <v>Еще фото</v>
      </c>
      <c r="F425" s="14"/>
      <c r="G425" s="25" t="s">
        <v>153</v>
      </c>
      <c r="H425" s="25" t="s">
        <v>93</v>
      </c>
      <c r="I425" s="25" t="s">
        <v>154</v>
      </c>
      <c r="J425" s="15" t="s">
        <v>360</v>
      </c>
      <c r="K425" s="16" t="s">
        <v>45</v>
      </c>
      <c r="L425" s="84"/>
      <c r="M425" s="15"/>
      <c r="N425" s="15" t="s">
        <v>38</v>
      </c>
      <c r="O425" s="15"/>
      <c r="P425" s="16" t="s">
        <v>770</v>
      </c>
      <c r="Q425" s="17">
        <v>13499</v>
      </c>
      <c r="R425" s="18">
        <v>30</v>
      </c>
      <c r="S425" s="19">
        <v>10866.694999999998</v>
      </c>
      <c r="T425" s="20" t="s">
        <v>333</v>
      </c>
      <c r="U425" s="21" t="s">
        <v>392</v>
      </c>
      <c r="V425" s="23">
        <v>43</v>
      </c>
      <c r="W425" s="23">
        <v>1</v>
      </c>
      <c r="X425" s="24"/>
    </row>
    <row r="426" spans="1:24" s="1" customFormat="1" ht="52.05" customHeight="1" x14ac:dyDescent="0.3">
      <c r="A426" s="11" t="s">
        <v>607</v>
      </c>
      <c r="B426" s="11" t="s">
        <v>833</v>
      </c>
      <c r="C426" s="12" t="s">
        <v>834</v>
      </c>
      <c r="D426" s="81"/>
      <c r="E426" s="67" t="str">
        <f>HYPERLINK("https://www.google.ru/search?q=273396-WHBK&amp;newwindow=1&amp;tbm=isch","Еще фото")</f>
        <v>Еще фото</v>
      </c>
      <c r="F426" s="14"/>
      <c r="G426" s="11" t="s">
        <v>153</v>
      </c>
      <c r="H426" s="11" t="s">
        <v>93</v>
      </c>
      <c r="I426" s="15" t="s">
        <v>154</v>
      </c>
      <c r="J426" s="15" t="s">
        <v>360</v>
      </c>
      <c r="K426" s="16" t="s">
        <v>45</v>
      </c>
      <c r="L426" s="83" t="s">
        <v>832</v>
      </c>
      <c r="M426" s="15"/>
      <c r="N426" s="15" t="s">
        <v>436</v>
      </c>
      <c r="O426" s="15"/>
      <c r="P426" s="16" t="s">
        <v>770</v>
      </c>
      <c r="Q426" s="17">
        <v>13499</v>
      </c>
      <c r="R426" s="18">
        <v>30</v>
      </c>
      <c r="S426" s="19">
        <v>10866.694999999998</v>
      </c>
      <c r="T426" s="20" t="s">
        <v>333</v>
      </c>
      <c r="U426" s="21" t="s">
        <v>343</v>
      </c>
      <c r="V426" s="23">
        <v>41</v>
      </c>
      <c r="W426" s="23">
        <v>2</v>
      </c>
      <c r="X426" s="24"/>
    </row>
    <row r="427" spans="1:24" s="1" customFormat="1" ht="61.05" customHeight="1" x14ac:dyDescent="0.3">
      <c r="A427" s="25" t="s">
        <v>607</v>
      </c>
      <c r="B427" s="25" t="s">
        <v>833</v>
      </c>
      <c r="C427" s="12" t="s">
        <v>834</v>
      </c>
      <c r="D427" s="82"/>
      <c r="E427" s="67" t="str">
        <f>HYPERLINK("https://www.google.ru/search?q=273396-WHBK&amp;newwindow=1&amp;tbm=isch","Еще фото")</f>
        <v>Еще фото</v>
      </c>
      <c r="F427" s="14"/>
      <c r="G427" s="25" t="s">
        <v>153</v>
      </c>
      <c r="H427" s="25" t="s">
        <v>93</v>
      </c>
      <c r="I427" s="25" t="s">
        <v>154</v>
      </c>
      <c r="J427" s="15" t="s">
        <v>360</v>
      </c>
      <c r="K427" s="16" t="s">
        <v>45</v>
      </c>
      <c r="L427" s="84"/>
      <c r="M427" s="15"/>
      <c r="N427" s="15" t="s">
        <v>436</v>
      </c>
      <c r="O427" s="15"/>
      <c r="P427" s="16" t="s">
        <v>770</v>
      </c>
      <c r="Q427" s="17">
        <v>13499</v>
      </c>
      <c r="R427" s="18">
        <v>30</v>
      </c>
      <c r="S427" s="19">
        <v>10866.694999999998</v>
      </c>
      <c r="T427" s="20" t="s">
        <v>333</v>
      </c>
      <c r="U427" s="21" t="s">
        <v>345</v>
      </c>
      <c r="V427" s="23">
        <v>42</v>
      </c>
      <c r="W427" s="23">
        <v>1</v>
      </c>
      <c r="X427" s="24"/>
    </row>
    <row r="428" spans="1:24" s="1" customFormat="1" ht="52.05" customHeight="1" x14ac:dyDescent="0.3">
      <c r="A428" s="11" t="s">
        <v>607</v>
      </c>
      <c r="B428" s="11" t="s">
        <v>835</v>
      </c>
      <c r="C428" s="12" t="s">
        <v>836</v>
      </c>
      <c r="D428" s="81"/>
      <c r="E428" s="67" t="str">
        <f>HYPERLINK("https://www.google.ru/search?q=273405-DBRD&amp;newwindow=1&amp;tbm=isch","Еще фото")</f>
        <v>Еще фото</v>
      </c>
      <c r="F428" s="14"/>
      <c r="G428" s="11" t="s">
        <v>153</v>
      </c>
      <c r="H428" s="11" t="s">
        <v>93</v>
      </c>
      <c r="I428" s="15" t="s">
        <v>154</v>
      </c>
      <c r="J428" s="15" t="s">
        <v>360</v>
      </c>
      <c r="K428" s="16" t="s">
        <v>45</v>
      </c>
      <c r="L428" s="83" t="s">
        <v>837</v>
      </c>
      <c r="M428" s="15"/>
      <c r="N428" s="15" t="s">
        <v>31</v>
      </c>
      <c r="O428" s="15"/>
      <c r="P428" s="16" t="s">
        <v>401</v>
      </c>
      <c r="Q428" s="17">
        <v>11999</v>
      </c>
      <c r="R428" s="18">
        <v>30</v>
      </c>
      <c r="S428" s="19">
        <v>9659.1949999999979</v>
      </c>
      <c r="T428" s="20" t="s">
        <v>333</v>
      </c>
      <c r="U428" s="21" t="s">
        <v>345</v>
      </c>
      <c r="V428" s="23">
        <v>42</v>
      </c>
      <c r="W428" s="23">
        <v>1</v>
      </c>
      <c r="X428" s="24"/>
    </row>
    <row r="429" spans="1:24" s="1" customFormat="1" ht="61.05" customHeight="1" x14ac:dyDescent="0.3">
      <c r="A429" s="25" t="s">
        <v>607</v>
      </c>
      <c r="B429" s="25" t="s">
        <v>835</v>
      </c>
      <c r="C429" s="12" t="s">
        <v>836</v>
      </c>
      <c r="D429" s="82"/>
      <c r="E429" s="67" t="str">
        <f>HYPERLINK("https://www.google.ru/search?q=273405-DBRD&amp;newwindow=1&amp;tbm=isch","Еще фото")</f>
        <v>Еще фото</v>
      </c>
      <c r="F429" s="14"/>
      <c r="G429" s="25" t="s">
        <v>153</v>
      </c>
      <c r="H429" s="25" t="s">
        <v>93</v>
      </c>
      <c r="I429" s="25" t="s">
        <v>154</v>
      </c>
      <c r="J429" s="15" t="s">
        <v>360</v>
      </c>
      <c r="K429" s="16" t="s">
        <v>45</v>
      </c>
      <c r="L429" s="84"/>
      <c r="M429" s="15"/>
      <c r="N429" s="15" t="s">
        <v>31</v>
      </c>
      <c r="O429" s="15"/>
      <c r="P429" s="16" t="s">
        <v>401</v>
      </c>
      <c r="Q429" s="17">
        <v>11999</v>
      </c>
      <c r="R429" s="18">
        <v>30</v>
      </c>
      <c r="S429" s="19">
        <v>9659.1949999999979</v>
      </c>
      <c r="T429" s="20" t="s">
        <v>333</v>
      </c>
      <c r="U429" s="21" t="s">
        <v>366</v>
      </c>
      <c r="V429" s="29">
        <v>43.5</v>
      </c>
      <c r="W429" s="23">
        <v>2</v>
      </c>
      <c r="X429" s="24"/>
    </row>
    <row r="430" spans="1:24" s="1" customFormat="1" ht="52.05" customHeight="1" x14ac:dyDescent="0.3">
      <c r="A430" s="11" t="s">
        <v>607</v>
      </c>
      <c r="B430" s="11" t="s">
        <v>835</v>
      </c>
      <c r="C430" s="12" t="s">
        <v>838</v>
      </c>
      <c r="D430" s="81"/>
      <c r="E430" s="67" t="str">
        <f>HYPERLINK("https://www.google.ru/search?q=273425-NVLI&amp;newwindow=1&amp;tbm=isch","Еще фото")</f>
        <v>Еще фото</v>
      </c>
      <c r="F430" s="14"/>
      <c r="G430" s="11" t="s">
        <v>153</v>
      </c>
      <c r="H430" s="11" t="s">
        <v>93</v>
      </c>
      <c r="I430" s="15" t="s">
        <v>154</v>
      </c>
      <c r="J430" s="15" t="s">
        <v>360</v>
      </c>
      <c r="K430" s="16" t="s">
        <v>45</v>
      </c>
      <c r="L430" s="83" t="s">
        <v>837</v>
      </c>
      <c r="M430" s="15"/>
      <c r="N430" s="15" t="s">
        <v>792</v>
      </c>
      <c r="O430" s="15"/>
      <c r="P430" s="16" t="s">
        <v>401</v>
      </c>
      <c r="Q430" s="17">
        <v>11999</v>
      </c>
      <c r="R430" s="18">
        <v>30</v>
      </c>
      <c r="S430" s="19">
        <v>9659.1949999999979</v>
      </c>
      <c r="T430" s="20" t="s">
        <v>333</v>
      </c>
      <c r="U430" s="21" t="s">
        <v>344</v>
      </c>
      <c r="V430" s="29">
        <v>41.5</v>
      </c>
      <c r="W430" s="23">
        <v>1</v>
      </c>
      <c r="X430" s="24"/>
    </row>
    <row r="431" spans="1:24" s="1" customFormat="1" ht="61.05" customHeight="1" x14ac:dyDescent="0.3">
      <c r="A431" s="25" t="s">
        <v>607</v>
      </c>
      <c r="B431" s="25" t="s">
        <v>835</v>
      </c>
      <c r="C431" s="12" t="s">
        <v>838</v>
      </c>
      <c r="D431" s="82"/>
      <c r="E431" s="67" t="str">
        <f>HYPERLINK("https://www.google.ru/search?q=273425-NVLI&amp;newwindow=1&amp;tbm=isch","Еще фото")</f>
        <v>Еще фото</v>
      </c>
      <c r="F431" s="14"/>
      <c r="G431" s="25" t="s">
        <v>153</v>
      </c>
      <c r="H431" s="25" t="s">
        <v>93</v>
      </c>
      <c r="I431" s="25" t="s">
        <v>154</v>
      </c>
      <c r="J431" s="15" t="s">
        <v>360</v>
      </c>
      <c r="K431" s="16" t="s">
        <v>45</v>
      </c>
      <c r="L431" s="84"/>
      <c r="M431" s="15"/>
      <c r="N431" s="15" t="s">
        <v>792</v>
      </c>
      <c r="O431" s="15"/>
      <c r="P431" s="16" t="s">
        <v>401</v>
      </c>
      <c r="Q431" s="17">
        <v>11999</v>
      </c>
      <c r="R431" s="18">
        <v>30</v>
      </c>
      <c r="S431" s="19">
        <v>9659.1949999999979</v>
      </c>
      <c r="T431" s="20" t="s">
        <v>333</v>
      </c>
      <c r="U431" s="21" t="s">
        <v>345</v>
      </c>
      <c r="V431" s="23">
        <v>42</v>
      </c>
      <c r="W431" s="23">
        <v>3</v>
      </c>
      <c r="X431" s="24"/>
    </row>
    <row r="432" spans="1:24" s="1" customFormat="1" ht="17" customHeight="1" x14ac:dyDescent="0.3">
      <c r="A432" s="11" t="s">
        <v>607</v>
      </c>
      <c r="B432" s="11" t="s">
        <v>839</v>
      </c>
      <c r="C432" s="12" t="s">
        <v>840</v>
      </c>
      <c r="D432" s="85"/>
      <c r="E432" s="67" t="str">
        <f t="shared" ref="E432:E437" si="8">HYPERLINK("https://www.google.ru/search?q=273426-NVCG&amp;newwindow=1&amp;tbm=isch","Еще фото")</f>
        <v>Еще фото</v>
      </c>
      <c r="F432" s="14"/>
      <c r="G432" s="11" t="s">
        <v>153</v>
      </c>
      <c r="H432" s="11" t="s">
        <v>93</v>
      </c>
      <c r="I432" s="15" t="s">
        <v>154</v>
      </c>
      <c r="J432" s="15" t="s">
        <v>360</v>
      </c>
      <c r="K432" s="16" t="s">
        <v>45</v>
      </c>
      <c r="L432" s="83" t="s">
        <v>841</v>
      </c>
      <c r="M432" s="15"/>
      <c r="N432" s="15" t="s">
        <v>31</v>
      </c>
      <c r="O432" s="15"/>
      <c r="P432" s="16" t="s">
        <v>770</v>
      </c>
      <c r="Q432" s="17">
        <v>11199</v>
      </c>
      <c r="R432" s="18">
        <v>30</v>
      </c>
      <c r="S432" s="19">
        <v>9015.1949999999997</v>
      </c>
      <c r="T432" s="20" t="s">
        <v>333</v>
      </c>
      <c r="U432" s="21" t="s">
        <v>343</v>
      </c>
      <c r="V432" s="23">
        <v>41</v>
      </c>
      <c r="W432" s="23">
        <v>3</v>
      </c>
      <c r="X432" s="24"/>
    </row>
    <row r="433" spans="1:24" s="1" customFormat="1" ht="17" customHeight="1" x14ac:dyDescent="0.3">
      <c r="A433" s="25" t="s">
        <v>607</v>
      </c>
      <c r="B433" s="25" t="s">
        <v>839</v>
      </c>
      <c r="C433" s="12" t="s">
        <v>840</v>
      </c>
      <c r="D433" s="86"/>
      <c r="E433" s="67" t="str">
        <f t="shared" si="8"/>
        <v>Еще фото</v>
      </c>
      <c r="F433" s="14"/>
      <c r="G433" s="25" t="s">
        <v>153</v>
      </c>
      <c r="H433" s="25" t="s">
        <v>93</v>
      </c>
      <c r="I433" s="25" t="s">
        <v>154</v>
      </c>
      <c r="J433" s="15" t="s">
        <v>360</v>
      </c>
      <c r="K433" s="16" t="s">
        <v>45</v>
      </c>
      <c r="L433" s="88"/>
      <c r="M433" s="15"/>
      <c r="N433" s="15" t="s">
        <v>31</v>
      </c>
      <c r="O433" s="15"/>
      <c r="P433" s="16" t="s">
        <v>770</v>
      </c>
      <c r="Q433" s="17">
        <v>11199</v>
      </c>
      <c r="R433" s="18">
        <v>30</v>
      </c>
      <c r="S433" s="19">
        <v>9015.1949999999997</v>
      </c>
      <c r="T433" s="20" t="s">
        <v>333</v>
      </c>
      <c r="U433" s="21" t="s">
        <v>344</v>
      </c>
      <c r="V433" s="29">
        <v>41.5</v>
      </c>
      <c r="W433" s="23">
        <v>1</v>
      </c>
      <c r="X433" s="24"/>
    </row>
    <row r="434" spans="1:24" s="1" customFormat="1" ht="17" customHeight="1" x14ac:dyDescent="0.3">
      <c r="A434" s="25" t="s">
        <v>607</v>
      </c>
      <c r="B434" s="25" t="s">
        <v>839</v>
      </c>
      <c r="C434" s="12" t="s">
        <v>840</v>
      </c>
      <c r="D434" s="86"/>
      <c r="E434" s="67" t="str">
        <f t="shared" si="8"/>
        <v>Еще фото</v>
      </c>
      <c r="F434" s="14"/>
      <c r="G434" s="25" t="s">
        <v>153</v>
      </c>
      <c r="H434" s="25" t="s">
        <v>93</v>
      </c>
      <c r="I434" s="25" t="s">
        <v>154</v>
      </c>
      <c r="J434" s="15" t="s">
        <v>360</v>
      </c>
      <c r="K434" s="16" t="s">
        <v>45</v>
      </c>
      <c r="L434" s="88"/>
      <c r="M434" s="15"/>
      <c r="N434" s="15" t="s">
        <v>31</v>
      </c>
      <c r="O434" s="15"/>
      <c r="P434" s="16" t="s">
        <v>770</v>
      </c>
      <c r="Q434" s="17">
        <v>11199</v>
      </c>
      <c r="R434" s="18">
        <v>30</v>
      </c>
      <c r="S434" s="19">
        <v>9015.1949999999997</v>
      </c>
      <c r="T434" s="20" t="s">
        <v>333</v>
      </c>
      <c r="U434" s="21" t="s">
        <v>345</v>
      </c>
      <c r="V434" s="23">
        <v>42</v>
      </c>
      <c r="W434" s="23">
        <v>4</v>
      </c>
      <c r="X434" s="24"/>
    </row>
    <row r="435" spans="1:24" s="1" customFormat="1" ht="17" customHeight="1" x14ac:dyDescent="0.3">
      <c r="A435" s="25" t="s">
        <v>607</v>
      </c>
      <c r="B435" s="25" t="s">
        <v>839</v>
      </c>
      <c r="C435" s="12" t="s">
        <v>840</v>
      </c>
      <c r="D435" s="86"/>
      <c r="E435" s="67" t="str">
        <f t="shared" si="8"/>
        <v>Еще фото</v>
      </c>
      <c r="F435" s="14"/>
      <c r="G435" s="25" t="s">
        <v>153</v>
      </c>
      <c r="H435" s="25" t="s">
        <v>93</v>
      </c>
      <c r="I435" s="25" t="s">
        <v>154</v>
      </c>
      <c r="J435" s="15" t="s">
        <v>360</v>
      </c>
      <c r="K435" s="16" t="s">
        <v>45</v>
      </c>
      <c r="L435" s="88"/>
      <c r="M435" s="15"/>
      <c r="N435" s="15" t="s">
        <v>31</v>
      </c>
      <c r="O435" s="15"/>
      <c r="P435" s="16" t="s">
        <v>770</v>
      </c>
      <c r="Q435" s="17">
        <v>11199</v>
      </c>
      <c r="R435" s="18">
        <v>30</v>
      </c>
      <c r="S435" s="19">
        <v>9015.1949999999997</v>
      </c>
      <c r="T435" s="20" t="s">
        <v>333</v>
      </c>
      <c r="U435" s="21" t="s">
        <v>392</v>
      </c>
      <c r="V435" s="23">
        <v>43</v>
      </c>
      <c r="W435" s="23">
        <v>3</v>
      </c>
      <c r="X435" s="24"/>
    </row>
    <row r="436" spans="1:24" s="1" customFormat="1" ht="17" customHeight="1" x14ac:dyDescent="0.3">
      <c r="A436" s="25" t="s">
        <v>607</v>
      </c>
      <c r="B436" s="25" t="s">
        <v>839</v>
      </c>
      <c r="C436" s="12" t="s">
        <v>840</v>
      </c>
      <c r="D436" s="86"/>
      <c r="E436" s="67" t="str">
        <f t="shared" si="8"/>
        <v>Еще фото</v>
      </c>
      <c r="F436" s="14"/>
      <c r="G436" s="25" t="s">
        <v>153</v>
      </c>
      <c r="H436" s="25" t="s">
        <v>93</v>
      </c>
      <c r="I436" s="25" t="s">
        <v>154</v>
      </c>
      <c r="J436" s="15" t="s">
        <v>360</v>
      </c>
      <c r="K436" s="16" t="s">
        <v>45</v>
      </c>
      <c r="L436" s="88"/>
      <c r="M436" s="15"/>
      <c r="N436" s="15" t="s">
        <v>31</v>
      </c>
      <c r="O436" s="15"/>
      <c r="P436" s="16" t="s">
        <v>770</v>
      </c>
      <c r="Q436" s="17">
        <v>11199</v>
      </c>
      <c r="R436" s="18">
        <v>30</v>
      </c>
      <c r="S436" s="19">
        <v>9015.1949999999997</v>
      </c>
      <c r="T436" s="20" t="s">
        <v>333</v>
      </c>
      <c r="U436" s="21" t="s">
        <v>366</v>
      </c>
      <c r="V436" s="29">
        <v>43.5</v>
      </c>
      <c r="W436" s="23">
        <v>2</v>
      </c>
      <c r="X436" s="24"/>
    </row>
    <row r="437" spans="1:24" s="1" customFormat="1" ht="22.05" customHeight="1" x14ac:dyDescent="0.3">
      <c r="A437" s="25" t="s">
        <v>607</v>
      </c>
      <c r="B437" s="25" t="s">
        <v>839</v>
      </c>
      <c r="C437" s="12" t="s">
        <v>840</v>
      </c>
      <c r="D437" s="87"/>
      <c r="E437" s="67" t="str">
        <f t="shared" si="8"/>
        <v>Еще фото</v>
      </c>
      <c r="F437" s="14"/>
      <c r="G437" s="25" t="s">
        <v>153</v>
      </c>
      <c r="H437" s="25" t="s">
        <v>93</v>
      </c>
      <c r="I437" s="25" t="s">
        <v>154</v>
      </c>
      <c r="J437" s="15" t="s">
        <v>360</v>
      </c>
      <c r="K437" s="16" t="s">
        <v>45</v>
      </c>
      <c r="L437" s="84"/>
      <c r="M437" s="15"/>
      <c r="N437" s="15" t="s">
        <v>31</v>
      </c>
      <c r="O437" s="15"/>
      <c r="P437" s="16" t="s">
        <v>770</v>
      </c>
      <c r="Q437" s="17">
        <v>11199</v>
      </c>
      <c r="R437" s="18">
        <v>30</v>
      </c>
      <c r="S437" s="19">
        <v>9015.1949999999997</v>
      </c>
      <c r="T437" s="20" t="s">
        <v>333</v>
      </c>
      <c r="U437" s="21" t="s">
        <v>785</v>
      </c>
      <c r="V437" s="23">
        <v>44</v>
      </c>
      <c r="W437" s="23">
        <v>1</v>
      </c>
      <c r="X437" s="24"/>
    </row>
    <row r="438" spans="1:24" s="1" customFormat="1" ht="52.05" customHeight="1" x14ac:dyDescent="0.3">
      <c r="A438" s="11" t="s">
        <v>607</v>
      </c>
      <c r="B438" s="11" t="s">
        <v>842</v>
      </c>
      <c r="C438" s="12" t="s">
        <v>843</v>
      </c>
      <c r="D438" s="81"/>
      <c r="E438" s="67" t="str">
        <f>HYPERLINK("https://www.google.ru/search?q=273436-NVCG&amp;newwindow=1&amp;tbm=isch","Еще фото")</f>
        <v>Еще фото</v>
      </c>
      <c r="F438" s="14"/>
      <c r="G438" s="11" t="s">
        <v>153</v>
      </c>
      <c r="H438" s="11" t="s">
        <v>93</v>
      </c>
      <c r="I438" s="15" t="s">
        <v>154</v>
      </c>
      <c r="J438" s="15" t="s">
        <v>360</v>
      </c>
      <c r="K438" s="16" t="s">
        <v>45</v>
      </c>
      <c r="L438" s="83" t="s">
        <v>844</v>
      </c>
      <c r="M438" s="15"/>
      <c r="N438" s="15" t="s">
        <v>31</v>
      </c>
      <c r="O438" s="15"/>
      <c r="P438" s="16" t="s">
        <v>770</v>
      </c>
      <c r="Q438" s="17">
        <v>11099</v>
      </c>
      <c r="R438" s="18">
        <v>30</v>
      </c>
      <c r="S438" s="19">
        <v>8934.6949999999997</v>
      </c>
      <c r="T438" s="20" t="s">
        <v>333</v>
      </c>
      <c r="U438" s="21" t="s">
        <v>366</v>
      </c>
      <c r="V438" s="29">
        <v>43.5</v>
      </c>
      <c r="W438" s="23">
        <v>1</v>
      </c>
      <c r="X438" s="24"/>
    </row>
    <row r="439" spans="1:24" s="1" customFormat="1" ht="61.05" customHeight="1" x14ac:dyDescent="0.3">
      <c r="A439" s="25" t="s">
        <v>607</v>
      </c>
      <c r="B439" s="25" t="s">
        <v>842</v>
      </c>
      <c r="C439" s="12" t="s">
        <v>843</v>
      </c>
      <c r="D439" s="82"/>
      <c r="E439" s="67" t="str">
        <f>HYPERLINK("https://www.google.ru/search?q=273436-NVCG&amp;newwindow=1&amp;tbm=isch","Еще фото")</f>
        <v>Еще фото</v>
      </c>
      <c r="F439" s="14"/>
      <c r="G439" s="25" t="s">
        <v>153</v>
      </c>
      <c r="H439" s="25" t="s">
        <v>93</v>
      </c>
      <c r="I439" s="25" t="s">
        <v>154</v>
      </c>
      <c r="J439" s="15" t="s">
        <v>360</v>
      </c>
      <c r="K439" s="16" t="s">
        <v>45</v>
      </c>
      <c r="L439" s="84"/>
      <c r="M439" s="15"/>
      <c r="N439" s="15" t="s">
        <v>31</v>
      </c>
      <c r="O439" s="15"/>
      <c r="P439" s="16" t="s">
        <v>770</v>
      </c>
      <c r="Q439" s="17">
        <v>11099</v>
      </c>
      <c r="R439" s="18">
        <v>30</v>
      </c>
      <c r="S439" s="19">
        <v>8934.6949999999997</v>
      </c>
      <c r="T439" s="20" t="s">
        <v>333</v>
      </c>
      <c r="U439" s="21" t="s">
        <v>785</v>
      </c>
      <c r="V439" s="23">
        <v>44</v>
      </c>
      <c r="W439" s="23">
        <v>1</v>
      </c>
      <c r="X439" s="24"/>
    </row>
    <row r="440" spans="1:24" s="1" customFormat="1" ht="52.05" customHeight="1" x14ac:dyDescent="0.3">
      <c r="A440" s="11" t="s">
        <v>607</v>
      </c>
      <c r="B440" s="11" t="s">
        <v>835</v>
      </c>
      <c r="C440" s="12" t="s">
        <v>845</v>
      </c>
      <c r="D440" s="81"/>
      <c r="E440" s="67" t="str">
        <f>HYPERLINK("https://www.google.ru/search?q=273445-WHBK&amp;newwindow=1&amp;tbm=isch","Еще фото")</f>
        <v>Еще фото</v>
      </c>
      <c r="F440" s="14"/>
      <c r="G440" s="11" t="s">
        <v>153</v>
      </c>
      <c r="H440" s="11" t="s">
        <v>93</v>
      </c>
      <c r="I440" s="15" t="s">
        <v>154</v>
      </c>
      <c r="J440" s="15" t="s">
        <v>360</v>
      </c>
      <c r="K440" s="16" t="s">
        <v>45</v>
      </c>
      <c r="L440" s="83" t="s">
        <v>837</v>
      </c>
      <c r="M440" s="15"/>
      <c r="N440" s="15" t="s">
        <v>436</v>
      </c>
      <c r="O440" s="15"/>
      <c r="P440" s="16" t="s">
        <v>401</v>
      </c>
      <c r="Q440" s="17">
        <v>11999</v>
      </c>
      <c r="R440" s="18">
        <v>30</v>
      </c>
      <c r="S440" s="19">
        <v>9659.1949999999979</v>
      </c>
      <c r="T440" s="20" t="s">
        <v>333</v>
      </c>
      <c r="U440" s="21" t="s">
        <v>344</v>
      </c>
      <c r="V440" s="29">
        <v>41.5</v>
      </c>
      <c r="W440" s="23">
        <v>1</v>
      </c>
      <c r="X440" s="24"/>
    </row>
    <row r="441" spans="1:24" s="1" customFormat="1" ht="61.05" customHeight="1" x14ac:dyDescent="0.3">
      <c r="A441" s="25" t="s">
        <v>607</v>
      </c>
      <c r="B441" s="25" t="s">
        <v>835</v>
      </c>
      <c r="C441" s="12" t="s">
        <v>845</v>
      </c>
      <c r="D441" s="82"/>
      <c r="E441" s="67" t="str">
        <f>HYPERLINK("https://www.google.ru/search?q=273445-WHBK&amp;newwindow=1&amp;tbm=isch","Еще фото")</f>
        <v>Еще фото</v>
      </c>
      <c r="F441" s="14"/>
      <c r="G441" s="25" t="s">
        <v>153</v>
      </c>
      <c r="H441" s="25" t="s">
        <v>93</v>
      </c>
      <c r="I441" s="25" t="s">
        <v>154</v>
      </c>
      <c r="J441" s="15" t="s">
        <v>360</v>
      </c>
      <c r="K441" s="16" t="s">
        <v>45</v>
      </c>
      <c r="L441" s="84"/>
      <c r="M441" s="15"/>
      <c r="N441" s="15" t="s">
        <v>436</v>
      </c>
      <c r="O441" s="15"/>
      <c r="P441" s="16" t="s">
        <v>401</v>
      </c>
      <c r="Q441" s="17">
        <v>11999</v>
      </c>
      <c r="R441" s="18">
        <v>30</v>
      </c>
      <c r="S441" s="19">
        <v>9659.1949999999979</v>
      </c>
      <c r="T441" s="20" t="s">
        <v>333</v>
      </c>
      <c r="U441" s="21" t="s">
        <v>345</v>
      </c>
      <c r="V441" s="23">
        <v>42</v>
      </c>
      <c r="W441" s="23">
        <v>3</v>
      </c>
      <c r="X441" s="24"/>
    </row>
    <row r="442" spans="1:24" s="1" customFormat="1" ht="26" customHeight="1" x14ac:dyDescent="0.3">
      <c r="A442" s="11" t="s">
        <v>607</v>
      </c>
      <c r="B442" s="11" t="s">
        <v>846</v>
      </c>
      <c r="C442" s="12" t="s">
        <v>847</v>
      </c>
      <c r="D442" s="85"/>
      <c r="E442" s="67" t="str">
        <f>HYPERLINK("https://www.google.ru/search?q=274164-CWPU&amp;newwindow=1&amp;tbm=isch","Еще фото")</f>
        <v>Еще фото</v>
      </c>
      <c r="F442" s="55" t="s">
        <v>688</v>
      </c>
      <c r="G442" s="11" t="s">
        <v>153</v>
      </c>
      <c r="H442" s="11" t="s">
        <v>93</v>
      </c>
      <c r="I442" s="15" t="s">
        <v>154</v>
      </c>
      <c r="J442" s="15" t="s">
        <v>360</v>
      </c>
      <c r="K442" s="16" t="s">
        <v>29</v>
      </c>
      <c r="L442" s="83" t="s">
        <v>776</v>
      </c>
      <c r="M442" s="15"/>
      <c r="N442" s="15" t="s">
        <v>132</v>
      </c>
      <c r="O442" s="15"/>
      <c r="P442" s="16" t="s">
        <v>770</v>
      </c>
      <c r="Q442" s="17">
        <v>14399</v>
      </c>
      <c r="R442" s="18">
        <v>30</v>
      </c>
      <c r="S442" s="19">
        <v>11591.194999999998</v>
      </c>
      <c r="T442" s="20" t="s">
        <v>333</v>
      </c>
      <c r="U442" s="21" t="s">
        <v>354</v>
      </c>
      <c r="V442" s="23">
        <v>36</v>
      </c>
      <c r="W442" s="23">
        <v>2</v>
      </c>
      <c r="X442" s="24"/>
    </row>
    <row r="443" spans="1:24" s="1" customFormat="1" ht="26" customHeight="1" x14ac:dyDescent="0.3">
      <c r="A443" s="25" t="s">
        <v>607</v>
      </c>
      <c r="B443" s="25" t="s">
        <v>846</v>
      </c>
      <c r="C443" s="12" t="s">
        <v>847</v>
      </c>
      <c r="D443" s="86"/>
      <c r="E443" s="67" t="str">
        <f>HYPERLINK("https://www.google.ru/search?q=274164-CWPU&amp;newwindow=1&amp;tbm=isch","Еще фото")</f>
        <v>Еще фото</v>
      </c>
      <c r="F443" s="55" t="s">
        <v>688</v>
      </c>
      <c r="G443" s="25" t="s">
        <v>153</v>
      </c>
      <c r="H443" s="25" t="s">
        <v>93</v>
      </c>
      <c r="I443" s="25" t="s">
        <v>154</v>
      </c>
      <c r="J443" s="15" t="s">
        <v>360</v>
      </c>
      <c r="K443" s="16" t="s">
        <v>29</v>
      </c>
      <c r="L443" s="88"/>
      <c r="M443" s="15"/>
      <c r="N443" s="15" t="s">
        <v>132</v>
      </c>
      <c r="O443" s="15"/>
      <c r="P443" s="16" t="s">
        <v>770</v>
      </c>
      <c r="Q443" s="17">
        <v>14399</v>
      </c>
      <c r="R443" s="18">
        <v>30</v>
      </c>
      <c r="S443" s="19">
        <v>11591.194999999998</v>
      </c>
      <c r="T443" s="20" t="s">
        <v>333</v>
      </c>
      <c r="U443" s="21" t="s">
        <v>348</v>
      </c>
      <c r="V443" s="29">
        <v>36.5</v>
      </c>
      <c r="W443" s="23">
        <v>8</v>
      </c>
      <c r="X443" s="24"/>
    </row>
    <row r="444" spans="1:24" s="1" customFormat="1" ht="26" customHeight="1" x14ac:dyDescent="0.3">
      <c r="A444" s="25" t="s">
        <v>607</v>
      </c>
      <c r="B444" s="25" t="s">
        <v>846</v>
      </c>
      <c r="C444" s="12" t="s">
        <v>847</v>
      </c>
      <c r="D444" s="86"/>
      <c r="E444" s="67" t="str">
        <f>HYPERLINK("https://www.google.ru/search?q=274164-CWPU&amp;newwindow=1&amp;tbm=isch","Еще фото")</f>
        <v>Еще фото</v>
      </c>
      <c r="F444" s="55" t="s">
        <v>688</v>
      </c>
      <c r="G444" s="25" t="s">
        <v>153</v>
      </c>
      <c r="H444" s="25" t="s">
        <v>93</v>
      </c>
      <c r="I444" s="25" t="s">
        <v>154</v>
      </c>
      <c r="J444" s="15" t="s">
        <v>360</v>
      </c>
      <c r="K444" s="16" t="s">
        <v>29</v>
      </c>
      <c r="L444" s="88"/>
      <c r="M444" s="15"/>
      <c r="N444" s="15" t="s">
        <v>132</v>
      </c>
      <c r="O444" s="15"/>
      <c r="P444" s="16" t="s">
        <v>770</v>
      </c>
      <c r="Q444" s="17">
        <v>14399</v>
      </c>
      <c r="R444" s="18">
        <v>30</v>
      </c>
      <c r="S444" s="19">
        <v>11591.194999999998</v>
      </c>
      <c r="T444" s="20" t="s">
        <v>333</v>
      </c>
      <c r="U444" s="21" t="s">
        <v>349</v>
      </c>
      <c r="V444" s="23">
        <v>37</v>
      </c>
      <c r="W444" s="23">
        <v>4</v>
      </c>
      <c r="X444" s="24"/>
    </row>
    <row r="445" spans="1:24" s="1" customFormat="1" ht="26" customHeight="1" x14ac:dyDescent="0.3">
      <c r="A445" s="25" t="s">
        <v>607</v>
      </c>
      <c r="B445" s="25" t="s">
        <v>846</v>
      </c>
      <c r="C445" s="12" t="s">
        <v>847</v>
      </c>
      <c r="D445" s="87"/>
      <c r="E445" s="67" t="str">
        <f>HYPERLINK("https://www.google.ru/search?q=274164-CWPU&amp;newwindow=1&amp;tbm=isch","Еще фото")</f>
        <v>Еще фото</v>
      </c>
      <c r="F445" s="55" t="s">
        <v>688</v>
      </c>
      <c r="G445" s="25" t="s">
        <v>153</v>
      </c>
      <c r="H445" s="25" t="s">
        <v>93</v>
      </c>
      <c r="I445" s="25" t="s">
        <v>154</v>
      </c>
      <c r="J445" s="15" t="s">
        <v>360</v>
      </c>
      <c r="K445" s="16" t="s">
        <v>29</v>
      </c>
      <c r="L445" s="84"/>
      <c r="M445" s="15"/>
      <c r="N445" s="15" t="s">
        <v>132</v>
      </c>
      <c r="O445" s="15"/>
      <c r="P445" s="16" t="s">
        <v>770</v>
      </c>
      <c r="Q445" s="17">
        <v>14399</v>
      </c>
      <c r="R445" s="18">
        <v>30</v>
      </c>
      <c r="S445" s="19">
        <v>11591.194999999998</v>
      </c>
      <c r="T445" s="20" t="s">
        <v>333</v>
      </c>
      <c r="U445" s="21" t="s">
        <v>334</v>
      </c>
      <c r="V445" s="29">
        <v>37.5</v>
      </c>
      <c r="W445" s="23">
        <v>4</v>
      </c>
      <c r="X445" s="24"/>
    </row>
    <row r="446" spans="1:24" s="1" customFormat="1" ht="35" customHeight="1" x14ac:dyDescent="0.3">
      <c r="A446" s="11" t="s">
        <v>607</v>
      </c>
      <c r="B446" s="11" t="s">
        <v>848</v>
      </c>
      <c r="C446" s="12" t="s">
        <v>849</v>
      </c>
      <c r="D446" s="85"/>
      <c r="E446" s="67" t="str">
        <f>HYPERLINK("https://www.google.ru/search?q=274205-BKPL&amp;newwindow=1&amp;tbm=isch","Еще фото")</f>
        <v>Еще фото</v>
      </c>
      <c r="F446" s="14"/>
      <c r="G446" s="11" t="s">
        <v>153</v>
      </c>
      <c r="H446" s="11" t="s">
        <v>93</v>
      </c>
      <c r="I446" s="15" t="s">
        <v>154</v>
      </c>
      <c r="J446" s="15" t="s">
        <v>360</v>
      </c>
      <c r="K446" s="16" t="s">
        <v>29</v>
      </c>
      <c r="L446" s="83" t="s">
        <v>850</v>
      </c>
      <c r="M446" s="15"/>
      <c r="N446" s="15" t="s">
        <v>851</v>
      </c>
      <c r="O446" s="15"/>
      <c r="P446" s="16" t="s">
        <v>401</v>
      </c>
      <c r="Q446" s="17">
        <v>15899</v>
      </c>
      <c r="R446" s="18">
        <v>30</v>
      </c>
      <c r="S446" s="19">
        <v>12798.694999999998</v>
      </c>
      <c r="T446" s="20" t="s">
        <v>333</v>
      </c>
      <c r="U446" s="21" t="s">
        <v>354</v>
      </c>
      <c r="V446" s="23">
        <v>36</v>
      </c>
      <c r="W446" s="23">
        <v>2</v>
      </c>
      <c r="X446" s="24"/>
    </row>
    <row r="447" spans="1:24" s="1" customFormat="1" ht="35" customHeight="1" x14ac:dyDescent="0.3">
      <c r="A447" s="25" t="s">
        <v>607</v>
      </c>
      <c r="B447" s="25" t="s">
        <v>848</v>
      </c>
      <c r="C447" s="12" t="s">
        <v>849</v>
      </c>
      <c r="D447" s="86"/>
      <c r="E447" s="67" t="str">
        <f>HYPERLINK("https://www.google.ru/search?q=274205-BKPL&amp;newwindow=1&amp;tbm=isch","Еще фото")</f>
        <v>Еще фото</v>
      </c>
      <c r="F447" s="14"/>
      <c r="G447" s="25" t="s">
        <v>153</v>
      </c>
      <c r="H447" s="25" t="s">
        <v>93</v>
      </c>
      <c r="I447" s="25" t="s">
        <v>154</v>
      </c>
      <c r="J447" s="15" t="s">
        <v>360</v>
      </c>
      <c r="K447" s="16" t="s">
        <v>29</v>
      </c>
      <c r="L447" s="88"/>
      <c r="M447" s="15"/>
      <c r="N447" s="15" t="s">
        <v>851</v>
      </c>
      <c r="O447" s="15"/>
      <c r="P447" s="16" t="s">
        <v>401</v>
      </c>
      <c r="Q447" s="17">
        <v>15899</v>
      </c>
      <c r="R447" s="18">
        <v>30</v>
      </c>
      <c r="S447" s="19">
        <v>12798.694999999998</v>
      </c>
      <c r="T447" s="20" t="s">
        <v>333</v>
      </c>
      <c r="U447" s="21" t="s">
        <v>335</v>
      </c>
      <c r="V447" s="23">
        <v>38</v>
      </c>
      <c r="W447" s="23">
        <v>5</v>
      </c>
      <c r="X447" s="24"/>
    </row>
    <row r="448" spans="1:24" s="1" customFormat="1" ht="37.049999999999997" customHeight="1" x14ac:dyDescent="0.3">
      <c r="A448" s="25" t="s">
        <v>607</v>
      </c>
      <c r="B448" s="25" t="s">
        <v>848</v>
      </c>
      <c r="C448" s="12" t="s">
        <v>849</v>
      </c>
      <c r="D448" s="87"/>
      <c r="E448" s="67" t="str">
        <f>HYPERLINK("https://www.google.ru/search?q=274205-BKPL&amp;newwindow=1&amp;tbm=isch","Еще фото")</f>
        <v>Еще фото</v>
      </c>
      <c r="F448" s="14"/>
      <c r="G448" s="25" t="s">
        <v>153</v>
      </c>
      <c r="H448" s="25" t="s">
        <v>93</v>
      </c>
      <c r="I448" s="25" t="s">
        <v>154</v>
      </c>
      <c r="J448" s="15" t="s">
        <v>360</v>
      </c>
      <c r="K448" s="16" t="s">
        <v>29</v>
      </c>
      <c r="L448" s="84"/>
      <c r="M448" s="15"/>
      <c r="N448" s="15" t="s">
        <v>851</v>
      </c>
      <c r="O448" s="15"/>
      <c r="P448" s="16" t="s">
        <v>401</v>
      </c>
      <c r="Q448" s="17">
        <v>15899</v>
      </c>
      <c r="R448" s="18">
        <v>30</v>
      </c>
      <c r="S448" s="19">
        <v>12798.694999999998</v>
      </c>
      <c r="T448" s="20" t="s">
        <v>333</v>
      </c>
      <c r="U448" s="21" t="s">
        <v>355</v>
      </c>
      <c r="V448" s="23">
        <v>39</v>
      </c>
      <c r="W448" s="23">
        <v>3</v>
      </c>
      <c r="X448" s="24"/>
    </row>
    <row r="449" spans="1:24" s="1" customFormat="1" ht="52.05" customHeight="1" x14ac:dyDescent="0.3">
      <c r="A449" s="11" t="s">
        <v>607</v>
      </c>
      <c r="B449" s="11" t="s">
        <v>852</v>
      </c>
      <c r="C449" s="12" t="s">
        <v>853</v>
      </c>
      <c r="D449" s="81"/>
      <c r="E449" s="67" t="str">
        <f>HYPERLINK("https://www.google.ru/search?q=274526-BKWH&amp;newwindow=1&amp;tbm=isch","Еще фото")</f>
        <v>Еще фото</v>
      </c>
      <c r="F449" s="14"/>
      <c r="G449" s="11" t="s">
        <v>153</v>
      </c>
      <c r="H449" s="11" t="s">
        <v>93</v>
      </c>
      <c r="I449" s="15" t="s">
        <v>154</v>
      </c>
      <c r="J449" s="15" t="s">
        <v>360</v>
      </c>
      <c r="K449" s="16" t="s">
        <v>29</v>
      </c>
      <c r="L449" s="83" t="s">
        <v>854</v>
      </c>
      <c r="M449" s="15"/>
      <c r="N449" s="15" t="s">
        <v>341</v>
      </c>
      <c r="O449" s="15"/>
      <c r="P449" s="16" t="s">
        <v>770</v>
      </c>
      <c r="Q449" s="17">
        <v>9999</v>
      </c>
      <c r="R449" s="18">
        <v>30</v>
      </c>
      <c r="S449" s="19">
        <v>8049.1949999999997</v>
      </c>
      <c r="T449" s="20" t="s">
        <v>333</v>
      </c>
      <c r="U449" s="21" t="s">
        <v>349</v>
      </c>
      <c r="V449" s="23">
        <v>37</v>
      </c>
      <c r="W449" s="23">
        <v>1</v>
      </c>
      <c r="X449" s="24"/>
    </row>
    <row r="450" spans="1:24" s="1" customFormat="1" ht="61.05" customHeight="1" x14ac:dyDescent="0.3">
      <c r="A450" s="25" t="s">
        <v>607</v>
      </c>
      <c r="B450" s="25" t="s">
        <v>852</v>
      </c>
      <c r="C450" s="12" t="s">
        <v>853</v>
      </c>
      <c r="D450" s="82"/>
      <c r="E450" s="67" t="str">
        <f>HYPERLINK("https://www.google.ru/search?q=274526-BKWH&amp;newwindow=1&amp;tbm=isch","Еще фото")</f>
        <v>Еще фото</v>
      </c>
      <c r="F450" s="14"/>
      <c r="G450" s="25" t="s">
        <v>153</v>
      </c>
      <c r="H450" s="25" t="s">
        <v>93</v>
      </c>
      <c r="I450" s="25" t="s">
        <v>154</v>
      </c>
      <c r="J450" s="15" t="s">
        <v>360</v>
      </c>
      <c r="K450" s="16" t="s">
        <v>29</v>
      </c>
      <c r="L450" s="84"/>
      <c r="M450" s="15"/>
      <c r="N450" s="15" t="s">
        <v>341</v>
      </c>
      <c r="O450" s="15"/>
      <c r="P450" s="16" t="s">
        <v>770</v>
      </c>
      <c r="Q450" s="17">
        <v>9999</v>
      </c>
      <c r="R450" s="18">
        <v>30</v>
      </c>
      <c r="S450" s="19">
        <v>8049.1949999999997</v>
      </c>
      <c r="T450" s="20" t="s">
        <v>333</v>
      </c>
      <c r="U450" s="21" t="s">
        <v>334</v>
      </c>
      <c r="V450" s="29">
        <v>37.5</v>
      </c>
      <c r="W450" s="23">
        <v>3</v>
      </c>
      <c r="X450" s="24"/>
    </row>
    <row r="451" spans="1:24" s="1" customFormat="1" ht="11" customHeight="1" x14ac:dyDescent="0.3">
      <c r="A451" s="11" t="s">
        <v>607</v>
      </c>
      <c r="B451" s="11" t="s">
        <v>855</v>
      </c>
      <c r="C451" s="12" t="s">
        <v>856</v>
      </c>
      <c r="D451" s="85"/>
      <c r="E451" s="67" t="str">
        <f t="shared" ref="E451:E464" si="9">HYPERLINK("https://www.google.ru/search?q=275226-RDDR&amp;newwindow=1&amp;tbm=isch","Еще фото")</f>
        <v>Еще фото</v>
      </c>
      <c r="F451" s="14"/>
      <c r="G451" s="11" t="s">
        <v>153</v>
      </c>
      <c r="H451" s="11" t="s">
        <v>93</v>
      </c>
      <c r="I451" s="15" t="s">
        <v>154</v>
      </c>
      <c r="J451" s="15" t="s">
        <v>360</v>
      </c>
      <c r="K451" s="16" t="s">
        <v>59</v>
      </c>
      <c r="L451" s="83" t="s">
        <v>857</v>
      </c>
      <c r="M451" s="15"/>
      <c r="N451" s="15" t="s">
        <v>73</v>
      </c>
      <c r="O451" s="15"/>
      <c r="P451" s="16" t="s">
        <v>770</v>
      </c>
      <c r="Q451" s="17">
        <v>10499</v>
      </c>
      <c r="R451" s="18">
        <v>30</v>
      </c>
      <c r="S451" s="19">
        <v>8451.6949999999997</v>
      </c>
      <c r="T451" s="20" t="s">
        <v>333</v>
      </c>
      <c r="U451" s="21" t="s">
        <v>796</v>
      </c>
      <c r="V451" s="29">
        <v>32.5</v>
      </c>
      <c r="W451" s="23">
        <v>6</v>
      </c>
      <c r="X451" s="24"/>
    </row>
    <row r="452" spans="1:24" s="1" customFormat="1" ht="11" customHeight="1" x14ac:dyDescent="0.3">
      <c r="A452" s="25" t="s">
        <v>607</v>
      </c>
      <c r="B452" s="25" t="s">
        <v>855</v>
      </c>
      <c r="C452" s="12" t="s">
        <v>856</v>
      </c>
      <c r="D452" s="86"/>
      <c r="E452" s="67" t="str">
        <f t="shared" si="9"/>
        <v>Еще фото</v>
      </c>
      <c r="F452" s="14"/>
      <c r="G452" s="25" t="s">
        <v>153</v>
      </c>
      <c r="H452" s="25" t="s">
        <v>93</v>
      </c>
      <c r="I452" s="25" t="s">
        <v>154</v>
      </c>
      <c r="J452" s="15" t="s">
        <v>360</v>
      </c>
      <c r="K452" s="16" t="s">
        <v>59</v>
      </c>
      <c r="L452" s="88"/>
      <c r="M452" s="15"/>
      <c r="N452" s="15" t="s">
        <v>73</v>
      </c>
      <c r="O452" s="15"/>
      <c r="P452" s="16" t="s">
        <v>770</v>
      </c>
      <c r="Q452" s="17">
        <v>10499</v>
      </c>
      <c r="R452" s="18">
        <v>30</v>
      </c>
      <c r="S452" s="19">
        <v>8451.6949999999997</v>
      </c>
      <c r="T452" s="20" t="s">
        <v>333</v>
      </c>
      <c r="U452" s="21" t="s">
        <v>797</v>
      </c>
      <c r="V452" s="29">
        <v>33.5</v>
      </c>
      <c r="W452" s="23">
        <v>2</v>
      </c>
      <c r="X452" s="24"/>
    </row>
    <row r="453" spans="1:24" s="1" customFormat="1" ht="11" customHeight="1" x14ac:dyDescent="0.3">
      <c r="A453" s="25" t="s">
        <v>607</v>
      </c>
      <c r="B453" s="25" t="s">
        <v>855</v>
      </c>
      <c r="C453" s="12" t="s">
        <v>856</v>
      </c>
      <c r="D453" s="86"/>
      <c r="E453" s="67" t="str">
        <f t="shared" si="9"/>
        <v>Еще фото</v>
      </c>
      <c r="F453" s="14"/>
      <c r="G453" s="25" t="s">
        <v>153</v>
      </c>
      <c r="H453" s="25" t="s">
        <v>93</v>
      </c>
      <c r="I453" s="25" t="s">
        <v>154</v>
      </c>
      <c r="J453" s="15" t="s">
        <v>360</v>
      </c>
      <c r="K453" s="16" t="s">
        <v>59</v>
      </c>
      <c r="L453" s="88"/>
      <c r="M453" s="15"/>
      <c r="N453" s="15" t="s">
        <v>73</v>
      </c>
      <c r="O453" s="15"/>
      <c r="P453" s="16" t="s">
        <v>770</v>
      </c>
      <c r="Q453" s="17">
        <v>10499</v>
      </c>
      <c r="R453" s="18">
        <v>30</v>
      </c>
      <c r="S453" s="19">
        <v>8451.6949999999997</v>
      </c>
      <c r="T453" s="20" t="s">
        <v>333</v>
      </c>
      <c r="U453" s="21" t="s">
        <v>858</v>
      </c>
      <c r="V453" s="23">
        <v>34</v>
      </c>
      <c r="W453" s="23">
        <v>1</v>
      </c>
      <c r="X453" s="24"/>
    </row>
    <row r="454" spans="1:24" s="1" customFormat="1" ht="11" customHeight="1" x14ac:dyDescent="0.3">
      <c r="A454" s="25" t="s">
        <v>607</v>
      </c>
      <c r="B454" s="25" t="s">
        <v>855</v>
      </c>
      <c r="C454" s="12" t="s">
        <v>856</v>
      </c>
      <c r="D454" s="86"/>
      <c r="E454" s="67" t="str">
        <f t="shared" si="9"/>
        <v>Еще фото</v>
      </c>
      <c r="F454" s="14"/>
      <c r="G454" s="25" t="s">
        <v>153</v>
      </c>
      <c r="H454" s="25" t="s">
        <v>93</v>
      </c>
      <c r="I454" s="25" t="s">
        <v>154</v>
      </c>
      <c r="J454" s="15" t="s">
        <v>360</v>
      </c>
      <c r="K454" s="16" t="s">
        <v>59</v>
      </c>
      <c r="L454" s="88"/>
      <c r="M454" s="15"/>
      <c r="N454" s="15" t="s">
        <v>73</v>
      </c>
      <c r="O454" s="15"/>
      <c r="P454" s="16" t="s">
        <v>770</v>
      </c>
      <c r="Q454" s="17">
        <v>10499</v>
      </c>
      <c r="R454" s="18">
        <v>30</v>
      </c>
      <c r="S454" s="19">
        <v>8451.6949999999997</v>
      </c>
      <c r="T454" s="20" t="s">
        <v>333</v>
      </c>
      <c r="U454" s="21" t="s">
        <v>859</v>
      </c>
      <c r="V454" s="29">
        <v>34.5</v>
      </c>
      <c r="W454" s="23">
        <v>6</v>
      </c>
      <c r="X454" s="24"/>
    </row>
    <row r="455" spans="1:24" s="1" customFormat="1" ht="11" customHeight="1" x14ac:dyDescent="0.3">
      <c r="A455" s="25" t="s">
        <v>607</v>
      </c>
      <c r="B455" s="25" t="s">
        <v>855</v>
      </c>
      <c r="C455" s="12" t="s">
        <v>856</v>
      </c>
      <c r="D455" s="86"/>
      <c r="E455" s="67" t="str">
        <f t="shared" si="9"/>
        <v>Еще фото</v>
      </c>
      <c r="F455" s="14"/>
      <c r="G455" s="25" t="s">
        <v>153</v>
      </c>
      <c r="H455" s="25" t="s">
        <v>93</v>
      </c>
      <c r="I455" s="25" t="s">
        <v>154</v>
      </c>
      <c r="J455" s="15" t="s">
        <v>360</v>
      </c>
      <c r="K455" s="16" t="s">
        <v>59</v>
      </c>
      <c r="L455" s="88"/>
      <c r="M455" s="15"/>
      <c r="N455" s="15" t="s">
        <v>73</v>
      </c>
      <c r="O455" s="15"/>
      <c r="P455" s="16" t="s">
        <v>770</v>
      </c>
      <c r="Q455" s="17">
        <v>10499</v>
      </c>
      <c r="R455" s="18">
        <v>30</v>
      </c>
      <c r="S455" s="19">
        <v>8451.6949999999997</v>
      </c>
      <c r="T455" s="20" t="s">
        <v>333</v>
      </c>
      <c r="U455" s="21" t="s">
        <v>860</v>
      </c>
      <c r="V455" s="29">
        <v>35.5</v>
      </c>
      <c r="W455" s="23">
        <v>7</v>
      </c>
      <c r="X455" s="24"/>
    </row>
    <row r="456" spans="1:24" s="1" customFormat="1" ht="11" customHeight="1" x14ac:dyDescent="0.3">
      <c r="A456" s="25" t="s">
        <v>607</v>
      </c>
      <c r="B456" s="25" t="s">
        <v>855</v>
      </c>
      <c r="C456" s="12" t="s">
        <v>856</v>
      </c>
      <c r="D456" s="86"/>
      <c r="E456" s="67" t="str">
        <f t="shared" si="9"/>
        <v>Еще фото</v>
      </c>
      <c r="F456" s="14"/>
      <c r="G456" s="25" t="s">
        <v>153</v>
      </c>
      <c r="H456" s="25" t="s">
        <v>93</v>
      </c>
      <c r="I456" s="25" t="s">
        <v>154</v>
      </c>
      <c r="J456" s="15" t="s">
        <v>360</v>
      </c>
      <c r="K456" s="16" t="s">
        <v>59</v>
      </c>
      <c r="L456" s="88"/>
      <c r="M456" s="15"/>
      <c r="N456" s="15" t="s">
        <v>73</v>
      </c>
      <c r="O456" s="15"/>
      <c r="P456" s="16" t="s">
        <v>770</v>
      </c>
      <c r="Q456" s="17">
        <v>10499</v>
      </c>
      <c r="R456" s="18">
        <v>30</v>
      </c>
      <c r="S456" s="19">
        <v>8451.6949999999997</v>
      </c>
      <c r="T456" s="20" t="s">
        <v>333</v>
      </c>
      <c r="U456" s="21" t="s">
        <v>801</v>
      </c>
      <c r="V456" s="23">
        <v>33</v>
      </c>
      <c r="W456" s="23">
        <v>6</v>
      </c>
      <c r="X456" s="24"/>
    </row>
    <row r="457" spans="1:24" s="1" customFormat="1" ht="11" customHeight="1" x14ac:dyDescent="0.3">
      <c r="A457" s="25" t="s">
        <v>607</v>
      </c>
      <c r="B457" s="25" t="s">
        <v>855</v>
      </c>
      <c r="C457" s="12" t="s">
        <v>856</v>
      </c>
      <c r="D457" s="86"/>
      <c r="E457" s="67" t="str">
        <f t="shared" si="9"/>
        <v>Еще фото</v>
      </c>
      <c r="F457" s="14"/>
      <c r="G457" s="25" t="s">
        <v>153</v>
      </c>
      <c r="H457" s="25" t="s">
        <v>93</v>
      </c>
      <c r="I457" s="25" t="s">
        <v>154</v>
      </c>
      <c r="J457" s="15" t="s">
        <v>360</v>
      </c>
      <c r="K457" s="16" t="s">
        <v>59</v>
      </c>
      <c r="L457" s="88"/>
      <c r="M457" s="15"/>
      <c r="N457" s="15" t="s">
        <v>73</v>
      </c>
      <c r="O457" s="15"/>
      <c r="P457" s="16" t="s">
        <v>770</v>
      </c>
      <c r="Q457" s="17">
        <v>10499</v>
      </c>
      <c r="R457" s="18">
        <v>30</v>
      </c>
      <c r="S457" s="19">
        <v>8451.6949999999997</v>
      </c>
      <c r="T457" s="20" t="s">
        <v>333</v>
      </c>
      <c r="U457" s="21" t="s">
        <v>354</v>
      </c>
      <c r="V457" s="23">
        <v>36</v>
      </c>
      <c r="W457" s="23">
        <v>14</v>
      </c>
      <c r="X457" s="24"/>
    </row>
    <row r="458" spans="1:24" s="1" customFormat="1" ht="11" customHeight="1" x14ac:dyDescent="0.3">
      <c r="A458" s="25" t="s">
        <v>607</v>
      </c>
      <c r="B458" s="25" t="s">
        <v>855</v>
      </c>
      <c r="C458" s="12" t="s">
        <v>856</v>
      </c>
      <c r="D458" s="86"/>
      <c r="E458" s="67" t="str">
        <f t="shared" si="9"/>
        <v>Еще фото</v>
      </c>
      <c r="F458" s="14"/>
      <c r="G458" s="25" t="s">
        <v>153</v>
      </c>
      <c r="H458" s="25" t="s">
        <v>93</v>
      </c>
      <c r="I458" s="25" t="s">
        <v>154</v>
      </c>
      <c r="J458" s="15" t="s">
        <v>360</v>
      </c>
      <c r="K458" s="16" t="s">
        <v>59</v>
      </c>
      <c r="L458" s="88"/>
      <c r="M458" s="15"/>
      <c r="N458" s="15" t="s">
        <v>73</v>
      </c>
      <c r="O458" s="15"/>
      <c r="P458" s="16" t="s">
        <v>770</v>
      </c>
      <c r="Q458" s="17">
        <v>10499</v>
      </c>
      <c r="R458" s="18">
        <v>30</v>
      </c>
      <c r="S458" s="19">
        <v>8451.6949999999997</v>
      </c>
      <c r="T458" s="20" t="s">
        <v>333</v>
      </c>
      <c r="U458" s="21" t="s">
        <v>348</v>
      </c>
      <c r="V458" s="29">
        <v>36.5</v>
      </c>
      <c r="W458" s="23">
        <v>12</v>
      </c>
      <c r="X458" s="24"/>
    </row>
    <row r="459" spans="1:24" s="1" customFormat="1" ht="11" customHeight="1" x14ac:dyDescent="0.3">
      <c r="A459" s="25" t="s">
        <v>607</v>
      </c>
      <c r="B459" s="25" t="s">
        <v>855</v>
      </c>
      <c r="C459" s="12" t="s">
        <v>856</v>
      </c>
      <c r="D459" s="86"/>
      <c r="E459" s="67" t="str">
        <f t="shared" si="9"/>
        <v>Еще фото</v>
      </c>
      <c r="F459" s="14"/>
      <c r="G459" s="25" t="s">
        <v>153</v>
      </c>
      <c r="H459" s="25" t="s">
        <v>93</v>
      </c>
      <c r="I459" s="25" t="s">
        <v>154</v>
      </c>
      <c r="J459" s="15" t="s">
        <v>360</v>
      </c>
      <c r="K459" s="16" t="s">
        <v>59</v>
      </c>
      <c r="L459" s="88"/>
      <c r="M459" s="15"/>
      <c r="N459" s="15" t="s">
        <v>73</v>
      </c>
      <c r="O459" s="15"/>
      <c r="P459" s="16" t="s">
        <v>770</v>
      </c>
      <c r="Q459" s="17">
        <v>10499</v>
      </c>
      <c r="R459" s="18">
        <v>30</v>
      </c>
      <c r="S459" s="19">
        <v>8451.6949999999997</v>
      </c>
      <c r="T459" s="20" t="s">
        <v>333</v>
      </c>
      <c r="U459" s="21" t="s">
        <v>349</v>
      </c>
      <c r="V459" s="29">
        <v>37.5</v>
      </c>
      <c r="W459" s="23">
        <v>8</v>
      </c>
      <c r="X459" s="24"/>
    </row>
    <row r="460" spans="1:24" s="1" customFormat="1" ht="11" customHeight="1" x14ac:dyDescent="0.3">
      <c r="A460" s="15" t="s">
        <v>607</v>
      </c>
      <c r="B460" s="15" t="s">
        <v>855</v>
      </c>
      <c r="C460" s="12" t="s">
        <v>856</v>
      </c>
      <c r="D460" s="86"/>
      <c r="E460" s="67" t="str">
        <f t="shared" si="9"/>
        <v>Еще фото</v>
      </c>
      <c r="F460" s="56"/>
      <c r="G460" s="15" t="s">
        <v>153</v>
      </c>
      <c r="H460" s="15" t="s">
        <v>93</v>
      </c>
      <c r="I460" s="15" t="s">
        <v>154</v>
      </c>
      <c r="J460" s="15" t="s">
        <v>360</v>
      </c>
      <c r="K460" s="15" t="s">
        <v>59</v>
      </c>
      <c r="L460" s="88"/>
      <c r="M460" s="15"/>
      <c r="N460" s="15" t="s">
        <v>73</v>
      </c>
      <c r="O460" s="15"/>
      <c r="P460" s="15" t="s">
        <v>770</v>
      </c>
      <c r="Q460" s="57">
        <v>10499</v>
      </c>
      <c r="R460" s="58">
        <v>30</v>
      </c>
      <c r="S460" s="59">
        <v>8451.6949999999997</v>
      </c>
      <c r="T460" s="20" t="s">
        <v>333</v>
      </c>
      <c r="U460" s="21" t="s">
        <v>334</v>
      </c>
      <c r="V460" s="23">
        <v>38</v>
      </c>
      <c r="W460" s="23">
        <v>9</v>
      </c>
      <c r="X460" s="24"/>
    </row>
    <row r="461" spans="1:24" s="1" customFormat="1" ht="11" customHeight="1" x14ac:dyDescent="0.3">
      <c r="A461" s="15" t="s">
        <v>607</v>
      </c>
      <c r="B461" s="15" t="s">
        <v>855</v>
      </c>
      <c r="C461" s="12" t="s">
        <v>856</v>
      </c>
      <c r="D461" s="86"/>
      <c r="E461" s="67" t="str">
        <f t="shared" si="9"/>
        <v>Еще фото</v>
      </c>
      <c r="F461" s="56"/>
      <c r="G461" s="15" t="s">
        <v>153</v>
      </c>
      <c r="H461" s="15" t="s">
        <v>93</v>
      </c>
      <c r="I461" s="15" t="s">
        <v>154</v>
      </c>
      <c r="J461" s="15" t="s">
        <v>360</v>
      </c>
      <c r="K461" s="15" t="s">
        <v>59</v>
      </c>
      <c r="L461" s="88"/>
      <c r="M461" s="15"/>
      <c r="N461" s="15" t="s">
        <v>73</v>
      </c>
      <c r="O461" s="15"/>
      <c r="P461" s="15" t="s">
        <v>770</v>
      </c>
      <c r="Q461" s="57">
        <v>10499</v>
      </c>
      <c r="R461" s="58">
        <v>30</v>
      </c>
      <c r="S461" s="59">
        <v>8451.6949999999997</v>
      </c>
      <c r="T461" s="20" t="s">
        <v>333</v>
      </c>
      <c r="U461" s="21" t="s">
        <v>806</v>
      </c>
      <c r="V461" s="23">
        <v>31</v>
      </c>
      <c r="W461" s="23">
        <v>2</v>
      </c>
      <c r="X461" s="24"/>
    </row>
    <row r="462" spans="1:24" s="1" customFormat="1" ht="11" customHeight="1" x14ac:dyDescent="0.3">
      <c r="A462" s="15" t="s">
        <v>607</v>
      </c>
      <c r="B462" s="15" t="s">
        <v>855</v>
      </c>
      <c r="C462" s="12" t="s">
        <v>856</v>
      </c>
      <c r="D462" s="86"/>
      <c r="E462" s="67" t="str">
        <f t="shared" si="9"/>
        <v>Еще фото</v>
      </c>
      <c r="F462" s="56"/>
      <c r="G462" s="15" t="s">
        <v>153</v>
      </c>
      <c r="H462" s="15" t="s">
        <v>93</v>
      </c>
      <c r="I462" s="15" t="s">
        <v>154</v>
      </c>
      <c r="J462" s="15" t="s">
        <v>360</v>
      </c>
      <c r="K462" s="15" t="s">
        <v>59</v>
      </c>
      <c r="L462" s="88"/>
      <c r="M462" s="15"/>
      <c r="N462" s="15" t="s">
        <v>73</v>
      </c>
      <c r="O462" s="15"/>
      <c r="P462" s="15" t="s">
        <v>770</v>
      </c>
      <c r="Q462" s="57">
        <v>10499</v>
      </c>
      <c r="R462" s="58">
        <v>30</v>
      </c>
      <c r="S462" s="59">
        <v>8451.6949999999997</v>
      </c>
      <c r="T462" s="20" t="s">
        <v>333</v>
      </c>
      <c r="U462" s="21" t="s">
        <v>335</v>
      </c>
      <c r="V462" s="29">
        <v>38.5</v>
      </c>
      <c r="W462" s="23">
        <v>11</v>
      </c>
      <c r="X462" s="24"/>
    </row>
    <row r="463" spans="1:24" s="1" customFormat="1" ht="11" customHeight="1" x14ac:dyDescent="0.3">
      <c r="A463" s="15" t="s">
        <v>607</v>
      </c>
      <c r="B463" s="15" t="s">
        <v>855</v>
      </c>
      <c r="C463" s="12" t="s">
        <v>856</v>
      </c>
      <c r="D463" s="86"/>
      <c r="E463" s="67" t="str">
        <f t="shared" si="9"/>
        <v>Еще фото</v>
      </c>
      <c r="F463" s="56"/>
      <c r="G463" s="15" t="s">
        <v>153</v>
      </c>
      <c r="H463" s="15" t="s">
        <v>93</v>
      </c>
      <c r="I463" s="15" t="s">
        <v>154</v>
      </c>
      <c r="J463" s="15" t="s">
        <v>360</v>
      </c>
      <c r="K463" s="15" t="s">
        <v>59</v>
      </c>
      <c r="L463" s="88"/>
      <c r="M463" s="15"/>
      <c r="N463" s="15" t="s">
        <v>73</v>
      </c>
      <c r="O463" s="15"/>
      <c r="P463" s="15" t="s">
        <v>770</v>
      </c>
      <c r="Q463" s="57">
        <v>10499</v>
      </c>
      <c r="R463" s="58">
        <v>30</v>
      </c>
      <c r="S463" s="59">
        <v>8451.6949999999997</v>
      </c>
      <c r="T463" s="20" t="s">
        <v>333</v>
      </c>
      <c r="U463" s="21" t="s">
        <v>807</v>
      </c>
      <c r="V463" s="29">
        <v>31.5</v>
      </c>
      <c r="W463" s="23">
        <v>2</v>
      </c>
      <c r="X463" s="24"/>
    </row>
    <row r="464" spans="1:24" s="1" customFormat="1" ht="11" customHeight="1" x14ac:dyDescent="0.3">
      <c r="A464" s="15" t="s">
        <v>607</v>
      </c>
      <c r="B464" s="15" t="s">
        <v>855</v>
      </c>
      <c r="C464" s="12" t="s">
        <v>856</v>
      </c>
      <c r="D464" s="87"/>
      <c r="E464" s="67" t="str">
        <f t="shared" si="9"/>
        <v>Еще фото</v>
      </c>
      <c r="F464" s="56"/>
      <c r="G464" s="15" t="s">
        <v>153</v>
      </c>
      <c r="H464" s="15" t="s">
        <v>93</v>
      </c>
      <c r="I464" s="15" t="s">
        <v>154</v>
      </c>
      <c r="J464" s="15" t="s">
        <v>360</v>
      </c>
      <c r="K464" s="15" t="s">
        <v>59</v>
      </c>
      <c r="L464" s="84"/>
      <c r="M464" s="15"/>
      <c r="N464" s="15" t="s">
        <v>73</v>
      </c>
      <c r="O464" s="15"/>
      <c r="P464" s="15" t="s">
        <v>770</v>
      </c>
      <c r="Q464" s="57">
        <v>10499</v>
      </c>
      <c r="R464" s="58">
        <v>30</v>
      </c>
      <c r="S464" s="59">
        <v>8451.6949999999997</v>
      </c>
      <c r="T464" s="20" t="s">
        <v>333</v>
      </c>
      <c r="U464" s="21" t="s">
        <v>355</v>
      </c>
      <c r="V464" s="29">
        <v>39.5</v>
      </c>
      <c r="W464" s="23">
        <v>5</v>
      </c>
      <c r="X464" s="24"/>
    </row>
    <row r="465" spans="1:24" s="1" customFormat="1" ht="11" customHeight="1" x14ac:dyDescent="0.3">
      <c r="A465" s="11" t="s">
        <v>607</v>
      </c>
      <c r="B465" s="11" t="s">
        <v>861</v>
      </c>
      <c r="C465" s="12" t="s">
        <v>862</v>
      </c>
      <c r="D465" s="85"/>
      <c r="E465" s="67" t="str">
        <f t="shared" ref="E465:E473" si="10">HYPERLINK("https://www.google.ru/search?q=275236-RDDR&amp;newwindow=1&amp;tbm=isch","Еще фото")</f>
        <v>Еще фото</v>
      </c>
      <c r="F465" s="14"/>
      <c r="G465" s="11" t="s">
        <v>153</v>
      </c>
      <c r="H465" s="11" t="s">
        <v>93</v>
      </c>
      <c r="I465" s="15" t="s">
        <v>154</v>
      </c>
      <c r="J465" s="15" t="s">
        <v>360</v>
      </c>
      <c r="K465" s="16" t="s">
        <v>59</v>
      </c>
      <c r="L465" s="83" t="s">
        <v>863</v>
      </c>
      <c r="M465" s="15"/>
      <c r="N465" s="15" t="s">
        <v>73</v>
      </c>
      <c r="O465" s="15"/>
      <c r="P465" s="16" t="s">
        <v>770</v>
      </c>
      <c r="Q465" s="17">
        <v>10499</v>
      </c>
      <c r="R465" s="18">
        <v>30</v>
      </c>
      <c r="S465" s="19">
        <v>8451.6949999999997</v>
      </c>
      <c r="T465" s="20" t="s">
        <v>333</v>
      </c>
      <c r="U465" s="21" t="s">
        <v>796</v>
      </c>
      <c r="V465" s="29">
        <v>32.5</v>
      </c>
      <c r="W465" s="23">
        <v>6</v>
      </c>
      <c r="X465" s="24"/>
    </row>
    <row r="466" spans="1:24" s="1" customFormat="1" ht="11" customHeight="1" x14ac:dyDescent="0.3">
      <c r="A466" s="25" t="s">
        <v>607</v>
      </c>
      <c r="B466" s="25" t="s">
        <v>861</v>
      </c>
      <c r="C466" s="12" t="s">
        <v>862</v>
      </c>
      <c r="D466" s="86"/>
      <c r="E466" s="67" t="str">
        <f t="shared" si="10"/>
        <v>Еще фото</v>
      </c>
      <c r="F466" s="14"/>
      <c r="G466" s="25" t="s">
        <v>153</v>
      </c>
      <c r="H466" s="25" t="s">
        <v>93</v>
      </c>
      <c r="I466" s="25" t="s">
        <v>154</v>
      </c>
      <c r="J466" s="15" t="s">
        <v>360</v>
      </c>
      <c r="K466" s="16" t="s">
        <v>59</v>
      </c>
      <c r="L466" s="88"/>
      <c r="M466" s="15"/>
      <c r="N466" s="15" t="s">
        <v>73</v>
      </c>
      <c r="O466" s="15"/>
      <c r="P466" s="16" t="s">
        <v>770</v>
      </c>
      <c r="Q466" s="17">
        <v>10499</v>
      </c>
      <c r="R466" s="18">
        <v>30</v>
      </c>
      <c r="S466" s="19">
        <v>8451.6949999999997</v>
      </c>
      <c r="T466" s="20" t="s">
        <v>333</v>
      </c>
      <c r="U466" s="21" t="s">
        <v>859</v>
      </c>
      <c r="V466" s="29">
        <v>34.5</v>
      </c>
      <c r="W466" s="23">
        <v>4</v>
      </c>
      <c r="X466" s="24"/>
    </row>
    <row r="467" spans="1:24" s="1" customFormat="1" ht="11" customHeight="1" x14ac:dyDescent="0.3">
      <c r="A467" s="25" t="s">
        <v>607</v>
      </c>
      <c r="B467" s="25" t="s">
        <v>861</v>
      </c>
      <c r="C467" s="12" t="s">
        <v>862</v>
      </c>
      <c r="D467" s="86"/>
      <c r="E467" s="67" t="str">
        <f t="shared" si="10"/>
        <v>Еще фото</v>
      </c>
      <c r="F467" s="14"/>
      <c r="G467" s="25" t="s">
        <v>153</v>
      </c>
      <c r="H467" s="25" t="s">
        <v>93</v>
      </c>
      <c r="I467" s="25" t="s">
        <v>154</v>
      </c>
      <c r="J467" s="15" t="s">
        <v>360</v>
      </c>
      <c r="K467" s="16" t="s">
        <v>59</v>
      </c>
      <c r="L467" s="88"/>
      <c r="M467" s="15"/>
      <c r="N467" s="15" t="s">
        <v>73</v>
      </c>
      <c r="O467" s="15"/>
      <c r="P467" s="16" t="s">
        <v>770</v>
      </c>
      <c r="Q467" s="17">
        <v>10499</v>
      </c>
      <c r="R467" s="18">
        <v>30</v>
      </c>
      <c r="S467" s="19">
        <v>8451.6949999999997</v>
      </c>
      <c r="T467" s="20" t="s">
        <v>333</v>
      </c>
      <c r="U467" s="21" t="s">
        <v>860</v>
      </c>
      <c r="V467" s="29">
        <v>35.5</v>
      </c>
      <c r="W467" s="23">
        <v>2</v>
      </c>
      <c r="X467" s="24"/>
    </row>
    <row r="468" spans="1:24" s="1" customFormat="1" ht="11" customHeight="1" x14ac:dyDescent="0.3">
      <c r="A468" s="25" t="s">
        <v>607</v>
      </c>
      <c r="B468" s="25" t="s">
        <v>861</v>
      </c>
      <c r="C468" s="12" t="s">
        <v>862</v>
      </c>
      <c r="D468" s="86"/>
      <c r="E468" s="67" t="str">
        <f t="shared" si="10"/>
        <v>Еще фото</v>
      </c>
      <c r="F468" s="14"/>
      <c r="G468" s="25" t="s">
        <v>153</v>
      </c>
      <c r="H468" s="25" t="s">
        <v>93</v>
      </c>
      <c r="I468" s="25" t="s">
        <v>154</v>
      </c>
      <c r="J468" s="15" t="s">
        <v>360</v>
      </c>
      <c r="K468" s="16" t="s">
        <v>59</v>
      </c>
      <c r="L468" s="88"/>
      <c r="M468" s="15"/>
      <c r="N468" s="15" t="s">
        <v>73</v>
      </c>
      <c r="O468" s="15"/>
      <c r="P468" s="16" t="s">
        <v>770</v>
      </c>
      <c r="Q468" s="17">
        <v>10499</v>
      </c>
      <c r="R468" s="18">
        <v>30</v>
      </c>
      <c r="S468" s="19">
        <v>8451.6949999999997</v>
      </c>
      <c r="T468" s="20" t="s">
        <v>333</v>
      </c>
      <c r="U468" s="21" t="s">
        <v>801</v>
      </c>
      <c r="V468" s="23">
        <v>33</v>
      </c>
      <c r="W468" s="23">
        <v>2</v>
      </c>
      <c r="X468" s="24"/>
    </row>
    <row r="469" spans="1:24" s="1" customFormat="1" ht="11" customHeight="1" x14ac:dyDescent="0.3">
      <c r="A469" s="25" t="s">
        <v>607</v>
      </c>
      <c r="B469" s="25" t="s">
        <v>861</v>
      </c>
      <c r="C469" s="12" t="s">
        <v>862</v>
      </c>
      <c r="D469" s="86"/>
      <c r="E469" s="67" t="str">
        <f t="shared" si="10"/>
        <v>Еще фото</v>
      </c>
      <c r="F469" s="14"/>
      <c r="G469" s="25" t="s">
        <v>153</v>
      </c>
      <c r="H469" s="25" t="s">
        <v>93</v>
      </c>
      <c r="I469" s="25" t="s">
        <v>154</v>
      </c>
      <c r="J469" s="15" t="s">
        <v>360</v>
      </c>
      <c r="K469" s="16" t="s">
        <v>59</v>
      </c>
      <c r="L469" s="88"/>
      <c r="M469" s="15"/>
      <c r="N469" s="15" t="s">
        <v>73</v>
      </c>
      <c r="O469" s="15"/>
      <c r="P469" s="16" t="s">
        <v>770</v>
      </c>
      <c r="Q469" s="17">
        <v>10499</v>
      </c>
      <c r="R469" s="18">
        <v>30</v>
      </c>
      <c r="S469" s="19">
        <v>8451.6949999999997</v>
      </c>
      <c r="T469" s="20" t="s">
        <v>333</v>
      </c>
      <c r="U469" s="21" t="s">
        <v>354</v>
      </c>
      <c r="V469" s="23">
        <v>36</v>
      </c>
      <c r="W469" s="23">
        <v>3</v>
      </c>
      <c r="X469" s="24"/>
    </row>
    <row r="470" spans="1:24" s="1" customFormat="1" ht="11" customHeight="1" x14ac:dyDescent="0.3">
      <c r="A470" s="25" t="s">
        <v>607</v>
      </c>
      <c r="B470" s="25" t="s">
        <v>861</v>
      </c>
      <c r="C470" s="12" t="s">
        <v>862</v>
      </c>
      <c r="D470" s="86"/>
      <c r="E470" s="67" t="str">
        <f t="shared" si="10"/>
        <v>Еще фото</v>
      </c>
      <c r="F470" s="14"/>
      <c r="G470" s="25" t="s">
        <v>153</v>
      </c>
      <c r="H470" s="25" t="s">
        <v>93</v>
      </c>
      <c r="I470" s="25" t="s">
        <v>154</v>
      </c>
      <c r="J470" s="15" t="s">
        <v>360</v>
      </c>
      <c r="K470" s="16" t="s">
        <v>59</v>
      </c>
      <c r="L470" s="88"/>
      <c r="M470" s="15"/>
      <c r="N470" s="15" t="s">
        <v>73</v>
      </c>
      <c r="O470" s="15"/>
      <c r="P470" s="16" t="s">
        <v>770</v>
      </c>
      <c r="Q470" s="17">
        <v>10499</v>
      </c>
      <c r="R470" s="18">
        <v>30</v>
      </c>
      <c r="S470" s="19">
        <v>8451.6949999999997</v>
      </c>
      <c r="T470" s="20" t="s">
        <v>333</v>
      </c>
      <c r="U470" s="21" t="s">
        <v>349</v>
      </c>
      <c r="V470" s="29">
        <v>37.5</v>
      </c>
      <c r="W470" s="23">
        <v>2</v>
      </c>
      <c r="X470" s="24"/>
    </row>
    <row r="471" spans="1:24" s="1" customFormat="1" ht="11" customHeight="1" x14ac:dyDescent="0.3">
      <c r="A471" s="25" t="s">
        <v>607</v>
      </c>
      <c r="B471" s="25" t="s">
        <v>861</v>
      </c>
      <c r="C471" s="12" t="s">
        <v>862</v>
      </c>
      <c r="D471" s="86"/>
      <c r="E471" s="67" t="str">
        <f t="shared" si="10"/>
        <v>Еще фото</v>
      </c>
      <c r="F471" s="14"/>
      <c r="G471" s="25" t="s">
        <v>153</v>
      </c>
      <c r="H471" s="25" t="s">
        <v>93</v>
      </c>
      <c r="I471" s="25" t="s">
        <v>154</v>
      </c>
      <c r="J471" s="15" t="s">
        <v>360</v>
      </c>
      <c r="K471" s="16" t="s">
        <v>59</v>
      </c>
      <c r="L471" s="88"/>
      <c r="M471" s="15"/>
      <c r="N471" s="15" t="s">
        <v>73</v>
      </c>
      <c r="O471" s="15"/>
      <c r="P471" s="16" t="s">
        <v>770</v>
      </c>
      <c r="Q471" s="17">
        <v>10499</v>
      </c>
      <c r="R471" s="18">
        <v>30</v>
      </c>
      <c r="S471" s="19">
        <v>8451.6949999999997</v>
      </c>
      <c r="T471" s="20" t="s">
        <v>333</v>
      </c>
      <c r="U471" s="21" t="s">
        <v>334</v>
      </c>
      <c r="V471" s="23">
        <v>38</v>
      </c>
      <c r="W471" s="23">
        <v>1</v>
      </c>
      <c r="X471" s="24"/>
    </row>
    <row r="472" spans="1:24" s="1" customFormat="1" ht="11" customHeight="1" x14ac:dyDescent="0.3">
      <c r="A472" s="25" t="s">
        <v>607</v>
      </c>
      <c r="B472" s="25" t="s">
        <v>861</v>
      </c>
      <c r="C472" s="12" t="s">
        <v>862</v>
      </c>
      <c r="D472" s="86"/>
      <c r="E472" s="67" t="str">
        <f t="shared" si="10"/>
        <v>Еще фото</v>
      </c>
      <c r="F472" s="14"/>
      <c r="G472" s="25" t="s">
        <v>153</v>
      </c>
      <c r="H472" s="25" t="s">
        <v>93</v>
      </c>
      <c r="I472" s="25" t="s">
        <v>154</v>
      </c>
      <c r="J472" s="15" t="s">
        <v>360</v>
      </c>
      <c r="K472" s="16" t="s">
        <v>59</v>
      </c>
      <c r="L472" s="88"/>
      <c r="M472" s="15"/>
      <c r="N472" s="15" t="s">
        <v>73</v>
      </c>
      <c r="O472" s="15"/>
      <c r="P472" s="16" t="s">
        <v>770</v>
      </c>
      <c r="Q472" s="17">
        <v>10499</v>
      </c>
      <c r="R472" s="18">
        <v>30</v>
      </c>
      <c r="S472" s="19">
        <v>8451.6949999999997</v>
      </c>
      <c r="T472" s="20" t="s">
        <v>333</v>
      </c>
      <c r="U472" s="21" t="s">
        <v>335</v>
      </c>
      <c r="V472" s="29">
        <v>38.5</v>
      </c>
      <c r="W472" s="23">
        <v>2</v>
      </c>
      <c r="X472" s="24"/>
    </row>
    <row r="473" spans="1:24" s="1" customFormat="1" ht="11" customHeight="1" x14ac:dyDescent="0.3">
      <c r="A473" s="25" t="s">
        <v>607</v>
      </c>
      <c r="B473" s="25" t="s">
        <v>861</v>
      </c>
      <c r="C473" s="12" t="s">
        <v>862</v>
      </c>
      <c r="D473" s="87"/>
      <c r="E473" s="67" t="str">
        <f t="shared" si="10"/>
        <v>Еще фото</v>
      </c>
      <c r="F473" s="14"/>
      <c r="G473" s="25" t="s">
        <v>153</v>
      </c>
      <c r="H473" s="25" t="s">
        <v>93</v>
      </c>
      <c r="I473" s="25" t="s">
        <v>154</v>
      </c>
      <c r="J473" s="15" t="s">
        <v>360</v>
      </c>
      <c r="K473" s="16" t="s">
        <v>59</v>
      </c>
      <c r="L473" s="84"/>
      <c r="M473" s="15"/>
      <c r="N473" s="15" t="s">
        <v>73</v>
      </c>
      <c r="O473" s="15"/>
      <c r="P473" s="16" t="s">
        <v>770</v>
      </c>
      <c r="Q473" s="17">
        <v>10499</v>
      </c>
      <c r="R473" s="18">
        <v>30</v>
      </c>
      <c r="S473" s="19">
        <v>8451.6949999999997</v>
      </c>
      <c r="T473" s="20" t="s">
        <v>333</v>
      </c>
      <c r="U473" s="21" t="s">
        <v>355</v>
      </c>
      <c r="V473" s="29">
        <v>39.5</v>
      </c>
      <c r="W473" s="23">
        <v>7</v>
      </c>
      <c r="X473" s="24"/>
    </row>
    <row r="474" spans="1:24" s="1" customFormat="1" ht="11" customHeight="1" x14ac:dyDescent="0.3">
      <c r="A474" s="11" t="s">
        <v>607</v>
      </c>
      <c r="B474" s="11" t="s">
        <v>864</v>
      </c>
      <c r="C474" s="12" t="s">
        <v>865</v>
      </c>
      <c r="D474" s="85"/>
      <c r="E474" s="67" t="str">
        <f t="shared" ref="E474:E485" si="11">HYPERLINK("https://www.google.ru/search?q=275266-WHNV&amp;newwindow=1&amp;tbm=isch","Еще фото")</f>
        <v>Еще фото</v>
      </c>
      <c r="F474" s="14"/>
      <c r="G474" s="11" t="s">
        <v>153</v>
      </c>
      <c r="H474" s="11" t="s">
        <v>93</v>
      </c>
      <c r="I474" s="15" t="s">
        <v>154</v>
      </c>
      <c r="J474" s="15" t="s">
        <v>360</v>
      </c>
      <c r="K474" s="16" t="s">
        <v>59</v>
      </c>
      <c r="L474" s="83" t="s">
        <v>857</v>
      </c>
      <c r="M474" s="15"/>
      <c r="N474" s="15" t="s">
        <v>866</v>
      </c>
      <c r="O474" s="15"/>
      <c r="P474" s="16" t="s">
        <v>770</v>
      </c>
      <c r="Q474" s="17">
        <v>10499</v>
      </c>
      <c r="R474" s="18">
        <v>30</v>
      </c>
      <c r="S474" s="19">
        <v>8451.6949999999997</v>
      </c>
      <c r="T474" s="20" t="s">
        <v>333</v>
      </c>
      <c r="U474" s="21" t="s">
        <v>796</v>
      </c>
      <c r="V474" s="29">
        <v>32.5</v>
      </c>
      <c r="W474" s="23">
        <v>5</v>
      </c>
      <c r="X474" s="24"/>
    </row>
    <row r="475" spans="1:24" s="1" customFormat="1" ht="11" customHeight="1" x14ac:dyDescent="0.3">
      <c r="A475" s="25" t="s">
        <v>607</v>
      </c>
      <c r="B475" s="25" t="s">
        <v>864</v>
      </c>
      <c r="C475" s="12" t="s">
        <v>865</v>
      </c>
      <c r="D475" s="86"/>
      <c r="E475" s="67" t="str">
        <f t="shared" si="11"/>
        <v>Еще фото</v>
      </c>
      <c r="F475" s="14"/>
      <c r="G475" s="25" t="s">
        <v>153</v>
      </c>
      <c r="H475" s="25" t="s">
        <v>93</v>
      </c>
      <c r="I475" s="25" t="s">
        <v>154</v>
      </c>
      <c r="J475" s="15" t="s">
        <v>360</v>
      </c>
      <c r="K475" s="16" t="s">
        <v>59</v>
      </c>
      <c r="L475" s="88"/>
      <c r="M475" s="15"/>
      <c r="N475" s="15" t="s">
        <v>866</v>
      </c>
      <c r="O475" s="15"/>
      <c r="P475" s="16" t="s">
        <v>770</v>
      </c>
      <c r="Q475" s="17">
        <v>10499</v>
      </c>
      <c r="R475" s="18">
        <v>30</v>
      </c>
      <c r="S475" s="19">
        <v>8451.6949999999997</v>
      </c>
      <c r="T475" s="20" t="s">
        <v>333</v>
      </c>
      <c r="U475" s="21" t="s">
        <v>797</v>
      </c>
      <c r="V475" s="29">
        <v>33.5</v>
      </c>
      <c r="W475" s="23">
        <v>3</v>
      </c>
      <c r="X475" s="24"/>
    </row>
    <row r="476" spans="1:24" s="1" customFormat="1" ht="11" customHeight="1" x14ac:dyDescent="0.3">
      <c r="A476" s="25" t="s">
        <v>607</v>
      </c>
      <c r="B476" s="25" t="s">
        <v>864</v>
      </c>
      <c r="C476" s="12" t="s">
        <v>865</v>
      </c>
      <c r="D476" s="86"/>
      <c r="E476" s="67" t="str">
        <f t="shared" si="11"/>
        <v>Еще фото</v>
      </c>
      <c r="F476" s="14"/>
      <c r="G476" s="25" t="s">
        <v>153</v>
      </c>
      <c r="H476" s="25" t="s">
        <v>93</v>
      </c>
      <c r="I476" s="25" t="s">
        <v>154</v>
      </c>
      <c r="J476" s="15" t="s">
        <v>360</v>
      </c>
      <c r="K476" s="16" t="s">
        <v>59</v>
      </c>
      <c r="L476" s="88"/>
      <c r="M476" s="15"/>
      <c r="N476" s="15" t="s">
        <v>866</v>
      </c>
      <c r="O476" s="15"/>
      <c r="P476" s="16" t="s">
        <v>770</v>
      </c>
      <c r="Q476" s="17">
        <v>10499</v>
      </c>
      <c r="R476" s="18">
        <v>30</v>
      </c>
      <c r="S476" s="19">
        <v>8451.6949999999997</v>
      </c>
      <c r="T476" s="20" t="s">
        <v>333</v>
      </c>
      <c r="U476" s="21" t="s">
        <v>858</v>
      </c>
      <c r="V476" s="23">
        <v>34</v>
      </c>
      <c r="W476" s="23">
        <v>2</v>
      </c>
      <c r="X476" s="24"/>
    </row>
    <row r="477" spans="1:24" s="1" customFormat="1" ht="11" customHeight="1" x14ac:dyDescent="0.3">
      <c r="A477" s="25" t="s">
        <v>607</v>
      </c>
      <c r="B477" s="25" t="s">
        <v>864</v>
      </c>
      <c r="C477" s="12" t="s">
        <v>865</v>
      </c>
      <c r="D477" s="86"/>
      <c r="E477" s="67" t="str">
        <f t="shared" si="11"/>
        <v>Еще фото</v>
      </c>
      <c r="F477" s="14"/>
      <c r="G477" s="25" t="s">
        <v>153</v>
      </c>
      <c r="H477" s="25" t="s">
        <v>93</v>
      </c>
      <c r="I477" s="25" t="s">
        <v>154</v>
      </c>
      <c r="J477" s="15" t="s">
        <v>360</v>
      </c>
      <c r="K477" s="16" t="s">
        <v>59</v>
      </c>
      <c r="L477" s="88"/>
      <c r="M477" s="15"/>
      <c r="N477" s="15" t="s">
        <v>866</v>
      </c>
      <c r="O477" s="15"/>
      <c r="P477" s="16" t="s">
        <v>770</v>
      </c>
      <c r="Q477" s="17">
        <v>10499</v>
      </c>
      <c r="R477" s="18">
        <v>30</v>
      </c>
      <c r="S477" s="19">
        <v>8451.6949999999997</v>
      </c>
      <c r="T477" s="20" t="s">
        <v>333</v>
      </c>
      <c r="U477" s="21" t="s">
        <v>859</v>
      </c>
      <c r="V477" s="29">
        <v>34.5</v>
      </c>
      <c r="W477" s="23">
        <v>5</v>
      </c>
      <c r="X477" s="24"/>
    </row>
    <row r="478" spans="1:24" s="1" customFormat="1" ht="11" customHeight="1" x14ac:dyDescent="0.3">
      <c r="A478" s="25" t="s">
        <v>607</v>
      </c>
      <c r="B478" s="25" t="s">
        <v>864</v>
      </c>
      <c r="C478" s="12" t="s">
        <v>865</v>
      </c>
      <c r="D478" s="86"/>
      <c r="E478" s="67" t="str">
        <f t="shared" si="11"/>
        <v>Еще фото</v>
      </c>
      <c r="F478" s="14"/>
      <c r="G478" s="25" t="s">
        <v>153</v>
      </c>
      <c r="H478" s="25" t="s">
        <v>93</v>
      </c>
      <c r="I478" s="25" t="s">
        <v>154</v>
      </c>
      <c r="J478" s="15" t="s">
        <v>360</v>
      </c>
      <c r="K478" s="16" t="s">
        <v>59</v>
      </c>
      <c r="L478" s="88"/>
      <c r="M478" s="15"/>
      <c r="N478" s="15" t="s">
        <v>866</v>
      </c>
      <c r="O478" s="15"/>
      <c r="P478" s="16" t="s">
        <v>770</v>
      </c>
      <c r="Q478" s="17">
        <v>10499</v>
      </c>
      <c r="R478" s="18">
        <v>30</v>
      </c>
      <c r="S478" s="19">
        <v>8451.6949999999997</v>
      </c>
      <c r="T478" s="20" t="s">
        <v>333</v>
      </c>
      <c r="U478" s="21" t="s">
        <v>860</v>
      </c>
      <c r="V478" s="29">
        <v>35.5</v>
      </c>
      <c r="W478" s="23">
        <v>4</v>
      </c>
      <c r="X478" s="24"/>
    </row>
    <row r="479" spans="1:24" s="1" customFormat="1" ht="11" customHeight="1" x14ac:dyDescent="0.3">
      <c r="A479" s="25" t="s">
        <v>607</v>
      </c>
      <c r="B479" s="25" t="s">
        <v>864</v>
      </c>
      <c r="C479" s="12" t="s">
        <v>865</v>
      </c>
      <c r="D479" s="86"/>
      <c r="E479" s="67" t="str">
        <f t="shared" si="11"/>
        <v>Еще фото</v>
      </c>
      <c r="F479" s="14"/>
      <c r="G479" s="25" t="s">
        <v>153</v>
      </c>
      <c r="H479" s="25" t="s">
        <v>93</v>
      </c>
      <c r="I479" s="25" t="s">
        <v>154</v>
      </c>
      <c r="J479" s="15" t="s">
        <v>360</v>
      </c>
      <c r="K479" s="16" t="s">
        <v>59</v>
      </c>
      <c r="L479" s="88"/>
      <c r="M479" s="15"/>
      <c r="N479" s="15" t="s">
        <v>866</v>
      </c>
      <c r="O479" s="15"/>
      <c r="P479" s="16" t="s">
        <v>770</v>
      </c>
      <c r="Q479" s="17">
        <v>10499</v>
      </c>
      <c r="R479" s="18">
        <v>30</v>
      </c>
      <c r="S479" s="19">
        <v>8451.6949999999997</v>
      </c>
      <c r="T479" s="20" t="s">
        <v>333</v>
      </c>
      <c r="U479" s="21" t="s">
        <v>801</v>
      </c>
      <c r="V479" s="23">
        <v>33</v>
      </c>
      <c r="W479" s="23">
        <v>5</v>
      </c>
      <c r="X479" s="24"/>
    </row>
    <row r="480" spans="1:24" s="1" customFormat="1" ht="11" customHeight="1" x14ac:dyDescent="0.3">
      <c r="A480" s="25" t="s">
        <v>607</v>
      </c>
      <c r="B480" s="25" t="s">
        <v>864</v>
      </c>
      <c r="C480" s="12" t="s">
        <v>865</v>
      </c>
      <c r="D480" s="86"/>
      <c r="E480" s="67" t="str">
        <f t="shared" si="11"/>
        <v>Еще фото</v>
      </c>
      <c r="F480" s="14"/>
      <c r="G480" s="25" t="s">
        <v>153</v>
      </c>
      <c r="H480" s="25" t="s">
        <v>93</v>
      </c>
      <c r="I480" s="25" t="s">
        <v>154</v>
      </c>
      <c r="J480" s="15" t="s">
        <v>360</v>
      </c>
      <c r="K480" s="16" t="s">
        <v>59</v>
      </c>
      <c r="L480" s="88"/>
      <c r="M480" s="15"/>
      <c r="N480" s="15" t="s">
        <v>866</v>
      </c>
      <c r="O480" s="15"/>
      <c r="P480" s="16" t="s">
        <v>770</v>
      </c>
      <c r="Q480" s="17">
        <v>10499</v>
      </c>
      <c r="R480" s="18">
        <v>30</v>
      </c>
      <c r="S480" s="19">
        <v>8451.6949999999997</v>
      </c>
      <c r="T480" s="20" t="s">
        <v>333</v>
      </c>
      <c r="U480" s="21" t="s">
        <v>354</v>
      </c>
      <c r="V480" s="23">
        <v>36</v>
      </c>
      <c r="W480" s="23">
        <v>9</v>
      </c>
      <c r="X480" s="24"/>
    </row>
    <row r="481" spans="1:24" s="1" customFormat="1" ht="11" customHeight="1" x14ac:dyDescent="0.3">
      <c r="A481" s="25" t="s">
        <v>607</v>
      </c>
      <c r="B481" s="25" t="s">
        <v>864</v>
      </c>
      <c r="C481" s="12" t="s">
        <v>865</v>
      </c>
      <c r="D481" s="86"/>
      <c r="E481" s="67" t="str">
        <f t="shared" si="11"/>
        <v>Еще фото</v>
      </c>
      <c r="F481" s="14"/>
      <c r="G481" s="25" t="s">
        <v>153</v>
      </c>
      <c r="H481" s="25" t="s">
        <v>93</v>
      </c>
      <c r="I481" s="25" t="s">
        <v>154</v>
      </c>
      <c r="J481" s="15" t="s">
        <v>360</v>
      </c>
      <c r="K481" s="16" t="s">
        <v>59</v>
      </c>
      <c r="L481" s="88"/>
      <c r="M481" s="15"/>
      <c r="N481" s="15" t="s">
        <v>866</v>
      </c>
      <c r="O481" s="15"/>
      <c r="P481" s="16" t="s">
        <v>770</v>
      </c>
      <c r="Q481" s="17">
        <v>10499</v>
      </c>
      <c r="R481" s="18">
        <v>30</v>
      </c>
      <c r="S481" s="19">
        <v>8451.6949999999997</v>
      </c>
      <c r="T481" s="20" t="s">
        <v>333</v>
      </c>
      <c r="U481" s="21" t="s">
        <v>348</v>
      </c>
      <c r="V481" s="29">
        <v>36.5</v>
      </c>
      <c r="W481" s="23">
        <v>4</v>
      </c>
      <c r="X481" s="24"/>
    </row>
    <row r="482" spans="1:24" s="1" customFormat="1" ht="11" customHeight="1" x14ac:dyDescent="0.3">
      <c r="A482" s="25" t="s">
        <v>607</v>
      </c>
      <c r="B482" s="25" t="s">
        <v>864</v>
      </c>
      <c r="C482" s="12" t="s">
        <v>865</v>
      </c>
      <c r="D482" s="86"/>
      <c r="E482" s="67" t="str">
        <f t="shared" si="11"/>
        <v>Еще фото</v>
      </c>
      <c r="F482" s="14"/>
      <c r="G482" s="25" t="s">
        <v>153</v>
      </c>
      <c r="H482" s="25" t="s">
        <v>93</v>
      </c>
      <c r="I482" s="25" t="s">
        <v>154</v>
      </c>
      <c r="J482" s="15" t="s">
        <v>360</v>
      </c>
      <c r="K482" s="16" t="s">
        <v>59</v>
      </c>
      <c r="L482" s="88"/>
      <c r="M482" s="15"/>
      <c r="N482" s="15" t="s">
        <v>866</v>
      </c>
      <c r="O482" s="15"/>
      <c r="P482" s="16" t="s">
        <v>770</v>
      </c>
      <c r="Q482" s="17">
        <v>10499</v>
      </c>
      <c r="R482" s="18">
        <v>30</v>
      </c>
      <c r="S482" s="19">
        <v>8451.6949999999997</v>
      </c>
      <c r="T482" s="20" t="s">
        <v>333</v>
      </c>
      <c r="U482" s="21" t="s">
        <v>334</v>
      </c>
      <c r="V482" s="23">
        <v>38</v>
      </c>
      <c r="W482" s="23">
        <v>3</v>
      </c>
      <c r="X482" s="24"/>
    </row>
    <row r="483" spans="1:24" s="1" customFormat="1" ht="11" customHeight="1" x14ac:dyDescent="0.3">
      <c r="A483" s="15" t="s">
        <v>607</v>
      </c>
      <c r="B483" s="15" t="s">
        <v>864</v>
      </c>
      <c r="C483" s="12" t="s">
        <v>865</v>
      </c>
      <c r="D483" s="86"/>
      <c r="E483" s="67" t="str">
        <f t="shared" si="11"/>
        <v>Еще фото</v>
      </c>
      <c r="F483" s="56"/>
      <c r="G483" s="15" t="s">
        <v>153</v>
      </c>
      <c r="H483" s="15" t="s">
        <v>93</v>
      </c>
      <c r="I483" s="15" t="s">
        <v>154</v>
      </c>
      <c r="J483" s="15" t="s">
        <v>360</v>
      </c>
      <c r="K483" s="15" t="s">
        <v>59</v>
      </c>
      <c r="L483" s="88"/>
      <c r="M483" s="15"/>
      <c r="N483" s="15" t="s">
        <v>866</v>
      </c>
      <c r="O483" s="15"/>
      <c r="P483" s="15" t="s">
        <v>770</v>
      </c>
      <c r="Q483" s="57">
        <v>10499</v>
      </c>
      <c r="R483" s="58">
        <v>30</v>
      </c>
      <c r="S483" s="59">
        <v>8451.6949999999997</v>
      </c>
      <c r="T483" s="20" t="s">
        <v>333</v>
      </c>
      <c r="U483" s="21" t="s">
        <v>335</v>
      </c>
      <c r="V483" s="29">
        <v>38.5</v>
      </c>
      <c r="W483" s="23">
        <v>5</v>
      </c>
      <c r="X483" s="24"/>
    </row>
    <row r="484" spans="1:24" s="1" customFormat="1" ht="11" customHeight="1" x14ac:dyDescent="0.3">
      <c r="A484" s="15" t="s">
        <v>607</v>
      </c>
      <c r="B484" s="15" t="s">
        <v>864</v>
      </c>
      <c r="C484" s="12" t="s">
        <v>865</v>
      </c>
      <c r="D484" s="86"/>
      <c r="E484" s="67" t="str">
        <f t="shared" si="11"/>
        <v>Еще фото</v>
      </c>
      <c r="F484" s="56"/>
      <c r="G484" s="15" t="s">
        <v>153</v>
      </c>
      <c r="H484" s="15" t="s">
        <v>93</v>
      </c>
      <c r="I484" s="15" t="s">
        <v>154</v>
      </c>
      <c r="J484" s="15" t="s">
        <v>360</v>
      </c>
      <c r="K484" s="15" t="s">
        <v>59</v>
      </c>
      <c r="L484" s="88"/>
      <c r="M484" s="15"/>
      <c r="N484" s="15" t="s">
        <v>866</v>
      </c>
      <c r="O484" s="15"/>
      <c r="P484" s="15" t="s">
        <v>770</v>
      </c>
      <c r="Q484" s="57">
        <v>10499</v>
      </c>
      <c r="R484" s="58">
        <v>30</v>
      </c>
      <c r="S484" s="59">
        <v>8451.6949999999997</v>
      </c>
      <c r="T484" s="20" t="s">
        <v>333</v>
      </c>
      <c r="U484" s="21" t="s">
        <v>807</v>
      </c>
      <c r="V484" s="29">
        <v>31.5</v>
      </c>
      <c r="W484" s="23">
        <v>4</v>
      </c>
      <c r="X484" s="24"/>
    </row>
    <row r="485" spans="1:24" s="1" customFormat="1" ht="11" customHeight="1" x14ac:dyDescent="0.3">
      <c r="A485" s="15" t="s">
        <v>607</v>
      </c>
      <c r="B485" s="15" t="s">
        <v>864</v>
      </c>
      <c r="C485" s="12" t="s">
        <v>865</v>
      </c>
      <c r="D485" s="87"/>
      <c r="E485" s="67" t="str">
        <f t="shared" si="11"/>
        <v>Еще фото</v>
      </c>
      <c r="F485" s="56"/>
      <c r="G485" s="15" t="s">
        <v>153</v>
      </c>
      <c r="H485" s="15" t="s">
        <v>93</v>
      </c>
      <c r="I485" s="15" t="s">
        <v>154</v>
      </c>
      <c r="J485" s="15" t="s">
        <v>360</v>
      </c>
      <c r="K485" s="15" t="s">
        <v>59</v>
      </c>
      <c r="L485" s="84"/>
      <c r="M485" s="15"/>
      <c r="N485" s="15" t="s">
        <v>866</v>
      </c>
      <c r="O485" s="15"/>
      <c r="P485" s="15" t="s">
        <v>770</v>
      </c>
      <c r="Q485" s="57">
        <v>10499</v>
      </c>
      <c r="R485" s="58">
        <v>30</v>
      </c>
      <c r="S485" s="59">
        <v>8451.6949999999997</v>
      </c>
      <c r="T485" s="20" t="s">
        <v>333</v>
      </c>
      <c r="U485" s="21" t="s">
        <v>355</v>
      </c>
      <c r="V485" s="29">
        <v>39.5</v>
      </c>
      <c r="W485" s="23">
        <v>6</v>
      </c>
      <c r="X485" s="24"/>
    </row>
    <row r="486" spans="1:24" s="1" customFormat="1" ht="35" customHeight="1" x14ac:dyDescent="0.3">
      <c r="A486" s="11" t="s">
        <v>607</v>
      </c>
      <c r="B486" s="11" t="s">
        <v>867</v>
      </c>
      <c r="C486" s="12" t="s">
        <v>868</v>
      </c>
      <c r="D486" s="85"/>
      <c r="E486" s="67" t="str">
        <f>HYPERLINK("https://www.google.ru/search?q=275303-BBFC&amp;newwindow=1&amp;tbm=isch","Еще фото")</f>
        <v>Еще фото</v>
      </c>
      <c r="F486" s="55" t="s">
        <v>688</v>
      </c>
      <c r="G486" s="11" t="s">
        <v>153</v>
      </c>
      <c r="H486" s="11" t="s">
        <v>93</v>
      </c>
      <c r="I486" s="15" t="s">
        <v>154</v>
      </c>
      <c r="J486" s="15" t="s">
        <v>360</v>
      </c>
      <c r="K486" s="16" t="s">
        <v>59</v>
      </c>
      <c r="L486" s="83" t="s">
        <v>869</v>
      </c>
      <c r="M486" s="15"/>
      <c r="N486" s="15" t="s">
        <v>31</v>
      </c>
      <c r="O486" s="15"/>
      <c r="P486" s="16" t="s">
        <v>870</v>
      </c>
      <c r="Q486" s="17">
        <v>9999</v>
      </c>
      <c r="R486" s="18">
        <v>30</v>
      </c>
      <c r="S486" s="19">
        <v>8049.1949999999997</v>
      </c>
      <c r="T486" s="20" t="s">
        <v>333</v>
      </c>
      <c r="U486" s="21" t="s">
        <v>796</v>
      </c>
      <c r="V486" s="29">
        <v>32.5</v>
      </c>
      <c r="W486" s="23">
        <v>2</v>
      </c>
      <c r="X486" s="24"/>
    </row>
    <row r="487" spans="1:24" s="1" customFormat="1" ht="35" customHeight="1" x14ac:dyDescent="0.3">
      <c r="A487" s="25" t="s">
        <v>607</v>
      </c>
      <c r="B487" s="25" t="s">
        <v>867</v>
      </c>
      <c r="C487" s="12" t="s">
        <v>868</v>
      </c>
      <c r="D487" s="86"/>
      <c r="E487" s="67" t="str">
        <f>HYPERLINK("https://www.google.ru/search?q=275303-BBFC&amp;newwindow=1&amp;tbm=isch","Еще фото")</f>
        <v>Еще фото</v>
      </c>
      <c r="F487" s="55" t="s">
        <v>688</v>
      </c>
      <c r="G487" s="25" t="s">
        <v>153</v>
      </c>
      <c r="H487" s="25" t="s">
        <v>93</v>
      </c>
      <c r="I487" s="25" t="s">
        <v>154</v>
      </c>
      <c r="J487" s="15" t="s">
        <v>360</v>
      </c>
      <c r="K487" s="16" t="s">
        <v>59</v>
      </c>
      <c r="L487" s="88"/>
      <c r="M487" s="15"/>
      <c r="N487" s="15" t="s">
        <v>31</v>
      </c>
      <c r="O487" s="15"/>
      <c r="P487" s="16" t="s">
        <v>870</v>
      </c>
      <c r="Q487" s="17">
        <v>9999</v>
      </c>
      <c r="R487" s="18">
        <v>30</v>
      </c>
      <c r="S487" s="19">
        <v>8049.1949999999997</v>
      </c>
      <c r="T487" s="20" t="s">
        <v>333</v>
      </c>
      <c r="U487" s="21" t="s">
        <v>797</v>
      </c>
      <c r="V487" s="29">
        <v>33.5</v>
      </c>
      <c r="W487" s="23">
        <v>5</v>
      </c>
      <c r="X487" s="24"/>
    </row>
    <row r="488" spans="1:24" s="1" customFormat="1" ht="37.049999999999997" customHeight="1" x14ac:dyDescent="0.3">
      <c r="A488" s="25" t="s">
        <v>607</v>
      </c>
      <c r="B488" s="25" t="s">
        <v>867</v>
      </c>
      <c r="C488" s="12" t="s">
        <v>868</v>
      </c>
      <c r="D488" s="87"/>
      <c r="E488" s="67" t="str">
        <f>HYPERLINK("https://www.google.ru/search?q=275303-BBFC&amp;newwindow=1&amp;tbm=isch","Еще фото")</f>
        <v>Еще фото</v>
      </c>
      <c r="F488" s="55" t="s">
        <v>688</v>
      </c>
      <c r="G488" s="25" t="s">
        <v>153</v>
      </c>
      <c r="H488" s="25" t="s">
        <v>93</v>
      </c>
      <c r="I488" s="25" t="s">
        <v>154</v>
      </c>
      <c r="J488" s="15" t="s">
        <v>360</v>
      </c>
      <c r="K488" s="16" t="s">
        <v>59</v>
      </c>
      <c r="L488" s="84"/>
      <c r="M488" s="15"/>
      <c r="N488" s="15" t="s">
        <v>31</v>
      </c>
      <c r="O488" s="15"/>
      <c r="P488" s="16" t="s">
        <v>870</v>
      </c>
      <c r="Q488" s="17">
        <v>9999</v>
      </c>
      <c r="R488" s="18">
        <v>30</v>
      </c>
      <c r="S488" s="19">
        <v>8049.1949999999997</v>
      </c>
      <c r="T488" s="20" t="s">
        <v>333</v>
      </c>
      <c r="U488" s="21" t="s">
        <v>859</v>
      </c>
      <c r="V488" s="29">
        <v>34.5</v>
      </c>
      <c r="W488" s="23">
        <v>20</v>
      </c>
      <c r="X488" s="24"/>
    </row>
    <row r="489" spans="1:24" s="1" customFormat="1" ht="11" customHeight="1" x14ac:dyDescent="0.3">
      <c r="A489" s="11" t="s">
        <v>607</v>
      </c>
      <c r="B489" s="11" t="s">
        <v>871</v>
      </c>
      <c r="C489" s="12" t="s">
        <v>872</v>
      </c>
      <c r="D489" s="85"/>
      <c r="E489" s="67" t="str">
        <f t="shared" ref="E489:E497" si="12">HYPERLINK("https://www.google.ru/search?q=275325-WHBK&amp;newwindow=1&amp;tbm=isch","Еще фото")</f>
        <v>Еще фото</v>
      </c>
      <c r="F489" s="14"/>
      <c r="G489" s="11" t="s">
        <v>153</v>
      </c>
      <c r="H489" s="11" t="s">
        <v>93</v>
      </c>
      <c r="I489" s="15" t="s">
        <v>154</v>
      </c>
      <c r="J489" s="15" t="s">
        <v>360</v>
      </c>
      <c r="K489" s="16" t="s">
        <v>59</v>
      </c>
      <c r="L489" s="83" t="s">
        <v>873</v>
      </c>
      <c r="M489" s="15"/>
      <c r="N489" s="15" t="s">
        <v>173</v>
      </c>
      <c r="O489" s="15"/>
      <c r="P489" s="16" t="s">
        <v>401</v>
      </c>
      <c r="Q489" s="17">
        <v>8699</v>
      </c>
      <c r="R489" s="18">
        <v>30</v>
      </c>
      <c r="S489" s="19">
        <v>7002.6949999999997</v>
      </c>
      <c r="T489" s="20" t="s">
        <v>333</v>
      </c>
      <c r="U489" s="21" t="s">
        <v>858</v>
      </c>
      <c r="V489" s="23">
        <v>34</v>
      </c>
      <c r="W489" s="23">
        <v>1</v>
      </c>
      <c r="X489" s="24"/>
    </row>
    <row r="490" spans="1:24" s="1" customFormat="1" ht="11" customHeight="1" x14ac:dyDescent="0.3">
      <c r="A490" s="25" t="s">
        <v>607</v>
      </c>
      <c r="B490" s="25" t="s">
        <v>871</v>
      </c>
      <c r="C490" s="12" t="s">
        <v>872</v>
      </c>
      <c r="D490" s="86"/>
      <c r="E490" s="67" t="str">
        <f t="shared" si="12"/>
        <v>Еще фото</v>
      </c>
      <c r="F490" s="14"/>
      <c r="G490" s="25" t="s">
        <v>153</v>
      </c>
      <c r="H490" s="25" t="s">
        <v>93</v>
      </c>
      <c r="I490" s="25" t="s">
        <v>154</v>
      </c>
      <c r="J490" s="15" t="s">
        <v>360</v>
      </c>
      <c r="K490" s="16" t="s">
        <v>59</v>
      </c>
      <c r="L490" s="88"/>
      <c r="M490" s="15"/>
      <c r="N490" s="15" t="s">
        <v>173</v>
      </c>
      <c r="O490" s="15"/>
      <c r="P490" s="16" t="s">
        <v>401</v>
      </c>
      <c r="Q490" s="17">
        <v>8699</v>
      </c>
      <c r="R490" s="18">
        <v>30</v>
      </c>
      <c r="S490" s="19">
        <v>7002.6949999999997</v>
      </c>
      <c r="T490" s="20" t="s">
        <v>333</v>
      </c>
      <c r="U490" s="21" t="s">
        <v>801</v>
      </c>
      <c r="V490" s="23">
        <v>33</v>
      </c>
      <c r="W490" s="23">
        <v>1</v>
      </c>
      <c r="X490" s="24"/>
    </row>
    <row r="491" spans="1:24" s="1" customFormat="1" ht="11" customHeight="1" x14ac:dyDescent="0.3">
      <c r="A491" s="25" t="s">
        <v>607</v>
      </c>
      <c r="B491" s="25" t="s">
        <v>871</v>
      </c>
      <c r="C491" s="12" t="s">
        <v>872</v>
      </c>
      <c r="D491" s="86"/>
      <c r="E491" s="67" t="str">
        <f t="shared" si="12"/>
        <v>Еще фото</v>
      </c>
      <c r="F491" s="14"/>
      <c r="G491" s="25" t="s">
        <v>153</v>
      </c>
      <c r="H491" s="25" t="s">
        <v>93</v>
      </c>
      <c r="I491" s="25" t="s">
        <v>154</v>
      </c>
      <c r="J491" s="15" t="s">
        <v>360</v>
      </c>
      <c r="K491" s="16" t="s">
        <v>59</v>
      </c>
      <c r="L491" s="88"/>
      <c r="M491" s="15"/>
      <c r="N491" s="15" t="s">
        <v>173</v>
      </c>
      <c r="O491" s="15"/>
      <c r="P491" s="16" t="s">
        <v>401</v>
      </c>
      <c r="Q491" s="17">
        <v>8699</v>
      </c>
      <c r="R491" s="18">
        <v>30</v>
      </c>
      <c r="S491" s="19">
        <v>7002.6949999999997</v>
      </c>
      <c r="T491" s="20" t="s">
        <v>333</v>
      </c>
      <c r="U491" s="21" t="s">
        <v>354</v>
      </c>
      <c r="V491" s="23">
        <v>36</v>
      </c>
      <c r="W491" s="23">
        <v>5</v>
      </c>
      <c r="X491" s="24"/>
    </row>
    <row r="492" spans="1:24" s="1" customFormat="1" ht="11" customHeight="1" x14ac:dyDescent="0.3">
      <c r="A492" s="25" t="s">
        <v>607</v>
      </c>
      <c r="B492" s="25" t="s">
        <v>871</v>
      </c>
      <c r="C492" s="12" t="s">
        <v>872</v>
      </c>
      <c r="D492" s="86"/>
      <c r="E492" s="67" t="str">
        <f t="shared" si="12"/>
        <v>Еще фото</v>
      </c>
      <c r="F492" s="14"/>
      <c r="G492" s="25" t="s">
        <v>153</v>
      </c>
      <c r="H492" s="25" t="s">
        <v>93</v>
      </c>
      <c r="I492" s="25" t="s">
        <v>154</v>
      </c>
      <c r="J492" s="15" t="s">
        <v>360</v>
      </c>
      <c r="K492" s="16" t="s">
        <v>59</v>
      </c>
      <c r="L492" s="88"/>
      <c r="M492" s="15"/>
      <c r="N492" s="15" t="s">
        <v>173</v>
      </c>
      <c r="O492" s="15"/>
      <c r="P492" s="16" t="s">
        <v>401</v>
      </c>
      <c r="Q492" s="17">
        <v>8699</v>
      </c>
      <c r="R492" s="18">
        <v>30</v>
      </c>
      <c r="S492" s="19">
        <v>7002.6949999999997</v>
      </c>
      <c r="T492" s="20" t="s">
        <v>333</v>
      </c>
      <c r="U492" s="21" t="s">
        <v>348</v>
      </c>
      <c r="V492" s="29">
        <v>36.5</v>
      </c>
      <c r="W492" s="23">
        <v>7</v>
      </c>
      <c r="X492" s="24"/>
    </row>
    <row r="493" spans="1:24" s="1" customFormat="1" ht="11" customHeight="1" x14ac:dyDescent="0.3">
      <c r="A493" s="25" t="s">
        <v>607</v>
      </c>
      <c r="B493" s="25" t="s">
        <v>871</v>
      </c>
      <c r="C493" s="12" t="s">
        <v>872</v>
      </c>
      <c r="D493" s="86"/>
      <c r="E493" s="67" t="str">
        <f t="shared" si="12"/>
        <v>Еще фото</v>
      </c>
      <c r="F493" s="14"/>
      <c r="G493" s="25" t="s">
        <v>153</v>
      </c>
      <c r="H493" s="25" t="s">
        <v>93</v>
      </c>
      <c r="I493" s="25" t="s">
        <v>154</v>
      </c>
      <c r="J493" s="15" t="s">
        <v>360</v>
      </c>
      <c r="K493" s="16" t="s">
        <v>59</v>
      </c>
      <c r="L493" s="88"/>
      <c r="M493" s="15"/>
      <c r="N493" s="15" t="s">
        <v>173</v>
      </c>
      <c r="O493" s="15"/>
      <c r="P493" s="16" t="s">
        <v>401</v>
      </c>
      <c r="Q493" s="17">
        <v>8699</v>
      </c>
      <c r="R493" s="18">
        <v>30</v>
      </c>
      <c r="S493" s="19">
        <v>7002.6949999999997</v>
      </c>
      <c r="T493" s="20" t="s">
        <v>333</v>
      </c>
      <c r="U493" s="21" t="s">
        <v>349</v>
      </c>
      <c r="V493" s="29">
        <v>37.5</v>
      </c>
      <c r="W493" s="23">
        <v>5</v>
      </c>
      <c r="X493" s="24"/>
    </row>
    <row r="494" spans="1:24" s="1" customFormat="1" ht="11" customHeight="1" x14ac:dyDescent="0.3">
      <c r="A494" s="25" t="s">
        <v>607</v>
      </c>
      <c r="B494" s="25" t="s">
        <v>871</v>
      </c>
      <c r="C494" s="12" t="s">
        <v>872</v>
      </c>
      <c r="D494" s="86"/>
      <c r="E494" s="67" t="str">
        <f t="shared" si="12"/>
        <v>Еще фото</v>
      </c>
      <c r="F494" s="14"/>
      <c r="G494" s="25" t="s">
        <v>153</v>
      </c>
      <c r="H494" s="25" t="s">
        <v>93</v>
      </c>
      <c r="I494" s="25" t="s">
        <v>154</v>
      </c>
      <c r="J494" s="15" t="s">
        <v>360</v>
      </c>
      <c r="K494" s="16" t="s">
        <v>59</v>
      </c>
      <c r="L494" s="88"/>
      <c r="M494" s="15"/>
      <c r="N494" s="15" t="s">
        <v>173</v>
      </c>
      <c r="O494" s="15"/>
      <c r="P494" s="16" t="s">
        <v>401</v>
      </c>
      <c r="Q494" s="17">
        <v>8699</v>
      </c>
      <c r="R494" s="18">
        <v>30</v>
      </c>
      <c r="S494" s="19">
        <v>7002.6949999999997</v>
      </c>
      <c r="T494" s="20" t="s">
        <v>333</v>
      </c>
      <c r="U494" s="21" t="s">
        <v>334</v>
      </c>
      <c r="V494" s="23">
        <v>38</v>
      </c>
      <c r="W494" s="23">
        <v>5</v>
      </c>
      <c r="X494" s="24"/>
    </row>
    <row r="495" spans="1:24" s="1" customFormat="1" ht="11" customHeight="1" x14ac:dyDescent="0.3">
      <c r="A495" s="25" t="s">
        <v>607</v>
      </c>
      <c r="B495" s="25" t="s">
        <v>871</v>
      </c>
      <c r="C495" s="12" t="s">
        <v>872</v>
      </c>
      <c r="D495" s="86"/>
      <c r="E495" s="67" t="str">
        <f t="shared" si="12"/>
        <v>Еще фото</v>
      </c>
      <c r="F495" s="14"/>
      <c r="G495" s="25" t="s">
        <v>153</v>
      </c>
      <c r="H495" s="25" t="s">
        <v>93</v>
      </c>
      <c r="I495" s="25" t="s">
        <v>154</v>
      </c>
      <c r="J495" s="15" t="s">
        <v>360</v>
      </c>
      <c r="K495" s="16" t="s">
        <v>59</v>
      </c>
      <c r="L495" s="88"/>
      <c r="M495" s="15"/>
      <c r="N495" s="15" t="s">
        <v>173</v>
      </c>
      <c r="O495" s="15"/>
      <c r="P495" s="16" t="s">
        <v>401</v>
      </c>
      <c r="Q495" s="17">
        <v>8699</v>
      </c>
      <c r="R495" s="18">
        <v>30</v>
      </c>
      <c r="S495" s="19">
        <v>7002.6949999999997</v>
      </c>
      <c r="T495" s="20" t="s">
        <v>333</v>
      </c>
      <c r="U495" s="21" t="s">
        <v>807</v>
      </c>
      <c r="V495" s="29">
        <v>31.5</v>
      </c>
      <c r="W495" s="23">
        <v>1</v>
      </c>
      <c r="X495" s="24"/>
    </row>
    <row r="496" spans="1:24" s="1" customFormat="1" ht="11" customHeight="1" x14ac:dyDescent="0.3">
      <c r="A496" s="25" t="s">
        <v>607</v>
      </c>
      <c r="B496" s="25" t="s">
        <v>871</v>
      </c>
      <c r="C496" s="12" t="s">
        <v>872</v>
      </c>
      <c r="D496" s="86"/>
      <c r="E496" s="67" t="str">
        <f t="shared" si="12"/>
        <v>Еще фото</v>
      </c>
      <c r="F496" s="14"/>
      <c r="G496" s="25" t="s">
        <v>153</v>
      </c>
      <c r="H496" s="25" t="s">
        <v>93</v>
      </c>
      <c r="I496" s="25" t="s">
        <v>154</v>
      </c>
      <c r="J496" s="15" t="s">
        <v>360</v>
      </c>
      <c r="K496" s="16" t="s">
        <v>59</v>
      </c>
      <c r="L496" s="88"/>
      <c r="M496" s="15"/>
      <c r="N496" s="15" t="s">
        <v>173</v>
      </c>
      <c r="O496" s="15"/>
      <c r="P496" s="16" t="s">
        <v>401</v>
      </c>
      <c r="Q496" s="17">
        <v>8699</v>
      </c>
      <c r="R496" s="18">
        <v>30</v>
      </c>
      <c r="S496" s="19">
        <v>7002.6949999999997</v>
      </c>
      <c r="T496" s="20" t="s">
        <v>333</v>
      </c>
      <c r="U496" s="21" t="s">
        <v>874</v>
      </c>
      <c r="V496" s="29">
        <v>31.5</v>
      </c>
      <c r="W496" s="23">
        <v>3</v>
      </c>
      <c r="X496" s="24"/>
    </row>
    <row r="497" spans="1:24" s="1" customFormat="1" ht="11" customHeight="1" x14ac:dyDescent="0.3">
      <c r="A497" s="25" t="s">
        <v>607</v>
      </c>
      <c r="B497" s="25" t="s">
        <v>871</v>
      </c>
      <c r="C497" s="12" t="s">
        <v>872</v>
      </c>
      <c r="D497" s="87"/>
      <c r="E497" s="67" t="str">
        <f t="shared" si="12"/>
        <v>Еще фото</v>
      </c>
      <c r="F497" s="14"/>
      <c r="G497" s="25" t="s">
        <v>153</v>
      </c>
      <c r="H497" s="25" t="s">
        <v>93</v>
      </c>
      <c r="I497" s="25" t="s">
        <v>154</v>
      </c>
      <c r="J497" s="15" t="s">
        <v>360</v>
      </c>
      <c r="K497" s="16" t="s">
        <v>59</v>
      </c>
      <c r="L497" s="84"/>
      <c r="M497" s="15"/>
      <c r="N497" s="15" t="s">
        <v>173</v>
      </c>
      <c r="O497" s="15"/>
      <c r="P497" s="16" t="s">
        <v>401</v>
      </c>
      <c r="Q497" s="17">
        <v>8699</v>
      </c>
      <c r="R497" s="18">
        <v>30</v>
      </c>
      <c r="S497" s="19">
        <v>7002.6949999999997</v>
      </c>
      <c r="T497" s="20" t="s">
        <v>333</v>
      </c>
      <c r="U497" s="21" t="s">
        <v>355</v>
      </c>
      <c r="V497" s="29">
        <v>39.5</v>
      </c>
      <c r="W497" s="23">
        <v>2</v>
      </c>
      <c r="X497" s="24"/>
    </row>
    <row r="498" spans="1:24" s="1" customFormat="1" ht="11" customHeight="1" x14ac:dyDescent="0.3">
      <c r="A498" s="11" t="s">
        <v>607</v>
      </c>
      <c r="B498" s="11" t="s">
        <v>875</v>
      </c>
      <c r="C498" s="12" t="s">
        <v>876</v>
      </c>
      <c r="D498" s="85"/>
      <c r="E498" s="67" t="str">
        <f t="shared" ref="E498:E511" si="13">HYPERLINK("https://www.google.ru/search?q=275326-BBTE&amp;newwindow=1&amp;tbm=isch","Еще фото")</f>
        <v>Еще фото</v>
      </c>
      <c r="F498" s="14"/>
      <c r="G498" s="11" t="s">
        <v>153</v>
      </c>
      <c r="H498" s="11" t="s">
        <v>93</v>
      </c>
      <c r="I498" s="15" t="s">
        <v>154</v>
      </c>
      <c r="J498" s="15" t="s">
        <v>360</v>
      </c>
      <c r="K498" s="16" t="s">
        <v>59</v>
      </c>
      <c r="L498" s="83" t="s">
        <v>873</v>
      </c>
      <c r="M498" s="15"/>
      <c r="N498" s="15" t="s">
        <v>38</v>
      </c>
      <c r="O498" s="15"/>
      <c r="P498" s="16" t="s">
        <v>770</v>
      </c>
      <c r="Q498" s="17">
        <v>8799</v>
      </c>
      <c r="R498" s="18">
        <v>30</v>
      </c>
      <c r="S498" s="19">
        <v>7083.1949999999997</v>
      </c>
      <c r="T498" s="20" t="s">
        <v>333</v>
      </c>
      <c r="U498" s="21" t="s">
        <v>796</v>
      </c>
      <c r="V498" s="29">
        <v>32.5</v>
      </c>
      <c r="W498" s="23">
        <v>4</v>
      </c>
      <c r="X498" s="24"/>
    </row>
    <row r="499" spans="1:24" s="1" customFormat="1" ht="11" customHeight="1" x14ac:dyDescent="0.3">
      <c r="A499" s="25" t="s">
        <v>607</v>
      </c>
      <c r="B499" s="25" t="s">
        <v>875</v>
      </c>
      <c r="C499" s="12" t="s">
        <v>876</v>
      </c>
      <c r="D499" s="86"/>
      <c r="E499" s="67" t="str">
        <f t="shared" si="13"/>
        <v>Еще фото</v>
      </c>
      <c r="F499" s="14"/>
      <c r="G499" s="25" t="s">
        <v>153</v>
      </c>
      <c r="H499" s="25" t="s">
        <v>93</v>
      </c>
      <c r="I499" s="25" t="s">
        <v>154</v>
      </c>
      <c r="J499" s="15" t="s">
        <v>360</v>
      </c>
      <c r="K499" s="16" t="s">
        <v>59</v>
      </c>
      <c r="L499" s="88"/>
      <c r="M499" s="15"/>
      <c r="N499" s="15" t="s">
        <v>38</v>
      </c>
      <c r="O499" s="15"/>
      <c r="P499" s="16" t="s">
        <v>770</v>
      </c>
      <c r="Q499" s="17">
        <v>8799</v>
      </c>
      <c r="R499" s="18">
        <v>30</v>
      </c>
      <c r="S499" s="19">
        <v>7083.1949999999997</v>
      </c>
      <c r="T499" s="20" t="s">
        <v>333</v>
      </c>
      <c r="U499" s="21" t="s">
        <v>797</v>
      </c>
      <c r="V499" s="29">
        <v>33.5</v>
      </c>
      <c r="W499" s="23">
        <v>9</v>
      </c>
      <c r="X499" s="24"/>
    </row>
    <row r="500" spans="1:24" s="1" customFormat="1" ht="11" customHeight="1" x14ac:dyDescent="0.3">
      <c r="A500" s="25" t="s">
        <v>607</v>
      </c>
      <c r="B500" s="25" t="s">
        <v>875</v>
      </c>
      <c r="C500" s="12" t="s">
        <v>876</v>
      </c>
      <c r="D500" s="86"/>
      <c r="E500" s="67" t="str">
        <f t="shared" si="13"/>
        <v>Еще фото</v>
      </c>
      <c r="F500" s="14"/>
      <c r="G500" s="25" t="s">
        <v>153</v>
      </c>
      <c r="H500" s="25" t="s">
        <v>93</v>
      </c>
      <c r="I500" s="25" t="s">
        <v>154</v>
      </c>
      <c r="J500" s="15" t="s">
        <v>360</v>
      </c>
      <c r="K500" s="16" t="s">
        <v>59</v>
      </c>
      <c r="L500" s="88"/>
      <c r="M500" s="15"/>
      <c r="N500" s="15" t="s">
        <v>38</v>
      </c>
      <c r="O500" s="15"/>
      <c r="P500" s="16" t="s">
        <v>770</v>
      </c>
      <c r="Q500" s="17">
        <v>8799</v>
      </c>
      <c r="R500" s="18">
        <v>30</v>
      </c>
      <c r="S500" s="19">
        <v>7083.1949999999997</v>
      </c>
      <c r="T500" s="20" t="s">
        <v>333</v>
      </c>
      <c r="U500" s="21" t="s">
        <v>858</v>
      </c>
      <c r="V500" s="23">
        <v>34</v>
      </c>
      <c r="W500" s="23">
        <v>2</v>
      </c>
      <c r="X500" s="24"/>
    </row>
    <row r="501" spans="1:24" s="1" customFormat="1" ht="11" customHeight="1" x14ac:dyDescent="0.3">
      <c r="A501" s="25" t="s">
        <v>607</v>
      </c>
      <c r="B501" s="25" t="s">
        <v>875</v>
      </c>
      <c r="C501" s="12" t="s">
        <v>876</v>
      </c>
      <c r="D501" s="86"/>
      <c r="E501" s="67" t="str">
        <f t="shared" si="13"/>
        <v>Еще фото</v>
      </c>
      <c r="F501" s="14"/>
      <c r="G501" s="25" t="s">
        <v>153</v>
      </c>
      <c r="H501" s="25" t="s">
        <v>93</v>
      </c>
      <c r="I501" s="25" t="s">
        <v>154</v>
      </c>
      <c r="J501" s="15" t="s">
        <v>360</v>
      </c>
      <c r="K501" s="16" t="s">
        <v>59</v>
      </c>
      <c r="L501" s="88"/>
      <c r="M501" s="15"/>
      <c r="N501" s="15" t="s">
        <v>38</v>
      </c>
      <c r="O501" s="15"/>
      <c r="P501" s="16" t="s">
        <v>770</v>
      </c>
      <c r="Q501" s="17">
        <v>8799</v>
      </c>
      <c r="R501" s="18">
        <v>30</v>
      </c>
      <c r="S501" s="19">
        <v>7083.1949999999997</v>
      </c>
      <c r="T501" s="20" t="s">
        <v>333</v>
      </c>
      <c r="U501" s="21" t="s">
        <v>859</v>
      </c>
      <c r="V501" s="29">
        <v>34.5</v>
      </c>
      <c r="W501" s="23">
        <v>5</v>
      </c>
      <c r="X501" s="24"/>
    </row>
    <row r="502" spans="1:24" s="1" customFormat="1" ht="11" customHeight="1" x14ac:dyDescent="0.3">
      <c r="A502" s="25" t="s">
        <v>607</v>
      </c>
      <c r="B502" s="25" t="s">
        <v>875</v>
      </c>
      <c r="C502" s="12" t="s">
        <v>876</v>
      </c>
      <c r="D502" s="86"/>
      <c r="E502" s="67" t="str">
        <f t="shared" si="13"/>
        <v>Еще фото</v>
      </c>
      <c r="F502" s="14"/>
      <c r="G502" s="25" t="s">
        <v>153</v>
      </c>
      <c r="H502" s="25" t="s">
        <v>93</v>
      </c>
      <c r="I502" s="25" t="s">
        <v>154</v>
      </c>
      <c r="J502" s="15" t="s">
        <v>360</v>
      </c>
      <c r="K502" s="16" t="s">
        <v>59</v>
      </c>
      <c r="L502" s="88"/>
      <c r="M502" s="15"/>
      <c r="N502" s="15" t="s">
        <v>38</v>
      </c>
      <c r="O502" s="15"/>
      <c r="P502" s="16" t="s">
        <v>770</v>
      </c>
      <c r="Q502" s="17">
        <v>8799</v>
      </c>
      <c r="R502" s="18">
        <v>30</v>
      </c>
      <c r="S502" s="19">
        <v>7083.1949999999997</v>
      </c>
      <c r="T502" s="20" t="s">
        <v>333</v>
      </c>
      <c r="U502" s="21" t="s">
        <v>860</v>
      </c>
      <c r="V502" s="29">
        <v>35.5</v>
      </c>
      <c r="W502" s="23">
        <v>4</v>
      </c>
      <c r="X502" s="24"/>
    </row>
    <row r="503" spans="1:24" s="1" customFormat="1" ht="11" customHeight="1" x14ac:dyDescent="0.3">
      <c r="A503" s="25" t="s">
        <v>607</v>
      </c>
      <c r="B503" s="25" t="s">
        <v>875</v>
      </c>
      <c r="C503" s="12" t="s">
        <v>876</v>
      </c>
      <c r="D503" s="86"/>
      <c r="E503" s="67" t="str">
        <f t="shared" si="13"/>
        <v>Еще фото</v>
      </c>
      <c r="F503" s="14"/>
      <c r="G503" s="25" t="s">
        <v>153</v>
      </c>
      <c r="H503" s="25" t="s">
        <v>93</v>
      </c>
      <c r="I503" s="25" t="s">
        <v>154</v>
      </c>
      <c r="J503" s="15" t="s">
        <v>360</v>
      </c>
      <c r="K503" s="16" t="s">
        <v>59</v>
      </c>
      <c r="L503" s="88"/>
      <c r="M503" s="15"/>
      <c r="N503" s="15" t="s">
        <v>38</v>
      </c>
      <c r="O503" s="15"/>
      <c r="P503" s="16" t="s">
        <v>770</v>
      </c>
      <c r="Q503" s="17">
        <v>8799</v>
      </c>
      <c r="R503" s="18">
        <v>30</v>
      </c>
      <c r="S503" s="19">
        <v>7083.1949999999997</v>
      </c>
      <c r="T503" s="20" t="s">
        <v>333</v>
      </c>
      <c r="U503" s="21" t="s">
        <v>801</v>
      </c>
      <c r="V503" s="23">
        <v>33</v>
      </c>
      <c r="W503" s="23">
        <v>6</v>
      </c>
      <c r="X503" s="24"/>
    </row>
    <row r="504" spans="1:24" s="1" customFormat="1" ht="11" customHeight="1" x14ac:dyDescent="0.3">
      <c r="A504" s="25" t="s">
        <v>607</v>
      </c>
      <c r="B504" s="25" t="s">
        <v>875</v>
      </c>
      <c r="C504" s="12" t="s">
        <v>876</v>
      </c>
      <c r="D504" s="86"/>
      <c r="E504" s="67" t="str">
        <f t="shared" si="13"/>
        <v>Еще фото</v>
      </c>
      <c r="F504" s="14"/>
      <c r="G504" s="25" t="s">
        <v>153</v>
      </c>
      <c r="H504" s="25" t="s">
        <v>93</v>
      </c>
      <c r="I504" s="25" t="s">
        <v>154</v>
      </c>
      <c r="J504" s="15" t="s">
        <v>360</v>
      </c>
      <c r="K504" s="16" t="s">
        <v>59</v>
      </c>
      <c r="L504" s="88"/>
      <c r="M504" s="15"/>
      <c r="N504" s="15" t="s">
        <v>38</v>
      </c>
      <c r="O504" s="15"/>
      <c r="P504" s="16" t="s">
        <v>770</v>
      </c>
      <c r="Q504" s="17">
        <v>8799</v>
      </c>
      <c r="R504" s="18">
        <v>30</v>
      </c>
      <c r="S504" s="19">
        <v>7083.1949999999997</v>
      </c>
      <c r="T504" s="20" t="s">
        <v>333</v>
      </c>
      <c r="U504" s="21" t="s">
        <v>354</v>
      </c>
      <c r="V504" s="23">
        <v>36</v>
      </c>
      <c r="W504" s="23">
        <v>7</v>
      </c>
      <c r="X504" s="24"/>
    </row>
    <row r="505" spans="1:24" s="1" customFormat="1" ht="11" customHeight="1" x14ac:dyDescent="0.3">
      <c r="A505" s="25" t="s">
        <v>607</v>
      </c>
      <c r="B505" s="25" t="s">
        <v>875</v>
      </c>
      <c r="C505" s="12" t="s">
        <v>876</v>
      </c>
      <c r="D505" s="86"/>
      <c r="E505" s="67" t="str">
        <f t="shared" si="13"/>
        <v>Еще фото</v>
      </c>
      <c r="F505" s="14"/>
      <c r="G505" s="25" t="s">
        <v>153</v>
      </c>
      <c r="H505" s="25" t="s">
        <v>93</v>
      </c>
      <c r="I505" s="25" t="s">
        <v>154</v>
      </c>
      <c r="J505" s="15" t="s">
        <v>360</v>
      </c>
      <c r="K505" s="16" t="s">
        <v>59</v>
      </c>
      <c r="L505" s="88"/>
      <c r="M505" s="15"/>
      <c r="N505" s="15" t="s">
        <v>38</v>
      </c>
      <c r="O505" s="15"/>
      <c r="P505" s="16" t="s">
        <v>770</v>
      </c>
      <c r="Q505" s="17">
        <v>8799</v>
      </c>
      <c r="R505" s="18">
        <v>30</v>
      </c>
      <c r="S505" s="19">
        <v>7083.1949999999997</v>
      </c>
      <c r="T505" s="20" t="s">
        <v>333</v>
      </c>
      <c r="U505" s="21" t="s">
        <v>348</v>
      </c>
      <c r="V505" s="29">
        <v>36.5</v>
      </c>
      <c r="W505" s="23">
        <v>2</v>
      </c>
      <c r="X505" s="24"/>
    </row>
    <row r="506" spans="1:24" s="1" customFormat="1" ht="11" customHeight="1" x14ac:dyDescent="0.3">
      <c r="A506" s="25" t="s">
        <v>607</v>
      </c>
      <c r="B506" s="25" t="s">
        <v>875</v>
      </c>
      <c r="C506" s="12" t="s">
        <v>876</v>
      </c>
      <c r="D506" s="86"/>
      <c r="E506" s="67" t="str">
        <f t="shared" si="13"/>
        <v>Еще фото</v>
      </c>
      <c r="F506" s="14"/>
      <c r="G506" s="25" t="s">
        <v>153</v>
      </c>
      <c r="H506" s="25" t="s">
        <v>93</v>
      </c>
      <c r="I506" s="25" t="s">
        <v>154</v>
      </c>
      <c r="J506" s="15" t="s">
        <v>360</v>
      </c>
      <c r="K506" s="16" t="s">
        <v>59</v>
      </c>
      <c r="L506" s="88"/>
      <c r="M506" s="15"/>
      <c r="N506" s="15" t="s">
        <v>38</v>
      </c>
      <c r="O506" s="15"/>
      <c r="P506" s="16" t="s">
        <v>770</v>
      </c>
      <c r="Q506" s="17">
        <v>8799</v>
      </c>
      <c r="R506" s="18">
        <v>30</v>
      </c>
      <c r="S506" s="19">
        <v>7083.1949999999997</v>
      </c>
      <c r="T506" s="20" t="s">
        <v>333</v>
      </c>
      <c r="U506" s="21" t="s">
        <v>349</v>
      </c>
      <c r="V506" s="29">
        <v>37.5</v>
      </c>
      <c r="W506" s="23">
        <v>8</v>
      </c>
      <c r="X506" s="24"/>
    </row>
    <row r="507" spans="1:24" s="1" customFormat="1" ht="11" customHeight="1" x14ac:dyDescent="0.3">
      <c r="A507" s="15" t="s">
        <v>607</v>
      </c>
      <c r="B507" s="15" t="s">
        <v>875</v>
      </c>
      <c r="C507" s="12" t="s">
        <v>876</v>
      </c>
      <c r="D507" s="86"/>
      <c r="E507" s="67" t="str">
        <f t="shared" si="13"/>
        <v>Еще фото</v>
      </c>
      <c r="F507" s="56"/>
      <c r="G507" s="15" t="s">
        <v>153</v>
      </c>
      <c r="H507" s="15" t="s">
        <v>93</v>
      </c>
      <c r="I507" s="15" t="s">
        <v>154</v>
      </c>
      <c r="J507" s="15" t="s">
        <v>360</v>
      </c>
      <c r="K507" s="15" t="s">
        <v>59</v>
      </c>
      <c r="L507" s="88"/>
      <c r="M507" s="15"/>
      <c r="N507" s="15" t="s">
        <v>38</v>
      </c>
      <c r="O507" s="15"/>
      <c r="P507" s="15" t="s">
        <v>770</v>
      </c>
      <c r="Q507" s="57">
        <v>8799</v>
      </c>
      <c r="R507" s="58">
        <v>30</v>
      </c>
      <c r="S507" s="59">
        <v>7083.1949999999997</v>
      </c>
      <c r="T507" s="20" t="s">
        <v>333</v>
      </c>
      <c r="U507" s="21" t="s">
        <v>334</v>
      </c>
      <c r="V507" s="23">
        <v>38</v>
      </c>
      <c r="W507" s="23">
        <v>7</v>
      </c>
      <c r="X507" s="24"/>
    </row>
    <row r="508" spans="1:24" s="1" customFormat="1" ht="11" customHeight="1" x14ac:dyDescent="0.3">
      <c r="A508" s="15" t="s">
        <v>607</v>
      </c>
      <c r="B508" s="15" t="s">
        <v>875</v>
      </c>
      <c r="C508" s="12" t="s">
        <v>876</v>
      </c>
      <c r="D508" s="86"/>
      <c r="E508" s="67" t="str">
        <f t="shared" si="13"/>
        <v>Еще фото</v>
      </c>
      <c r="F508" s="56"/>
      <c r="G508" s="15" t="s">
        <v>153</v>
      </c>
      <c r="H508" s="15" t="s">
        <v>93</v>
      </c>
      <c r="I508" s="15" t="s">
        <v>154</v>
      </c>
      <c r="J508" s="15" t="s">
        <v>360</v>
      </c>
      <c r="K508" s="15" t="s">
        <v>59</v>
      </c>
      <c r="L508" s="88"/>
      <c r="M508" s="15"/>
      <c r="N508" s="15" t="s">
        <v>38</v>
      </c>
      <c r="O508" s="15"/>
      <c r="P508" s="15" t="s">
        <v>770</v>
      </c>
      <c r="Q508" s="57">
        <v>8799</v>
      </c>
      <c r="R508" s="58">
        <v>30</v>
      </c>
      <c r="S508" s="59">
        <v>7083.1949999999997</v>
      </c>
      <c r="T508" s="20" t="s">
        <v>333</v>
      </c>
      <c r="U508" s="21" t="s">
        <v>806</v>
      </c>
      <c r="V508" s="23">
        <v>31</v>
      </c>
      <c r="W508" s="23">
        <v>4</v>
      </c>
      <c r="X508" s="24"/>
    </row>
    <row r="509" spans="1:24" s="1" customFormat="1" ht="11" customHeight="1" x14ac:dyDescent="0.3">
      <c r="A509" s="15" t="s">
        <v>607</v>
      </c>
      <c r="B509" s="15" t="s">
        <v>875</v>
      </c>
      <c r="C509" s="12" t="s">
        <v>876</v>
      </c>
      <c r="D509" s="86"/>
      <c r="E509" s="67" t="str">
        <f t="shared" si="13"/>
        <v>Еще фото</v>
      </c>
      <c r="F509" s="56"/>
      <c r="G509" s="15" t="s">
        <v>153</v>
      </c>
      <c r="H509" s="15" t="s">
        <v>93</v>
      </c>
      <c r="I509" s="15" t="s">
        <v>154</v>
      </c>
      <c r="J509" s="15" t="s">
        <v>360</v>
      </c>
      <c r="K509" s="15" t="s">
        <v>59</v>
      </c>
      <c r="L509" s="88"/>
      <c r="M509" s="15"/>
      <c r="N509" s="15" t="s">
        <v>38</v>
      </c>
      <c r="O509" s="15"/>
      <c r="P509" s="15" t="s">
        <v>770</v>
      </c>
      <c r="Q509" s="57">
        <v>8799</v>
      </c>
      <c r="R509" s="58">
        <v>30</v>
      </c>
      <c r="S509" s="59">
        <v>7083.1949999999997</v>
      </c>
      <c r="T509" s="20" t="s">
        <v>333</v>
      </c>
      <c r="U509" s="21" t="s">
        <v>335</v>
      </c>
      <c r="V509" s="29">
        <v>38.5</v>
      </c>
      <c r="W509" s="23">
        <v>4</v>
      </c>
      <c r="X509" s="24"/>
    </row>
    <row r="510" spans="1:24" s="1" customFormat="1" ht="11" customHeight="1" x14ac:dyDescent="0.3">
      <c r="A510" s="15" t="s">
        <v>607</v>
      </c>
      <c r="B510" s="15" t="s">
        <v>875</v>
      </c>
      <c r="C510" s="12" t="s">
        <v>876</v>
      </c>
      <c r="D510" s="86"/>
      <c r="E510" s="67" t="str">
        <f t="shared" si="13"/>
        <v>Еще фото</v>
      </c>
      <c r="F510" s="56"/>
      <c r="G510" s="15" t="s">
        <v>153</v>
      </c>
      <c r="H510" s="15" t="s">
        <v>93</v>
      </c>
      <c r="I510" s="15" t="s">
        <v>154</v>
      </c>
      <c r="J510" s="15" t="s">
        <v>360</v>
      </c>
      <c r="K510" s="15" t="s">
        <v>59</v>
      </c>
      <c r="L510" s="88"/>
      <c r="M510" s="15"/>
      <c r="N510" s="15" t="s">
        <v>38</v>
      </c>
      <c r="O510" s="15"/>
      <c r="P510" s="15" t="s">
        <v>770</v>
      </c>
      <c r="Q510" s="57">
        <v>8799</v>
      </c>
      <c r="R510" s="58">
        <v>30</v>
      </c>
      <c r="S510" s="59">
        <v>7083.1949999999997</v>
      </c>
      <c r="T510" s="20" t="s">
        <v>333</v>
      </c>
      <c r="U510" s="21" t="s">
        <v>807</v>
      </c>
      <c r="V510" s="29">
        <v>31.5</v>
      </c>
      <c r="W510" s="23">
        <v>6</v>
      </c>
      <c r="X510" s="24"/>
    </row>
    <row r="511" spans="1:24" s="1" customFormat="1" ht="11" customHeight="1" x14ac:dyDescent="0.3">
      <c r="A511" s="15" t="s">
        <v>607</v>
      </c>
      <c r="B511" s="15" t="s">
        <v>875</v>
      </c>
      <c r="C511" s="12" t="s">
        <v>876</v>
      </c>
      <c r="D511" s="87"/>
      <c r="E511" s="67" t="str">
        <f t="shared" si="13"/>
        <v>Еще фото</v>
      </c>
      <c r="F511" s="56"/>
      <c r="G511" s="15" t="s">
        <v>153</v>
      </c>
      <c r="H511" s="15" t="s">
        <v>93</v>
      </c>
      <c r="I511" s="15" t="s">
        <v>154</v>
      </c>
      <c r="J511" s="15" t="s">
        <v>360</v>
      </c>
      <c r="K511" s="15" t="s">
        <v>59</v>
      </c>
      <c r="L511" s="84"/>
      <c r="M511" s="15"/>
      <c r="N511" s="15" t="s">
        <v>38</v>
      </c>
      <c r="O511" s="15"/>
      <c r="P511" s="15" t="s">
        <v>770</v>
      </c>
      <c r="Q511" s="57">
        <v>8799</v>
      </c>
      <c r="R511" s="58">
        <v>30</v>
      </c>
      <c r="S511" s="59">
        <v>7083.1949999999997</v>
      </c>
      <c r="T511" s="20" t="s">
        <v>333</v>
      </c>
      <c r="U511" s="21" t="s">
        <v>355</v>
      </c>
      <c r="V511" s="29">
        <v>39.5</v>
      </c>
      <c r="W511" s="23">
        <v>4</v>
      </c>
      <c r="X511" s="24"/>
    </row>
    <row r="512" spans="1:24" s="1" customFormat="1" ht="108" customHeight="1" x14ac:dyDescent="0.3">
      <c r="A512" s="11" t="s">
        <v>607</v>
      </c>
      <c r="B512" s="11" t="s">
        <v>877</v>
      </c>
      <c r="C512" s="12" t="s">
        <v>878</v>
      </c>
      <c r="D512" s="13"/>
      <c r="E512" s="67" t="str">
        <f>HYPERLINK("https://www.google.ru/search?q=275405-DBRD&amp;newwindow=1&amp;tbm=isch","Еще фото")</f>
        <v>Еще фото</v>
      </c>
      <c r="F512" s="14"/>
      <c r="G512" s="11" t="s">
        <v>153</v>
      </c>
      <c r="H512" s="11" t="s">
        <v>93</v>
      </c>
      <c r="I512" s="15" t="s">
        <v>154</v>
      </c>
      <c r="J512" s="15" t="s">
        <v>360</v>
      </c>
      <c r="K512" s="16" t="s">
        <v>59</v>
      </c>
      <c r="L512" s="15" t="s">
        <v>879</v>
      </c>
      <c r="M512" s="15"/>
      <c r="N512" s="15" t="s">
        <v>31</v>
      </c>
      <c r="O512" s="15"/>
      <c r="P512" s="16" t="s">
        <v>401</v>
      </c>
      <c r="Q512" s="17">
        <v>7699</v>
      </c>
      <c r="R512" s="18">
        <v>30</v>
      </c>
      <c r="S512" s="19">
        <v>6197.6949999999997</v>
      </c>
      <c r="T512" s="20" t="s">
        <v>333</v>
      </c>
      <c r="U512" s="21" t="s">
        <v>349</v>
      </c>
      <c r="V512" s="29">
        <v>37.5</v>
      </c>
      <c r="W512" s="23">
        <v>5</v>
      </c>
      <c r="X512" s="24"/>
    </row>
    <row r="513" spans="1:24" s="1" customFormat="1" ht="11" customHeight="1" x14ac:dyDescent="0.3">
      <c r="A513" s="11" t="s">
        <v>607</v>
      </c>
      <c r="B513" s="11" t="s">
        <v>877</v>
      </c>
      <c r="C513" s="12" t="s">
        <v>880</v>
      </c>
      <c r="D513" s="85"/>
      <c r="E513" s="67" t="str">
        <f t="shared" ref="E513:E521" si="14">HYPERLINK("https://www.google.ru/search?q=275406-BBTE&amp;newwindow=1&amp;tbm=isch","Еще фото")</f>
        <v>Еще фото</v>
      </c>
      <c r="F513" s="55" t="s">
        <v>688</v>
      </c>
      <c r="G513" s="11" t="s">
        <v>153</v>
      </c>
      <c r="H513" s="11" t="s">
        <v>93</v>
      </c>
      <c r="I513" s="15" t="s">
        <v>154</v>
      </c>
      <c r="J513" s="15" t="s">
        <v>360</v>
      </c>
      <c r="K513" s="16" t="s">
        <v>59</v>
      </c>
      <c r="L513" s="83"/>
      <c r="M513" s="15"/>
      <c r="N513" s="15" t="s">
        <v>31</v>
      </c>
      <c r="O513" s="15"/>
      <c r="P513" s="16" t="s">
        <v>870</v>
      </c>
      <c r="Q513" s="17">
        <v>7699</v>
      </c>
      <c r="R513" s="18">
        <v>30</v>
      </c>
      <c r="S513" s="19">
        <v>6197.6949999999997</v>
      </c>
      <c r="T513" s="20" t="s">
        <v>333</v>
      </c>
      <c r="U513" s="21" t="s">
        <v>858</v>
      </c>
      <c r="V513" s="23">
        <v>34</v>
      </c>
      <c r="W513" s="23">
        <v>2</v>
      </c>
      <c r="X513" s="24"/>
    </row>
    <row r="514" spans="1:24" s="1" customFormat="1" ht="11" customHeight="1" x14ac:dyDescent="0.3">
      <c r="A514" s="25" t="s">
        <v>607</v>
      </c>
      <c r="B514" s="25" t="s">
        <v>877</v>
      </c>
      <c r="C514" s="12" t="s">
        <v>880</v>
      </c>
      <c r="D514" s="86"/>
      <c r="E514" s="67" t="str">
        <f t="shared" si="14"/>
        <v>Еще фото</v>
      </c>
      <c r="F514" s="55" t="s">
        <v>688</v>
      </c>
      <c r="G514" s="25" t="s">
        <v>153</v>
      </c>
      <c r="H514" s="25" t="s">
        <v>93</v>
      </c>
      <c r="I514" s="25" t="s">
        <v>154</v>
      </c>
      <c r="J514" s="15" t="s">
        <v>360</v>
      </c>
      <c r="K514" s="16" t="s">
        <v>59</v>
      </c>
      <c r="L514" s="88"/>
      <c r="M514" s="15"/>
      <c r="N514" s="15" t="s">
        <v>31</v>
      </c>
      <c r="O514" s="15"/>
      <c r="P514" s="16" t="s">
        <v>870</v>
      </c>
      <c r="Q514" s="17">
        <v>7699</v>
      </c>
      <c r="R514" s="18">
        <v>30</v>
      </c>
      <c r="S514" s="19">
        <v>6197.6949999999997</v>
      </c>
      <c r="T514" s="20" t="s">
        <v>333</v>
      </c>
      <c r="U514" s="21" t="s">
        <v>859</v>
      </c>
      <c r="V514" s="29">
        <v>34.5</v>
      </c>
      <c r="W514" s="23">
        <v>4</v>
      </c>
      <c r="X514" s="24"/>
    </row>
    <row r="515" spans="1:24" s="1" customFormat="1" ht="11" customHeight="1" x14ac:dyDescent="0.3">
      <c r="A515" s="25" t="s">
        <v>607</v>
      </c>
      <c r="B515" s="25" t="s">
        <v>877</v>
      </c>
      <c r="C515" s="12" t="s">
        <v>880</v>
      </c>
      <c r="D515" s="86"/>
      <c r="E515" s="67" t="str">
        <f t="shared" si="14"/>
        <v>Еще фото</v>
      </c>
      <c r="F515" s="55" t="s">
        <v>688</v>
      </c>
      <c r="G515" s="25" t="s">
        <v>153</v>
      </c>
      <c r="H515" s="25" t="s">
        <v>93</v>
      </c>
      <c r="I515" s="25" t="s">
        <v>154</v>
      </c>
      <c r="J515" s="15" t="s">
        <v>360</v>
      </c>
      <c r="K515" s="16" t="s">
        <v>59</v>
      </c>
      <c r="L515" s="88"/>
      <c r="M515" s="15"/>
      <c r="N515" s="15" t="s">
        <v>31</v>
      </c>
      <c r="O515" s="15"/>
      <c r="P515" s="16" t="s">
        <v>870</v>
      </c>
      <c r="Q515" s="17">
        <v>7699</v>
      </c>
      <c r="R515" s="18">
        <v>30</v>
      </c>
      <c r="S515" s="19">
        <v>6197.6949999999997</v>
      </c>
      <c r="T515" s="20" t="s">
        <v>333</v>
      </c>
      <c r="U515" s="21" t="s">
        <v>860</v>
      </c>
      <c r="V515" s="29">
        <v>35.5</v>
      </c>
      <c r="W515" s="23">
        <v>4</v>
      </c>
      <c r="X515" s="24"/>
    </row>
    <row r="516" spans="1:24" s="1" customFormat="1" ht="11" customHeight="1" x14ac:dyDescent="0.3">
      <c r="A516" s="25" t="s">
        <v>607</v>
      </c>
      <c r="B516" s="25" t="s">
        <v>877</v>
      </c>
      <c r="C516" s="12" t="s">
        <v>880</v>
      </c>
      <c r="D516" s="86"/>
      <c r="E516" s="67" t="str">
        <f t="shared" si="14"/>
        <v>Еще фото</v>
      </c>
      <c r="F516" s="55" t="s">
        <v>688</v>
      </c>
      <c r="G516" s="25" t="s">
        <v>153</v>
      </c>
      <c r="H516" s="25" t="s">
        <v>93</v>
      </c>
      <c r="I516" s="25" t="s">
        <v>154</v>
      </c>
      <c r="J516" s="15" t="s">
        <v>360</v>
      </c>
      <c r="K516" s="16" t="s">
        <v>59</v>
      </c>
      <c r="L516" s="88"/>
      <c r="M516" s="15"/>
      <c r="N516" s="15" t="s">
        <v>31</v>
      </c>
      <c r="O516" s="15"/>
      <c r="P516" s="16" t="s">
        <v>870</v>
      </c>
      <c r="Q516" s="17">
        <v>7699</v>
      </c>
      <c r="R516" s="18">
        <v>30</v>
      </c>
      <c r="S516" s="19">
        <v>6197.6949999999997</v>
      </c>
      <c r="T516" s="20" t="s">
        <v>333</v>
      </c>
      <c r="U516" s="21" t="s">
        <v>354</v>
      </c>
      <c r="V516" s="23">
        <v>36</v>
      </c>
      <c r="W516" s="23">
        <v>6</v>
      </c>
      <c r="X516" s="24"/>
    </row>
    <row r="517" spans="1:24" s="1" customFormat="1" ht="11" customHeight="1" x14ac:dyDescent="0.3">
      <c r="A517" s="25" t="s">
        <v>607</v>
      </c>
      <c r="B517" s="25" t="s">
        <v>877</v>
      </c>
      <c r="C517" s="12" t="s">
        <v>880</v>
      </c>
      <c r="D517" s="86"/>
      <c r="E517" s="67" t="str">
        <f t="shared" si="14"/>
        <v>Еще фото</v>
      </c>
      <c r="F517" s="55" t="s">
        <v>688</v>
      </c>
      <c r="G517" s="25" t="s">
        <v>153</v>
      </c>
      <c r="H517" s="25" t="s">
        <v>93</v>
      </c>
      <c r="I517" s="25" t="s">
        <v>154</v>
      </c>
      <c r="J517" s="15" t="s">
        <v>360</v>
      </c>
      <c r="K517" s="16" t="s">
        <v>59</v>
      </c>
      <c r="L517" s="88"/>
      <c r="M517" s="15"/>
      <c r="N517" s="15" t="s">
        <v>31</v>
      </c>
      <c r="O517" s="15"/>
      <c r="P517" s="16" t="s">
        <v>870</v>
      </c>
      <c r="Q517" s="17">
        <v>7699</v>
      </c>
      <c r="R517" s="18">
        <v>30</v>
      </c>
      <c r="S517" s="19">
        <v>6197.6949999999997</v>
      </c>
      <c r="T517" s="20" t="s">
        <v>333</v>
      </c>
      <c r="U517" s="21" t="s">
        <v>348</v>
      </c>
      <c r="V517" s="29">
        <v>36.5</v>
      </c>
      <c r="W517" s="23">
        <v>6</v>
      </c>
      <c r="X517" s="24"/>
    </row>
    <row r="518" spans="1:24" s="1" customFormat="1" ht="11" customHeight="1" x14ac:dyDescent="0.3">
      <c r="A518" s="25" t="s">
        <v>607</v>
      </c>
      <c r="B518" s="25" t="s">
        <v>877</v>
      </c>
      <c r="C518" s="12" t="s">
        <v>880</v>
      </c>
      <c r="D518" s="86"/>
      <c r="E518" s="67" t="str">
        <f t="shared" si="14"/>
        <v>Еще фото</v>
      </c>
      <c r="F518" s="55" t="s">
        <v>688</v>
      </c>
      <c r="G518" s="25" t="s">
        <v>153</v>
      </c>
      <c r="H518" s="25" t="s">
        <v>93</v>
      </c>
      <c r="I518" s="25" t="s">
        <v>154</v>
      </c>
      <c r="J518" s="15" t="s">
        <v>360</v>
      </c>
      <c r="K518" s="16" t="s">
        <v>59</v>
      </c>
      <c r="L518" s="88"/>
      <c r="M518" s="15"/>
      <c r="N518" s="15" t="s">
        <v>31</v>
      </c>
      <c r="O518" s="15"/>
      <c r="P518" s="16" t="s">
        <v>870</v>
      </c>
      <c r="Q518" s="17">
        <v>7699</v>
      </c>
      <c r="R518" s="18">
        <v>30</v>
      </c>
      <c r="S518" s="19">
        <v>6197.6949999999997</v>
      </c>
      <c r="T518" s="20" t="s">
        <v>333</v>
      </c>
      <c r="U518" s="21" t="s">
        <v>349</v>
      </c>
      <c r="V518" s="29">
        <v>37.5</v>
      </c>
      <c r="W518" s="23">
        <v>8</v>
      </c>
      <c r="X518" s="24"/>
    </row>
    <row r="519" spans="1:24" s="1" customFormat="1" ht="11" customHeight="1" x14ac:dyDescent="0.3">
      <c r="A519" s="25" t="s">
        <v>607</v>
      </c>
      <c r="B519" s="25" t="s">
        <v>877</v>
      </c>
      <c r="C519" s="12" t="s">
        <v>880</v>
      </c>
      <c r="D519" s="86"/>
      <c r="E519" s="67" t="str">
        <f t="shared" si="14"/>
        <v>Еще фото</v>
      </c>
      <c r="F519" s="55" t="s">
        <v>688</v>
      </c>
      <c r="G519" s="25" t="s">
        <v>153</v>
      </c>
      <c r="H519" s="25" t="s">
        <v>93</v>
      </c>
      <c r="I519" s="25" t="s">
        <v>154</v>
      </c>
      <c r="J519" s="15" t="s">
        <v>360</v>
      </c>
      <c r="K519" s="16" t="s">
        <v>59</v>
      </c>
      <c r="L519" s="88"/>
      <c r="M519" s="15"/>
      <c r="N519" s="15" t="s">
        <v>31</v>
      </c>
      <c r="O519" s="15"/>
      <c r="P519" s="16" t="s">
        <v>870</v>
      </c>
      <c r="Q519" s="17">
        <v>7699</v>
      </c>
      <c r="R519" s="18">
        <v>30</v>
      </c>
      <c r="S519" s="19">
        <v>6197.6949999999997</v>
      </c>
      <c r="T519" s="20" t="s">
        <v>333</v>
      </c>
      <c r="U519" s="21" t="s">
        <v>334</v>
      </c>
      <c r="V519" s="23">
        <v>38</v>
      </c>
      <c r="W519" s="23">
        <v>7</v>
      </c>
      <c r="X519" s="24"/>
    </row>
    <row r="520" spans="1:24" s="1" customFormat="1" ht="11" customHeight="1" x14ac:dyDescent="0.3">
      <c r="A520" s="25" t="s">
        <v>607</v>
      </c>
      <c r="B520" s="25" t="s">
        <v>877</v>
      </c>
      <c r="C520" s="12" t="s">
        <v>880</v>
      </c>
      <c r="D520" s="86"/>
      <c r="E520" s="67" t="str">
        <f t="shared" si="14"/>
        <v>Еще фото</v>
      </c>
      <c r="F520" s="55" t="s">
        <v>688</v>
      </c>
      <c r="G520" s="25" t="s">
        <v>153</v>
      </c>
      <c r="H520" s="25" t="s">
        <v>93</v>
      </c>
      <c r="I520" s="25" t="s">
        <v>154</v>
      </c>
      <c r="J520" s="15" t="s">
        <v>360</v>
      </c>
      <c r="K520" s="16" t="s">
        <v>59</v>
      </c>
      <c r="L520" s="88"/>
      <c r="M520" s="15"/>
      <c r="N520" s="15" t="s">
        <v>31</v>
      </c>
      <c r="O520" s="15"/>
      <c r="P520" s="16" t="s">
        <v>870</v>
      </c>
      <c r="Q520" s="17">
        <v>7699</v>
      </c>
      <c r="R520" s="18">
        <v>30</v>
      </c>
      <c r="S520" s="19">
        <v>6197.6949999999997</v>
      </c>
      <c r="T520" s="20" t="s">
        <v>333</v>
      </c>
      <c r="U520" s="21" t="s">
        <v>335</v>
      </c>
      <c r="V520" s="29">
        <v>38.5</v>
      </c>
      <c r="W520" s="23">
        <v>7</v>
      </c>
      <c r="X520" s="24"/>
    </row>
    <row r="521" spans="1:24" s="1" customFormat="1" ht="11" customHeight="1" x14ac:dyDescent="0.3">
      <c r="A521" s="25" t="s">
        <v>607</v>
      </c>
      <c r="B521" s="25" t="s">
        <v>877</v>
      </c>
      <c r="C521" s="12" t="s">
        <v>880</v>
      </c>
      <c r="D521" s="87"/>
      <c r="E521" s="67" t="str">
        <f t="shared" si="14"/>
        <v>Еще фото</v>
      </c>
      <c r="F521" s="55" t="s">
        <v>688</v>
      </c>
      <c r="G521" s="25" t="s">
        <v>153</v>
      </c>
      <c r="H521" s="25" t="s">
        <v>93</v>
      </c>
      <c r="I521" s="25" t="s">
        <v>154</v>
      </c>
      <c r="J521" s="15" t="s">
        <v>360</v>
      </c>
      <c r="K521" s="16" t="s">
        <v>59</v>
      </c>
      <c r="L521" s="84"/>
      <c r="M521" s="15"/>
      <c r="N521" s="15" t="s">
        <v>31</v>
      </c>
      <c r="O521" s="15"/>
      <c r="P521" s="16" t="s">
        <v>870</v>
      </c>
      <c r="Q521" s="17">
        <v>7699</v>
      </c>
      <c r="R521" s="18">
        <v>30</v>
      </c>
      <c r="S521" s="19">
        <v>6197.6949999999997</v>
      </c>
      <c r="T521" s="20" t="s">
        <v>333</v>
      </c>
      <c r="U521" s="21" t="s">
        <v>355</v>
      </c>
      <c r="V521" s="29">
        <v>39.5</v>
      </c>
      <c r="W521" s="23">
        <v>8</v>
      </c>
      <c r="X521" s="24"/>
    </row>
    <row r="522" spans="1:24" s="1" customFormat="1" ht="11" customHeight="1" x14ac:dyDescent="0.3">
      <c r="A522" s="11" t="s">
        <v>607</v>
      </c>
      <c r="B522" s="11" t="s">
        <v>881</v>
      </c>
      <c r="C522" s="12" t="s">
        <v>882</v>
      </c>
      <c r="D522" s="85"/>
      <c r="E522" s="67" t="str">
        <f t="shared" ref="E522:E533" si="15">HYPERLINK("https://www.google.ru/search?q=275416-RDDR&amp;newwindow=1&amp;tbm=isch","Еще фото")</f>
        <v>Еще фото</v>
      </c>
      <c r="F522" s="14"/>
      <c r="G522" s="11" t="s">
        <v>153</v>
      </c>
      <c r="H522" s="11" t="s">
        <v>93</v>
      </c>
      <c r="I522" s="15" t="s">
        <v>154</v>
      </c>
      <c r="J522" s="15" t="s">
        <v>360</v>
      </c>
      <c r="K522" s="16" t="s">
        <v>59</v>
      </c>
      <c r="L522" s="83" t="s">
        <v>879</v>
      </c>
      <c r="M522" s="15"/>
      <c r="N522" s="15" t="s">
        <v>73</v>
      </c>
      <c r="O522" s="15"/>
      <c r="P522" s="16" t="s">
        <v>770</v>
      </c>
      <c r="Q522" s="17">
        <v>7999</v>
      </c>
      <c r="R522" s="18">
        <v>30</v>
      </c>
      <c r="S522" s="19">
        <v>6439.1949999999997</v>
      </c>
      <c r="T522" s="20" t="s">
        <v>333</v>
      </c>
      <c r="U522" s="21" t="s">
        <v>796</v>
      </c>
      <c r="V522" s="29">
        <v>32.5</v>
      </c>
      <c r="W522" s="23">
        <v>1</v>
      </c>
      <c r="X522" s="24"/>
    </row>
    <row r="523" spans="1:24" s="1" customFormat="1" ht="11" customHeight="1" x14ac:dyDescent="0.3">
      <c r="A523" s="25" t="s">
        <v>607</v>
      </c>
      <c r="B523" s="25" t="s">
        <v>881</v>
      </c>
      <c r="C523" s="12" t="s">
        <v>882</v>
      </c>
      <c r="D523" s="86"/>
      <c r="E523" s="67" t="str">
        <f t="shared" si="15"/>
        <v>Еще фото</v>
      </c>
      <c r="F523" s="14"/>
      <c r="G523" s="25" t="s">
        <v>153</v>
      </c>
      <c r="H523" s="25" t="s">
        <v>93</v>
      </c>
      <c r="I523" s="25" t="s">
        <v>154</v>
      </c>
      <c r="J523" s="15" t="s">
        <v>360</v>
      </c>
      <c r="K523" s="16" t="s">
        <v>59</v>
      </c>
      <c r="L523" s="88"/>
      <c r="M523" s="15"/>
      <c r="N523" s="15" t="s">
        <v>73</v>
      </c>
      <c r="O523" s="15"/>
      <c r="P523" s="16" t="s">
        <v>770</v>
      </c>
      <c r="Q523" s="17">
        <v>7999</v>
      </c>
      <c r="R523" s="18">
        <v>30</v>
      </c>
      <c r="S523" s="19">
        <v>6439.1949999999997</v>
      </c>
      <c r="T523" s="20" t="s">
        <v>333</v>
      </c>
      <c r="U523" s="21" t="s">
        <v>797</v>
      </c>
      <c r="V523" s="29">
        <v>33.5</v>
      </c>
      <c r="W523" s="23">
        <v>2</v>
      </c>
      <c r="X523" s="24"/>
    </row>
    <row r="524" spans="1:24" s="1" customFormat="1" ht="11" customHeight="1" x14ac:dyDescent="0.3">
      <c r="A524" s="25" t="s">
        <v>607</v>
      </c>
      <c r="B524" s="25" t="s">
        <v>881</v>
      </c>
      <c r="C524" s="12" t="s">
        <v>882</v>
      </c>
      <c r="D524" s="86"/>
      <c r="E524" s="67" t="str">
        <f t="shared" si="15"/>
        <v>Еще фото</v>
      </c>
      <c r="F524" s="14"/>
      <c r="G524" s="25" t="s">
        <v>153</v>
      </c>
      <c r="H524" s="25" t="s">
        <v>93</v>
      </c>
      <c r="I524" s="25" t="s">
        <v>154</v>
      </c>
      <c r="J524" s="15" t="s">
        <v>360</v>
      </c>
      <c r="K524" s="16" t="s">
        <v>59</v>
      </c>
      <c r="L524" s="88"/>
      <c r="M524" s="15"/>
      <c r="N524" s="15" t="s">
        <v>73</v>
      </c>
      <c r="O524" s="15"/>
      <c r="P524" s="16" t="s">
        <v>770</v>
      </c>
      <c r="Q524" s="17">
        <v>7999</v>
      </c>
      <c r="R524" s="18">
        <v>30</v>
      </c>
      <c r="S524" s="19">
        <v>6439.1949999999997</v>
      </c>
      <c r="T524" s="20" t="s">
        <v>333</v>
      </c>
      <c r="U524" s="21" t="s">
        <v>858</v>
      </c>
      <c r="V524" s="23">
        <v>34</v>
      </c>
      <c r="W524" s="23">
        <v>1</v>
      </c>
      <c r="X524" s="24"/>
    </row>
    <row r="525" spans="1:24" s="1" customFormat="1" ht="11" customHeight="1" x14ac:dyDescent="0.3">
      <c r="A525" s="25" t="s">
        <v>607</v>
      </c>
      <c r="B525" s="25" t="s">
        <v>881</v>
      </c>
      <c r="C525" s="12" t="s">
        <v>882</v>
      </c>
      <c r="D525" s="86"/>
      <c r="E525" s="67" t="str">
        <f t="shared" si="15"/>
        <v>Еще фото</v>
      </c>
      <c r="F525" s="14"/>
      <c r="G525" s="25" t="s">
        <v>153</v>
      </c>
      <c r="H525" s="25" t="s">
        <v>93</v>
      </c>
      <c r="I525" s="25" t="s">
        <v>154</v>
      </c>
      <c r="J525" s="15" t="s">
        <v>360</v>
      </c>
      <c r="K525" s="16" t="s">
        <v>59</v>
      </c>
      <c r="L525" s="88"/>
      <c r="M525" s="15"/>
      <c r="N525" s="15" t="s">
        <v>73</v>
      </c>
      <c r="O525" s="15"/>
      <c r="P525" s="16" t="s">
        <v>770</v>
      </c>
      <c r="Q525" s="17">
        <v>7999</v>
      </c>
      <c r="R525" s="18">
        <v>30</v>
      </c>
      <c r="S525" s="19">
        <v>6439.1949999999997</v>
      </c>
      <c r="T525" s="20" t="s">
        <v>333</v>
      </c>
      <c r="U525" s="21" t="s">
        <v>860</v>
      </c>
      <c r="V525" s="29">
        <v>35.5</v>
      </c>
      <c r="W525" s="23">
        <v>4</v>
      </c>
      <c r="X525" s="24"/>
    </row>
    <row r="526" spans="1:24" s="1" customFormat="1" ht="11" customHeight="1" x14ac:dyDescent="0.3">
      <c r="A526" s="25" t="s">
        <v>607</v>
      </c>
      <c r="B526" s="25" t="s">
        <v>881</v>
      </c>
      <c r="C526" s="12" t="s">
        <v>882</v>
      </c>
      <c r="D526" s="86"/>
      <c r="E526" s="67" t="str">
        <f t="shared" si="15"/>
        <v>Еще фото</v>
      </c>
      <c r="F526" s="14"/>
      <c r="G526" s="25" t="s">
        <v>153</v>
      </c>
      <c r="H526" s="25" t="s">
        <v>93</v>
      </c>
      <c r="I526" s="25" t="s">
        <v>154</v>
      </c>
      <c r="J526" s="15" t="s">
        <v>360</v>
      </c>
      <c r="K526" s="16" t="s">
        <v>59</v>
      </c>
      <c r="L526" s="88"/>
      <c r="M526" s="15"/>
      <c r="N526" s="15" t="s">
        <v>73</v>
      </c>
      <c r="O526" s="15"/>
      <c r="P526" s="16" t="s">
        <v>770</v>
      </c>
      <c r="Q526" s="17">
        <v>7999</v>
      </c>
      <c r="R526" s="18">
        <v>30</v>
      </c>
      <c r="S526" s="19">
        <v>6439.1949999999997</v>
      </c>
      <c r="T526" s="20" t="s">
        <v>333</v>
      </c>
      <c r="U526" s="21" t="s">
        <v>801</v>
      </c>
      <c r="V526" s="23">
        <v>33</v>
      </c>
      <c r="W526" s="23">
        <v>3</v>
      </c>
      <c r="X526" s="24"/>
    </row>
    <row r="527" spans="1:24" s="1" customFormat="1" ht="11" customHeight="1" x14ac:dyDescent="0.3">
      <c r="A527" s="25" t="s">
        <v>607</v>
      </c>
      <c r="B527" s="25" t="s">
        <v>881</v>
      </c>
      <c r="C527" s="12" t="s">
        <v>882</v>
      </c>
      <c r="D527" s="86"/>
      <c r="E527" s="67" t="str">
        <f t="shared" si="15"/>
        <v>Еще фото</v>
      </c>
      <c r="F527" s="14"/>
      <c r="G527" s="25" t="s">
        <v>153</v>
      </c>
      <c r="H527" s="25" t="s">
        <v>93</v>
      </c>
      <c r="I527" s="25" t="s">
        <v>154</v>
      </c>
      <c r="J527" s="15" t="s">
        <v>360</v>
      </c>
      <c r="K527" s="16" t="s">
        <v>59</v>
      </c>
      <c r="L527" s="88"/>
      <c r="M527" s="15"/>
      <c r="N527" s="15" t="s">
        <v>73</v>
      </c>
      <c r="O527" s="15"/>
      <c r="P527" s="16" t="s">
        <v>770</v>
      </c>
      <c r="Q527" s="17">
        <v>7999</v>
      </c>
      <c r="R527" s="18">
        <v>30</v>
      </c>
      <c r="S527" s="19">
        <v>6439.1949999999997</v>
      </c>
      <c r="T527" s="20" t="s">
        <v>333</v>
      </c>
      <c r="U527" s="21" t="s">
        <v>354</v>
      </c>
      <c r="V527" s="23">
        <v>36</v>
      </c>
      <c r="W527" s="23">
        <v>3</v>
      </c>
      <c r="X527" s="24"/>
    </row>
    <row r="528" spans="1:24" s="1" customFormat="1" ht="11" customHeight="1" x14ac:dyDescent="0.3">
      <c r="A528" s="25" t="s">
        <v>607</v>
      </c>
      <c r="B528" s="25" t="s">
        <v>881</v>
      </c>
      <c r="C528" s="12" t="s">
        <v>882</v>
      </c>
      <c r="D528" s="86"/>
      <c r="E528" s="67" t="str">
        <f t="shared" si="15"/>
        <v>Еще фото</v>
      </c>
      <c r="F528" s="14"/>
      <c r="G528" s="25" t="s">
        <v>153</v>
      </c>
      <c r="H528" s="25" t="s">
        <v>93</v>
      </c>
      <c r="I528" s="25" t="s">
        <v>154</v>
      </c>
      <c r="J528" s="15" t="s">
        <v>360</v>
      </c>
      <c r="K528" s="16" t="s">
        <v>59</v>
      </c>
      <c r="L528" s="88"/>
      <c r="M528" s="15"/>
      <c r="N528" s="15" t="s">
        <v>73</v>
      </c>
      <c r="O528" s="15"/>
      <c r="P528" s="16" t="s">
        <v>770</v>
      </c>
      <c r="Q528" s="17">
        <v>7999</v>
      </c>
      <c r="R528" s="18">
        <v>30</v>
      </c>
      <c r="S528" s="19">
        <v>6439.1949999999997</v>
      </c>
      <c r="T528" s="20" t="s">
        <v>333</v>
      </c>
      <c r="U528" s="21" t="s">
        <v>348</v>
      </c>
      <c r="V528" s="29">
        <v>36.5</v>
      </c>
      <c r="W528" s="23">
        <v>7</v>
      </c>
      <c r="X528" s="24"/>
    </row>
    <row r="529" spans="1:24" s="1" customFormat="1" ht="11" customHeight="1" x14ac:dyDescent="0.3">
      <c r="A529" s="25" t="s">
        <v>607</v>
      </c>
      <c r="B529" s="25" t="s">
        <v>881</v>
      </c>
      <c r="C529" s="12" t="s">
        <v>882</v>
      </c>
      <c r="D529" s="86"/>
      <c r="E529" s="67" t="str">
        <f t="shared" si="15"/>
        <v>Еще фото</v>
      </c>
      <c r="F529" s="14"/>
      <c r="G529" s="25" t="s">
        <v>153</v>
      </c>
      <c r="H529" s="25" t="s">
        <v>93</v>
      </c>
      <c r="I529" s="25" t="s">
        <v>154</v>
      </c>
      <c r="J529" s="15" t="s">
        <v>360</v>
      </c>
      <c r="K529" s="16" t="s">
        <v>59</v>
      </c>
      <c r="L529" s="88"/>
      <c r="M529" s="15"/>
      <c r="N529" s="15" t="s">
        <v>73</v>
      </c>
      <c r="O529" s="15"/>
      <c r="P529" s="16" t="s">
        <v>770</v>
      </c>
      <c r="Q529" s="17">
        <v>7999</v>
      </c>
      <c r="R529" s="18">
        <v>30</v>
      </c>
      <c r="S529" s="19">
        <v>6439.1949999999997</v>
      </c>
      <c r="T529" s="20" t="s">
        <v>333</v>
      </c>
      <c r="U529" s="21" t="s">
        <v>349</v>
      </c>
      <c r="V529" s="29">
        <v>37.5</v>
      </c>
      <c r="W529" s="23">
        <v>6</v>
      </c>
      <c r="X529" s="24"/>
    </row>
    <row r="530" spans="1:24" s="1" customFormat="1" ht="11" customHeight="1" x14ac:dyDescent="0.3">
      <c r="A530" s="25" t="s">
        <v>607</v>
      </c>
      <c r="B530" s="25" t="s">
        <v>881</v>
      </c>
      <c r="C530" s="12" t="s">
        <v>882</v>
      </c>
      <c r="D530" s="86"/>
      <c r="E530" s="67" t="str">
        <f t="shared" si="15"/>
        <v>Еще фото</v>
      </c>
      <c r="F530" s="14"/>
      <c r="G530" s="25" t="s">
        <v>153</v>
      </c>
      <c r="H530" s="25" t="s">
        <v>93</v>
      </c>
      <c r="I530" s="25" t="s">
        <v>154</v>
      </c>
      <c r="J530" s="15" t="s">
        <v>360</v>
      </c>
      <c r="K530" s="16" t="s">
        <v>59</v>
      </c>
      <c r="L530" s="88"/>
      <c r="M530" s="15"/>
      <c r="N530" s="15" t="s">
        <v>73</v>
      </c>
      <c r="O530" s="15"/>
      <c r="P530" s="16" t="s">
        <v>770</v>
      </c>
      <c r="Q530" s="17">
        <v>7999</v>
      </c>
      <c r="R530" s="18">
        <v>30</v>
      </c>
      <c r="S530" s="19">
        <v>6439.1949999999997</v>
      </c>
      <c r="T530" s="20" t="s">
        <v>333</v>
      </c>
      <c r="U530" s="21" t="s">
        <v>334</v>
      </c>
      <c r="V530" s="23">
        <v>38</v>
      </c>
      <c r="W530" s="23">
        <v>8</v>
      </c>
      <c r="X530" s="24"/>
    </row>
    <row r="531" spans="1:24" s="1" customFormat="1" ht="11" customHeight="1" x14ac:dyDescent="0.3">
      <c r="A531" s="15" t="s">
        <v>607</v>
      </c>
      <c r="B531" s="15" t="s">
        <v>881</v>
      </c>
      <c r="C531" s="12" t="s">
        <v>882</v>
      </c>
      <c r="D531" s="86"/>
      <c r="E531" s="67" t="str">
        <f t="shared" si="15"/>
        <v>Еще фото</v>
      </c>
      <c r="F531" s="56"/>
      <c r="G531" s="15" t="s">
        <v>153</v>
      </c>
      <c r="H531" s="15" t="s">
        <v>93</v>
      </c>
      <c r="I531" s="15" t="s">
        <v>154</v>
      </c>
      <c r="J531" s="15" t="s">
        <v>360</v>
      </c>
      <c r="K531" s="15" t="s">
        <v>59</v>
      </c>
      <c r="L531" s="88"/>
      <c r="M531" s="15"/>
      <c r="N531" s="15" t="s">
        <v>73</v>
      </c>
      <c r="O531" s="15"/>
      <c r="P531" s="15" t="s">
        <v>770</v>
      </c>
      <c r="Q531" s="57">
        <v>7999</v>
      </c>
      <c r="R531" s="58">
        <v>30</v>
      </c>
      <c r="S531" s="59">
        <v>6439.1949999999997</v>
      </c>
      <c r="T531" s="20" t="s">
        <v>333</v>
      </c>
      <c r="U531" s="21" t="s">
        <v>335</v>
      </c>
      <c r="V531" s="29">
        <v>38.5</v>
      </c>
      <c r="W531" s="23">
        <v>1</v>
      </c>
      <c r="X531" s="24"/>
    </row>
    <row r="532" spans="1:24" s="1" customFormat="1" ht="11" customHeight="1" x14ac:dyDescent="0.3">
      <c r="A532" s="15" t="s">
        <v>607</v>
      </c>
      <c r="B532" s="15" t="s">
        <v>881</v>
      </c>
      <c r="C532" s="12" t="s">
        <v>882</v>
      </c>
      <c r="D532" s="86"/>
      <c r="E532" s="67" t="str">
        <f t="shared" si="15"/>
        <v>Еще фото</v>
      </c>
      <c r="F532" s="56"/>
      <c r="G532" s="15" t="s">
        <v>153</v>
      </c>
      <c r="H532" s="15" t="s">
        <v>93</v>
      </c>
      <c r="I532" s="15" t="s">
        <v>154</v>
      </c>
      <c r="J532" s="15" t="s">
        <v>360</v>
      </c>
      <c r="K532" s="15" t="s">
        <v>59</v>
      </c>
      <c r="L532" s="88"/>
      <c r="M532" s="15"/>
      <c r="N532" s="15" t="s">
        <v>73</v>
      </c>
      <c r="O532" s="15"/>
      <c r="P532" s="15" t="s">
        <v>770</v>
      </c>
      <c r="Q532" s="57">
        <v>7999</v>
      </c>
      <c r="R532" s="58">
        <v>30</v>
      </c>
      <c r="S532" s="59">
        <v>6439.1949999999997</v>
      </c>
      <c r="T532" s="20" t="s">
        <v>333</v>
      </c>
      <c r="U532" s="21" t="s">
        <v>807</v>
      </c>
      <c r="V532" s="29">
        <v>31.5</v>
      </c>
      <c r="W532" s="23">
        <v>4</v>
      </c>
      <c r="X532" s="24"/>
    </row>
    <row r="533" spans="1:24" s="1" customFormat="1" ht="11" customHeight="1" x14ac:dyDescent="0.3">
      <c r="A533" s="15" t="s">
        <v>607</v>
      </c>
      <c r="B533" s="15" t="s">
        <v>881</v>
      </c>
      <c r="C533" s="12" t="s">
        <v>882</v>
      </c>
      <c r="D533" s="87"/>
      <c r="E533" s="67" t="str">
        <f t="shared" si="15"/>
        <v>Еще фото</v>
      </c>
      <c r="F533" s="56"/>
      <c r="G533" s="15" t="s">
        <v>153</v>
      </c>
      <c r="H533" s="15" t="s">
        <v>93</v>
      </c>
      <c r="I533" s="15" t="s">
        <v>154</v>
      </c>
      <c r="J533" s="15" t="s">
        <v>360</v>
      </c>
      <c r="K533" s="15" t="s">
        <v>59</v>
      </c>
      <c r="L533" s="84"/>
      <c r="M533" s="15"/>
      <c r="N533" s="15" t="s">
        <v>73</v>
      </c>
      <c r="O533" s="15"/>
      <c r="P533" s="15" t="s">
        <v>770</v>
      </c>
      <c r="Q533" s="57">
        <v>7999</v>
      </c>
      <c r="R533" s="58">
        <v>30</v>
      </c>
      <c r="S533" s="59">
        <v>6439.1949999999997</v>
      </c>
      <c r="T533" s="20" t="s">
        <v>333</v>
      </c>
      <c r="U533" s="21" t="s">
        <v>355</v>
      </c>
      <c r="V533" s="29">
        <v>39.5</v>
      </c>
      <c r="W533" s="23">
        <v>1</v>
      </c>
      <c r="X533" s="24"/>
    </row>
    <row r="534" spans="1:24" s="1" customFormat="1" ht="11" customHeight="1" x14ac:dyDescent="0.3">
      <c r="A534" s="11" t="s">
        <v>607</v>
      </c>
      <c r="B534" s="11" t="s">
        <v>883</v>
      </c>
      <c r="C534" s="12" t="s">
        <v>884</v>
      </c>
      <c r="D534" s="85"/>
      <c r="E534" s="67" t="str">
        <f t="shared" ref="E534:E542" si="16">HYPERLINK("https://www.google.ru/search?q=275426-LGPN&amp;newwindow=1&amp;tbm=isch","Еще фото")</f>
        <v>Еще фото</v>
      </c>
      <c r="F534" s="14"/>
      <c r="G534" s="11" t="s">
        <v>153</v>
      </c>
      <c r="H534" s="11" t="s">
        <v>93</v>
      </c>
      <c r="I534" s="15" t="s">
        <v>154</v>
      </c>
      <c r="J534" s="15" t="s">
        <v>360</v>
      </c>
      <c r="K534" s="16" t="s">
        <v>59</v>
      </c>
      <c r="L534" s="83" t="s">
        <v>879</v>
      </c>
      <c r="M534" s="15"/>
      <c r="N534" s="15" t="s">
        <v>218</v>
      </c>
      <c r="O534" s="15"/>
      <c r="P534" s="16" t="s">
        <v>770</v>
      </c>
      <c r="Q534" s="17">
        <v>7999</v>
      </c>
      <c r="R534" s="18">
        <v>30</v>
      </c>
      <c r="S534" s="19">
        <v>6439.1949999999997</v>
      </c>
      <c r="T534" s="20" t="s">
        <v>333</v>
      </c>
      <c r="U534" s="21" t="s">
        <v>796</v>
      </c>
      <c r="V534" s="29">
        <v>32.5</v>
      </c>
      <c r="W534" s="23">
        <v>5</v>
      </c>
      <c r="X534" s="24"/>
    </row>
    <row r="535" spans="1:24" s="1" customFormat="1" ht="11" customHeight="1" x14ac:dyDescent="0.3">
      <c r="A535" s="25" t="s">
        <v>607</v>
      </c>
      <c r="B535" s="25" t="s">
        <v>883</v>
      </c>
      <c r="C535" s="12" t="s">
        <v>884</v>
      </c>
      <c r="D535" s="86"/>
      <c r="E535" s="67" t="str">
        <f t="shared" si="16"/>
        <v>Еще фото</v>
      </c>
      <c r="F535" s="14"/>
      <c r="G535" s="25" t="s">
        <v>153</v>
      </c>
      <c r="H535" s="25" t="s">
        <v>93</v>
      </c>
      <c r="I535" s="25" t="s">
        <v>154</v>
      </c>
      <c r="J535" s="15" t="s">
        <v>360</v>
      </c>
      <c r="K535" s="16" t="s">
        <v>59</v>
      </c>
      <c r="L535" s="88"/>
      <c r="M535" s="15"/>
      <c r="N535" s="15" t="s">
        <v>218</v>
      </c>
      <c r="O535" s="15"/>
      <c r="P535" s="16" t="s">
        <v>770</v>
      </c>
      <c r="Q535" s="17">
        <v>7999</v>
      </c>
      <c r="R535" s="18">
        <v>30</v>
      </c>
      <c r="S535" s="19">
        <v>6439.1949999999997</v>
      </c>
      <c r="T535" s="20" t="s">
        <v>333</v>
      </c>
      <c r="U535" s="21" t="s">
        <v>801</v>
      </c>
      <c r="V535" s="23">
        <v>33</v>
      </c>
      <c r="W535" s="23">
        <v>4</v>
      </c>
      <c r="X535" s="24"/>
    </row>
    <row r="536" spans="1:24" s="1" customFormat="1" ht="11" customHeight="1" x14ac:dyDescent="0.3">
      <c r="A536" s="25" t="s">
        <v>607</v>
      </c>
      <c r="B536" s="25" t="s">
        <v>883</v>
      </c>
      <c r="C536" s="12" t="s">
        <v>884</v>
      </c>
      <c r="D536" s="86"/>
      <c r="E536" s="67" t="str">
        <f t="shared" si="16"/>
        <v>Еще фото</v>
      </c>
      <c r="F536" s="14"/>
      <c r="G536" s="25" t="s">
        <v>153</v>
      </c>
      <c r="H536" s="25" t="s">
        <v>93</v>
      </c>
      <c r="I536" s="25" t="s">
        <v>154</v>
      </c>
      <c r="J536" s="15" t="s">
        <v>360</v>
      </c>
      <c r="K536" s="16" t="s">
        <v>59</v>
      </c>
      <c r="L536" s="88"/>
      <c r="M536" s="15"/>
      <c r="N536" s="15" t="s">
        <v>218</v>
      </c>
      <c r="O536" s="15"/>
      <c r="P536" s="16" t="s">
        <v>770</v>
      </c>
      <c r="Q536" s="17">
        <v>7999</v>
      </c>
      <c r="R536" s="18">
        <v>30</v>
      </c>
      <c r="S536" s="19">
        <v>6439.1949999999997</v>
      </c>
      <c r="T536" s="20" t="s">
        <v>333</v>
      </c>
      <c r="U536" s="21" t="s">
        <v>348</v>
      </c>
      <c r="V536" s="29">
        <v>36.5</v>
      </c>
      <c r="W536" s="23">
        <v>6</v>
      </c>
      <c r="X536" s="24"/>
    </row>
    <row r="537" spans="1:24" s="1" customFormat="1" ht="11" customHeight="1" x14ac:dyDescent="0.3">
      <c r="A537" s="25" t="s">
        <v>607</v>
      </c>
      <c r="B537" s="25" t="s">
        <v>883</v>
      </c>
      <c r="C537" s="12" t="s">
        <v>884</v>
      </c>
      <c r="D537" s="86"/>
      <c r="E537" s="67" t="str">
        <f t="shared" si="16"/>
        <v>Еще фото</v>
      </c>
      <c r="F537" s="14"/>
      <c r="G537" s="25" t="s">
        <v>153</v>
      </c>
      <c r="H537" s="25" t="s">
        <v>93</v>
      </c>
      <c r="I537" s="25" t="s">
        <v>154</v>
      </c>
      <c r="J537" s="15" t="s">
        <v>360</v>
      </c>
      <c r="K537" s="16" t="s">
        <v>59</v>
      </c>
      <c r="L537" s="88"/>
      <c r="M537" s="15"/>
      <c r="N537" s="15" t="s">
        <v>218</v>
      </c>
      <c r="O537" s="15"/>
      <c r="P537" s="16" t="s">
        <v>770</v>
      </c>
      <c r="Q537" s="17">
        <v>7999</v>
      </c>
      <c r="R537" s="18">
        <v>30</v>
      </c>
      <c r="S537" s="19">
        <v>6439.1949999999997</v>
      </c>
      <c r="T537" s="20" t="s">
        <v>333</v>
      </c>
      <c r="U537" s="21" t="s">
        <v>349</v>
      </c>
      <c r="V537" s="29">
        <v>37.5</v>
      </c>
      <c r="W537" s="23">
        <v>3</v>
      </c>
      <c r="X537" s="24"/>
    </row>
    <row r="538" spans="1:24" s="1" customFormat="1" ht="11" customHeight="1" x14ac:dyDescent="0.3">
      <c r="A538" s="25" t="s">
        <v>607</v>
      </c>
      <c r="B538" s="25" t="s">
        <v>883</v>
      </c>
      <c r="C538" s="12" t="s">
        <v>884</v>
      </c>
      <c r="D538" s="86"/>
      <c r="E538" s="67" t="str">
        <f t="shared" si="16"/>
        <v>Еще фото</v>
      </c>
      <c r="F538" s="14"/>
      <c r="G538" s="25" t="s">
        <v>153</v>
      </c>
      <c r="H538" s="25" t="s">
        <v>93</v>
      </c>
      <c r="I538" s="25" t="s">
        <v>154</v>
      </c>
      <c r="J538" s="15" t="s">
        <v>360</v>
      </c>
      <c r="K538" s="16" t="s">
        <v>59</v>
      </c>
      <c r="L538" s="88"/>
      <c r="M538" s="15"/>
      <c r="N538" s="15" t="s">
        <v>218</v>
      </c>
      <c r="O538" s="15"/>
      <c r="P538" s="16" t="s">
        <v>770</v>
      </c>
      <c r="Q538" s="17">
        <v>7999</v>
      </c>
      <c r="R538" s="18">
        <v>30</v>
      </c>
      <c r="S538" s="19">
        <v>6439.1949999999997</v>
      </c>
      <c r="T538" s="20" t="s">
        <v>333</v>
      </c>
      <c r="U538" s="21" t="s">
        <v>334</v>
      </c>
      <c r="V538" s="23">
        <v>38</v>
      </c>
      <c r="W538" s="23">
        <v>12</v>
      </c>
      <c r="X538" s="24"/>
    </row>
    <row r="539" spans="1:24" s="1" customFormat="1" ht="11" customHeight="1" x14ac:dyDescent="0.3">
      <c r="A539" s="25" t="s">
        <v>607</v>
      </c>
      <c r="B539" s="25" t="s">
        <v>883</v>
      </c>
      <c r="C539" s="12" t="s">
        <v>884</v>
      </c>
      <c r="D539" s="86"/>
      <c r="E539" s="67" t="str">
        <f t="shared" si="16"/>
        <v>Еще фото</v>
      </c>
      <c r="F539" s="14"/>
      <c r="G539" s="25" t="s">
        <v>153</v>
      </c>
      <c r="H539" s="25" t="s">
        <v>93</v>
      </c>
      <c r="I539" s="25" t="s">
        <v>154</v>
      </c>
      <c r="J539" s="15" t="s">
        <v>360</v>
      </c>
      <c r="K539" s="16" t="s">
        <v>59</v>
      </c>
      <c r="L539" s="88"/>
      <c r="M539" s="15"/>
      <c r="N539" s="15" t="s">
        <v>218</v>
      </c>
      <c r="O539" s="15"/>
      <c r="P539" s="16" t="s">
        <v>770</v>
      </c>
      <c r="Q539" s="17">
        <v>7999</v>
      </c>
      <c r="R539" s="18">
        <v>30</v>
      </c>
      <c r="S539" s="19">
        <v>6439.1949999999997</v>
      </c>
      <c r="T539" s="20" t="s">
        <v>333</v>
      </c>
      <c r="U539" s="21" t="s">
        <v>806</v>
      </c>
      <c r="V539" s="23">
        <v>31</v>
      </c>
      <c r="W539" s="23">
        <v>3</v>
      </c>
      <c r="X539" s="24"/>
    </row>
    <row r="540" spans="1:24" s="1" customFormat="1" ht="11" customHeight="1" x14ac:dyDescent="0.3">
      <c r="A540" s="25" t="s">
        <v>607</v>
      </c>
      <c r="B540" s="25" t="s">
        <v>883</v>
      </c>
      <c r="C540" s="12" t="s">
        <v>884</v>
      </c>
      <c r="D540" s="86"/>
      <c r="E540" s="67" t="str">
        <f t="shared" si="16"/>
        <v>Еще фото</v>
      </c>
      <c r="F540" s="14"/>
      <c r="G540" s="25" t="s">
        <v>153</v>
      </c>
      <c r="H540" s="25" t="s">
        <v>93</v>
      </c>
      <c r="I540" s="25" t="s">
        <v>154</v>
      </c>
      <c r="J540" s="15" t="s">
        <v>360</v>
      </c>
      <c r="K540" s="16" t="s">
        <v>59</v>
      </c>
      <c r="L540" s="88"/>
      <c r="M540" s="15"/>
      <c r="N540" s="15" t="s">
        <v>218</v>
      </c>
      <c r="O540" s="15"/>
      <c r="P540" s="16" t="s">
        <v>770</v>
      </c>
      <c r="Q540" s="17">
        <v>7999</v>
      </c>
      <c r="R540" s="18">
        <v>30</v>
      </c>
      <c r="S540" s="19">
        <v>6439.1949999999997</v>
      </c>
      <c r="T540" s="20" t="s">
        <v>333</v>
      </c>
      <c r="U540" s="21" t="s">
        <v>335</v>
      </c>
      <c r="V540" s="29">
        <v>38.5</v>
      </c>
      <c r="W540" s="23">
        <v>4</v>
      </c>
      <c r="X540" s="24"/>
    </row>
    <row r="541" spans="1:24" s="1" customFormat="1" ht="11" customHeight="1" x14ac:dyDescent="0.3">
      <c r="A541" s="25" t="s">
        <v>607</v>
      </c>
      <c r="B541" s="25" t="s">
        <v>883</v>
      </c>
      <c r="C541" s="12" t="s">
        <v>884</v>
      </c>
      <c r="D541" s="86"/>
      <c r="E541" s="67" t="str">
        <f t="shared" si="16"/>
        <v>Еще фото</v>
      </c>
      <c r="F541" s="14"/>
      <c r="G541" s="25" t="s">
        <v>153</v>
      </c>
      <c r="H541" s="25" t="s">
        <v>93</v>
      </c>
      <c r="I541" s="25" t="s">
        <v>154</v>
      </c>
      <c r="J541" s="15" t="s">
        <v>360</v>
      </c>
      <c r="K541" s="16" t="s">
        <v>59</v>
      </c>
      <c r="L541" s="88"/>
      <c r="M541" s="15"/>
      <c r="N541" s="15" t="s">
        <v>218</v>
      </c>
      <c r="O541" s="15"/>
      <c r="P541" s="16" t="s">
        <v>770</v>
      </c>
      <c r="Q541" s="17">
        <v>7999</v>
      </c>
      <c r="R541" s="18">
        <v>30</v>
      </c>
      <c r="S541" s="19">
        <v>6439.1949999999997</v>
      </c>
      <c r="T541" s="20" t="s">
        <v>333</v>
      </c>
      <c r="U541" s="21" t="s">
        <v>807</v>
      </c>
      <c r="V541" s="29">
        <v>31.5</v>
      </c>
      <c r="W541" s="23">
        <v>2</v>
      </c>
      <c r="X541" s="24"/>
    </row>
    <row r="542" spans="1:24" s="1" customFormat="1" ht="11" customHeight="1" x14ac:dyDescent="0.3">
      <c r="A542" s="25" t="s">
        <v>607</v>
      </c>
      <c r="B542" s="25" t="s">
        <v>883</v>
      </c>
      <c r="C542" s="12" t="s">
        <v>884</v>
      </c>
      <c r="D542" s="87"/>
      <c r="E542" s="67" t="str">
        <f t="shared" si="16"/>
        <v>Еще фото</v>
      </c>
      <c r="F542" s="14"/>
      <c r="G542" s="25" t="s">
        <v>153</v>
      </c>
      <c r="H542" s="25" t="s">
        <v>93</v>
      </c>
      <c r="I542" s="25" t="s">
        <v>154</v>
      </c>
      <c r="J542" s="15" t="s">
        <v>360</v>
      </c>
      <c r="K542" s="16" t="s">
        <v>59</v>
      </c>
      <c r="L542" s="84"/>
      <c r="M542" s="15"/>
      <c r="N542" s="15" t="s">
        <v>218</v>
      </c>
      <c r="O542" s="15"/>
      <c r="P542" s="16" t="s">
        <v>770</v>
      </c>
      <c r="Q542" s="17">
        <v>7999</v>
      </c>
      <c r="R542" s="18">
        <v>30</v>
      </c>
      <c r="S542" s="19">
        <v>6439.1949999999997</v>
      </c>
      <c r="T542" s="20" t="s">
        <v>333</v>
      </c>
      <c r="U542" s="21" t="s">
        <v>355</v>
      </c>
      <c r="V542" s="29">
        <v>39.5</v>
      </c>
      <c r="W542" s="23">
        <v>7</v>
      </c>
      <c r="X542" s="24"/>
    </row>
    <row r="543" spans="1:24" s="1" customFormat="1" ht="11" customHeight="1" x14ac:dyDescent="0.3">
      <c r="A543" s="11" t="s">
        <v>607</v>
      </c>
      <c r="B543" s="11" t="s">
        <v>877</v>
      </c>
      <c r="C543" s="12" t="s">
        <v>885</v>
      </c>
      <c r="D543" s="85"/>
      <c r="E543" s="67" t="str">
        <f t="shared" ref="E543:E556" si="17">HYPERLINK("https://www.google.ru/search?q=275435-WHBK&amp;newwindow=1&amp;tbm=isch","Еще фото")</f>
        <v>Еще фото</v>
      </c>
      <c r="F543" s="14"/>
      <c r="G543" s="11" t="s">
        <v>153</v>
      </c>
      <c r="H543" s="11" t="s">
        <v>93</v>
      </c>
      <c r="I543" s="15" t="s">
        <v>154</v>
      </c>
      <c r="J543" s="15" t="s">
        <v>360</v>
      </c>
      <c r="K543" s="16" t="s">
        <v>59</v>
      </c>
      <c r="L543" s="83" t="s">
        <v>879</v>
      </c>
      <c r="M543" s="15"/>
      <c r="N543" s="15" t="s">
        <v>173</v>
      </c>
      <c r="O543" s="15"/>
      <c r="P543" s="16" t="s">
        <v>401</v>
      </c>
      <c r="Q543" s="17">
        <v>7999</v>
      </c>
      <c r="R543" s="18">
        <v>30</v>
      </c>
      <c r="S543" s="19">
        <v>6439.1949999999997</v>
      </c>
      <c r="T543" s="20" t="s">
        <v>333</v>
      </c>
      <c r="U543" s="21" t="s">
        <v>796</v>
      </c>
      <c r="V543" s="29">
        <v>32.5</v>
      </c>
      <c r="W543" s="23">
        <v>2</v>
      </c>
      <c r="X543" s="24"/>
    </row>
    <row r="544" spans="1:24" s="1" customFormat="1" ht="11" customHeight="1" x14ac:dyDescent="0.3">
      <c r="A544" s="25" t="s">
        <v>607</v>
      </c>
      <c r="B544" s="25" t="s">
        <v>877</v>
      </c>
      <c r="C544" s="12" t="s">
        <v>885</v>
      </c>
      <c r="D544" s="86"/>
      <c r="E544" s="67" t="str">
        <f t="shared" si="17"/>
        <v>Еще фото</v>
      </c>
      <c r="F544" s="14"/>
      <c r="G544" s="25" t="s">
        <v>153</v>
      </c>
      <c r="H544" s="25" t="s">
        <v>93</v>
      </c>
      <c r="I544" s="25" t="s">
        <v>154</v>
      </c>
      <c r="J544" s="15" t="s">
        <v>360</v>
      </c>
      <c r="K544" s="16" t="s">
        <v>59</v>
      </c>
      <c r="L544" s="88"/>
      <c r="M544" s="15"/>
      <c r="N544" s="15" t="s">
        <v>173</v>
      </c>
      <c r="O544" s="15"/>
      <c r="P544" s="16" t="s">
        <v>401</v>
      </c>
      <c r="Q544" s="17">
        <v>7999</v>
      </c>
      <c r="R544" s="18">
        <v>30</v>
      </c>
      <c r="S544" s="19">
        <v>6439.1949999999997</v>
      </c>
      <c r="T544" s="20" t="s">
        <v>333</v>
      </c>
      <c r="U544" s="21" t="s">
        <v>797</v>
      </c>
      <c r="V544" s="29">
        <v>33.5</v>
      </c>
      <c r="W544" s="23">
        <v>7</v>
      </c>
      <c r="X544" s="24"/>
    </row>
    <row r="545" spans="1:24" s="1" customFormat="1" ht="11" customHeight="1" x14ac:dyDescent="0.3">
      <c r="A545" s="25" t="s">
        <v>607</v>
      </c>
      <c r="B545" s="25" t="s">
        <v>877</v>
      </c>
      <c r="C545" s="12" t="s">
        <v>885</v>
      </c>
      <c r="D545" s="86"/>
      <c r="E545" s="67" t="str">
        <f t="shared" si="17"/>
        <v>Еще фото</v>
      </c>
      <c r="F545" s="14"/>
      <c r="G545" s="25" t="s">
        <v>153</v>
      </c>
      <c r="H545" s="25" t="s">
        <v>93</v>
      </c>
      <c r="I545" s="25" t="s">
        <v>154</v>
      </c>
      <c r="J545" s="15" t="s">
        <v>360</v>
      </c>
      <c r="K545" s="16" t="s">
        <v>59</v>
      </c>
      <c r="L545" s="88"/>
      <c r="M545" s="15"/>
      <c r="N545" s="15" t="s">
        <v>173</v>
      </c>
      <c r="O545" s="15"/>
      <c r="P545" s="16" t="s">
        <v>401</v>
      </c>
      <c r="Q545" s="17">
        <v>7999</v>
      </c>
      <c r="R545" s="18">
        <v>30</v>
      </c>
      <c r="S545" s="19">
        <v>6439.1949999999997</v>
      </c>
      <c r="T545" s="20" t="s">
        <v>333</v>
      </c>
      <c r="U545" s="21" t="s">
        <v>858</v>
      </c>
      <c r="V545" s="23">
        <v>34</v>
      </c>
      <c r="W545" s="23">
        <v>7</v>
      </c>
      <c r="X545" s="24"/>
    </row>
    <row r="546" spans="1:24" s="1" customFormat="1" ht="11" customHeight="1" x14ac:dyDescent="0.3">
      <c r="A546" s="25" t="s">
        <v>607</v>
      </c>
      <c r="B546" s="25" t="s">
        <v>877</v>
      </c>
      <c r="C546" s="12" t="s">
        <v>885</v>
      </c>
      <c r="D546" s="86"/>
      <c r="E546" s="67" t="str">
        <f t="shared" si="17"/>
        <v>Еще фото</v>
      </c>
      <c r="F546" s="14"/>
      <c r="G546" s="25" t="s">
        <v>153</v>
      </c>
      <c r="H546" s="25" t="s">
        <v>93</v>
      </c>
      <c r="I546" s="25" t="s">
        <v>154</v>
      </c>
      <c r="J546" s="15" t="s">
        <v>360</v>
      </c>
      <c r="K546" s="16" t="s">
        <v>59</v>
      </c>
      <c r="L546" s="88"/>
      <c r="M546" s="15"/>
      <c r="N546" s="15" t="s">
        <v>173</v>
      </c>
      <c r="O546" s="15"/>
      <c r="P546" s="16" t="s">
        <v>401</v>
      </c>
      <c r="Q546" s="17">
        <v>7999</v>
      </c>
      <c r="R546" s="18">
        <v>30</v>
      </c>
      <c r="S546" s="19">
        <v>6439.1949999999997</v>
      </c>
      <c r="T546" s="20" t="s">
        <v>333</v>
      </c>
      <c r="U546" s="21" t="s">
        <v>859</v>
      </c>
      <c r="V546" s="29">
        <v>34.5</v>
      </c>
      <c r="W546" s="23">
        <v>10</v>
      </c>
      <c r="X546" s="24"/>
    </row>
    <row r="547" spans="1:24" s="1" customFormat="1" ht="11" customHeight="1" x14ac:dyDescent="0.3">
      <c r="A547" s="25" t="s">
        <v>607</v>
      </c>
      <c r="B547" s="25" t="s">
        <v>877</v>
      </c>
      <c r="C547" s="12" t="s">
        <v>885</v>
      </c>
      <c r="D547" s="86"/>
      <c r="E547" s="67" t="str">
        <f t="shared" si="17"/>
        <v>Еще фото</v>
      </c>
      <c r="F547" s="14"/>
      <c r="G547" s="25" t="s">
        <v>153</v>
      </c>
      <c r="H547" s="25" t="s">
        <v>93</v>
      </c>
      <c r="I547" s="25" t="s">
        <v>154</v>
      </c>
      <c r="J547" s="15" t="s">
        <v>360</v>
      </c>
      <c r="K547" s="16" t="s">
        <v>59</v>
      </c>
      <c r="L547" s="88"/>
      <c r="M547" s="15"/>
      <c r="N547" s="15" t="s">
        <v>173</v>
      </c>
      <c r="O547" s="15"/>
      <c r="P547" s="16" t="s">
        <v>401</v>
      </c>
      <c r="Q547" s="17">
        <v>7999</v>
      </c>
      <c r="R547" s="18">
        <v>30</v>
      </c>
      <c r="S547" s="19">
        <v>6439.1949999999997</v>
      </c>
      <c r="T547" s="20" t="s">
        <v>333</v>
      </c>
      <c r="U547" s="21" t="s">
        <v>860</v>
      </c>
      <c r="V547" s="29">
        <v>35.5</v>
      </c>
      <c r="W547" s="23">
        <v>7</v>
      </c>
      <c r="X547" s="24"/>
    </row>
    <row r="548" spans="1:24" s="1" customFormat="1" ht="11" customHeight="1" x14ac:dyDescent="0.3">
      <c r="A548" s="25" t="s">
        <v>607</v>
      </c>
      <c r="B548" s="25" t="s">
        <v>877</v>
      </c>
      <c r="C548" s="12" t="s">
        <v>885</v>
      </c>
      <c r="D548" s="86"/>
      <c r="E548" s="67" t="str">
        <f t="shared" si="17"/>
        <v>Еще фото</v>
      </c>
      <c r="F548" s="14"/>
      <c r="G548" s="25" t="s">
        <v>153</v>
      </c>
      <c r="H548" s="25" t="s">
        <v>93</v>
      </c>
      <c r="I548" s="25" t="s">
        <v>154</v>
      </c>
      <c r="J548" s="15" t="s">
        <v>360</v>
      </c>
      <c r="K548" s="16" t="s">
        <v>59</v>
      </c>
      <c r="L548" s="88"/>
      <c r="M548" s="15"/>
      <c r="N548" s="15" t="s">
        <v>173</v>
      </c>
      <c r="O548" s="15"/>
      <c r="P548" s="16" t="s">
        <v>401</v>
      </c>
      <c r="Q548" s="17">
        <v>7999</v>
      </c>
      <c r="R548" s="18">
        <v>30</v>
      </c>
      <c r="S548" s="19">
        <v>6439.1949999999997</v>
      </c>
      <c r="T548" s="20" t="s">
        <v>333</v>
      </c>
      <c r="U548" s="21" t="s">
        <v>801</v>
      </c>
      <c r="V548" s="23">
        <v>33</v>
      </c>
      <c r="W548" s="23">
        <v>11</v>
      </c>
      <c r="X548" s="24"/>
    </row>
    <row r="549" spans="1:24" s="1" customFormat="1" ht="11" customHeight="1" x14ac:dyDescent="0.3">
      <c r="A549" s="25" t="s">
        <v>607</v>
      </c>
      <c r="B549" s="25" t="s">
        <v>877</v>
      </c>
      <c r="C549" s="12" t="s">
        <v>885</v>
      </c>
      <c r="D549" s="86"/>
      <c r="E549" s="67" t="str">
        <f t="shared" si="17"/>
        <v>Еще фото</v>
      </c>
      <c r="F549" s="14"/>
      <c r="G549" s="25" t="s">
        <v>153</v>
      </c>
      <c r="H549" s="25" t="s">
        <v>93</v>
      </c>
      <c r="I549" s="25" t="s">
        <v>154</v>
      </c>
      <c r="J549" s="15" t="s">
        <v>360</v>
      </c>
      <c r="K549" s="16" t="s">
        <v>59</v>
      </c>
      <c r="L549" s="88"/>
      <c r="M549" s="15"/>
      <c r="N549" s="15" t="s">
        <v>173</v>
      </c>
      <c r="O549" s="15"/>
      <c r="P549" s="16" t="s">
        <v>401</v>
      </c>
      <c r="Q549" s="17">
        <v>7999</v>
      </c>
      <c r="R549" s="18">
        <v>30</v>
      </c>
      <c r="S549" s="19">
        <v>6439.1949999999997</v>
      </c>
      <c r="T549" s="20" t="s">
        <v>333</v>
      </c>
      <c r="U549" s="21" t="s">
        <v>354</v>
      </c>
      <c r="V549" s="23">
        <v>36</v>
      </c>
      <c r="W549" s="23">
        <v>5</v>
      </c>
      <c r="X549" s="24"/>
    </row>
    <row r="550" spans="1:24" s="1" customFormat="1" ht="11" customHeight="1" x14ac:dyDescent="0.3">
      <c r="A550" s="25" t="s">
        <v>607</v>
      </c>
      <c r="B550" s="25" t="s">
        <v>877</v>
      </c>
      <c r="C550" s="12" t="s">
        <v>885</v>
      </c>
      <c r="D550" s="86"/>
      <c r="E550" s="67" t="str">
        <f t="shared" si="17"/>
        <v>Еще фото</v>
      </c>
      <c r="F550" s="14"/>
      <c r="G550" s="25" t="s">
        <v>153</v>
      </c>
      <c r="H550" s="25" t="s">
        <v>93</v>
      </c>
      <c r="I550" s="25" t="s">
        <v>154</v>
      </c>
      <c r="J550" s="15" t="s">
        <v>360</v>
      </c>
      <c r="K550" s="16" t="s">
        <v>59</v>
      </c>
      <c r="L550" s="88"/>
      <c r="M550" s="15"/>
      <c r="N550" s="15" t="s">
        <v>173</v>
      </c>
      <c r="O550" s="15"/>
      <c r="P550" s="16" t="s">
        <v>401</v>
      </c>
      <c r="Q550" s="17">
        <v>7999</v>
      </c>
      <c r="R550" s="18">
        <v>30</v>
      </c>
      <c r="S550" s="19">
        <v>6439.1949999999997</v>
      </c>
      <c r="T550" s="20" t="s">
        <v>333</v>
      </c>
      <c r="U550" s="21" t="s">
        <v>348</v>
      </c>
      <c r="V550" s="29">
        <v>36.5</v>
      </c>
      <c r="W550" s="23">
        <v>3</v>
      </c>
      <c r="X550" s="24"/>
    </row>
    <row r="551" spans="1:24" s="1" customFormat="1" ht="11" customHeight="1" x14ac:dyDescent="0.3">
      <c r="A551" s="25" t="s">
        <v>607</v>
      </c>
      <c r="B551" s="25" t="s">
        <v>877</v>
      </c>
      <c r="C551" s="12" t="s">
        <v>885</v>
      </c>
      <c r="D551" s="86"/>
      <c r="E551" s="67" t="str">
        <f t="shared" si="17"/>
        <v>Еще фото</v>
      </c>
      <c r="F551" s="14"/>
      <c r="G551" s="25" t="s">
        <v>153</v>
      </c>
      <c r="H551" s="25" t="s">
        <v>93</v>
      </c>
      <c r="I551" s="25" t="s">
        <v>154</v>
      </c>
      <c r="J551" s="15" t="s">
        <v>360</v>
      </c>
      <c r="K551" s="16" t="s">
        <v>59</v>
      </c>
      <c r="L551" s="88"/>
      <c r="M551" s="15"/>
      <c r="N551" s="15" t="s">
        <v>173</v>
      </c>
      <c r="O551" s="15"/>
      <c r="P551" s="16" t="s">
        <v>401</v>
      </c>
      <c r="Q551" s="17">
        <v>7999</v>
      </c>
      <c r="R551" s="18">
        <v>30</v>
      </c>
      <c r="S551" s="19">
        <v>6439.1949999999997</v>
      </c>
      <c r="T551" s="20" t="s">
        <v>333</v>
      </c>
      <c r="U551" s="21" t="s">
        <v>349</v>
      </c>
      <c r="V551" s="29">
        <v>37.5</v>
      </c>
      <c r="W551" s="23">
        <v>2</v>
      </c>
      <c r="X551" s="24"/>
    </row>
    <row r="552" spans="1:24" s="1" customFormat="1" ht="11" customHeight="1" x14ac:dyDescent="0.3">
      <c r="A552" s="15" t="s">
        <v>607</v>
      </c>
      <c r="B552" s="15" t="s">
        <v>877</v>
      </c>
      <c r="C552" s="12" t="s">
        <v>885</v>
      </c>
      <c r="D552" s="86"/>
      <c r="E552" s="67" t="str">
        <f t="shared" si="17"/>
        <v>Еще фото</v>
      </c>
      <c r="F552" s="56"/>
      <c r="G552" s="15" t="s">
        <v>153</v>
      </c>
      <c r="H552" s="15" t="s">
        <v>93</v>
      </c>
      <c r="I552" s="15" t="s">
        <v>154</v>
      </c>
      <c r="J552" s="15" t="s">
        <v>360</v>
      </c>
      <c r="K552" s="15" t="s">
        <v>59</v>
      </c>
      <c r="L552" s="88"/>
      <c r="M552" s="15"/>
      <c r="N552" s="15" t="s">
        <v>173</v>
      </c>
      <c r="O552" s="15"/>
      <c r="P552" s="15" t="s">
        <v>401</v>
      </c>
      <c r="Q552" s="57">
        <v>7999</v>
      </c>
      <c r="R552" s="58">
        <v>30</v>
      </c>
      <c r="S552" s="59">
        <v>6439.1949999999997</v>
      </c>
      <c r="T552" s="20" t="s">
        <v>333</v>
      </c>
      <c r="U552" s="21" t="s">
        <v>334</v>
      </c>
      <c r="V552" s="23">
        <v>38</v>
      </c>
      <c r="W552" s="23">
        <v>4</v>
      </c>
      <c r="X552" s="24"/>
    </row>
    <row r="553" spans="1:24" s="1" customFormat="1" ht="11" customHeight="1" x14ac:dyDescent="0.3">
      <c r="A553" s="15" t="s">
        <v>607</v>
      </c>
      <c r="B553" s="15" t="s">
        <v>877</v>
      </c>
      <c r="C553" s="12" t="s">
        <v>885</v>
      </c>
      <c r="D553" s="86"/>
      <c r="E553" s="67" t="str">
        <f t="shared" si="17"/>
        <v>Еще фото</v>
      </c>
      <c r="F553" s="56"/>
      <c r="G553" s="15" t="s">
        <v>153</v>
      </c>
      <c r="H553" s="15" t="s">
        <v>93</v>
      </c>
      <c r="I553" s="15" t="s">
        <v>154</v>
      </c>
      <c r="J553" s="15" t="s">
        <v>360</v>
      </c>
      <c r="K553" s="15" t="s">
        <v>59</v>
      </c>
      <c r="L553" s="88"/>
      <c r="M553" s="15"/>
      <c r="N553" s="15" t="s">
        <v>173</v>
      </c>
      <c r="O553" s="15"/>
      <c r="P553" s="15" t="s">
        <v>401</v>
      </c>
      <c r="Q553" s="57">
        <v>7999</v>
      </c>
      <c r="R553" s="58">
        <v>30</v>
      </c>
      <c r="S553" s="59">
        <v>6439.1949999999997</v>
      </c>
      <c r="T553" s="20" t="s">
        <v>333</v>
      </c>
      <c r="U553" s="21" t="s">
        <v>806</v>
      </c>
      <c r="V553" s="23">
        <v>31</v>
      </c>
      <c r="W553" s="23">
        <v>6</v>
      </c>
      <c r="X553" s="24"/>
    </row>
    <row r="554" spans="1:24" s="1" customFormat="1" ht="11" customHeight="1" x14ac:dyDescent="0.3">
      <c r="A554" s="15" t="s">
        <v>607</v>
      </c>
      <c r="B554" s="15" t="s">
        <v>877</v>
      </c>
      <c r="C554" s="12" t="s">
        <v>885</v>
      </c>
      <c r="D554" s="86"/>
      <c r="E554" s="67" t="str">
        <f t="shared" si="17"/>
        <v>Еще фото</v>
      </c>
      <c r="F554" s="56"/>
      <c r="G554" s="15" t="s">
        <v>153</v>
      </c>
      <c r="H554" s="15" t="s">
        <v>93</v>
      </c>
      <c r="I554" s="15" t="s">
        <v>154</v>
      </c>
      <c r="J554" s="15" t="s">
        <v>360</v>
      </c>
      <c r="K554" s="15" t="s">
        <v>59</v>
      </c>
      <c r="L554" s="88"/>
      <c r="M554" s="15"/>
      <c r="N554" s="15" t="s">
        <v>173</v>
      </c>
      <c r="O554" s="15"/>
      <c r="P554" s="15" t="s">
        <v>401</v>
      </c>
      <c r="Q554" s="57">
        <v>7999</v>
      </c>
      <c r="R554" s="58">
        <v>30</v>
      </c>
      <c r="S554" s="59">
        <v>6439.1949999999997</v>
      </c>
      <c r="T554" s="20" t="s">
        <v>333</v>
      </c>
      <c r="U554" s="21" t="s">
        <v>335</v>
      </c>
      <c r="V554" s="29">
        <v>38.5</v>
      </c>
      <c r="W554" s="23">
        <v>8</v>
      </c>
      <c r="X554" s="24"/>
    </row>
    <row r="555" spans="1:24" s="1" customFormat="1" ht="11" customHeight="1" x14ac:dyDescent="0.3">
      <c r="A555" s="15" t="s">
        <v>607</v>
      </c>
      <c r="B555" s="15" t="s">
        <v>877</v>
      </c>
      <c r="C555" s="12" t="s">
        <v>885</v>
      </c>
      <c r="D555" s="86"/>
      <c r="E555" s="67" t="str">
        <f t="shared" si="17"/>
        <v>Еще фото</v>
      </c>
      <c r="F555" s="56"/>
      <c r="G555" s="15" t="s">
        <v>153</v>
      </c>
      <c r="H555" s="15" t="s">
        <v>93</v>
      </c>
      <c r="I555" s="15" t="s">
        <v>154</v>
      </c>
      <c r="J555" s="15" t="s">
        <v>360</v>
      </c>
      <c r="K555" s="15" t="s">
        <v>59</v>
      </c>
      <c r="L555" s="88"/>
      <c r="M555" s="15"/>
      <c r="N555" s="15" t="s">
        <v>173</v>
      </c>
      <c r="O555" s="15"/>
      <c r="P555" s="15" t="s">
        <v>401</v>
      </c>
      <c r="Q555" s="57">
        <v>7999</v>
      </c>
      <c r="R555" s="58">
        <v>30</v>
      </c>
      <c r="S555" s="59">
        <v>6439.1949999999997</v>
      </c>
      <c r="T555" s="20" t="s">
        <v>333</v>
      </c>
      <c r="U555" s="21" t="s">
        <v>807</v>
      </c>
      <c r="V555" s="29">
        <v>31.5</v>
      </c>
      <c r="W555" s="23">
        <v>4</v>
      </c>
      <c r="X555" s="24"/>
    </row>
    <row r="556" spans="1:24" s="1" customFormat="1" ht="11" customHeight="1" x14ac:dyDescent="0.3">
      <c r="A556" s="15" t="s">
        <v>607</v>
      </c>
      <c r="B556" s="15" t="s">
        <v>877</v>
      </c>
      <c r="C556" s="12" t="s">
        <v>885</v>
      </c>
      <c r="D556" s="87"/>
      <c r="E556" s="67" t="str">
        <f t="shared" si="17"/>
        <v>Еще фото</v>
      </c>
      <c r="F556" s="56"/>
      <c r="G556" s="15" t="s">
        <v>153</v>
      </c>
      <c r="H556" s="15" t="s">
        <v>93</v>
      </c>
      <c r="I556" s="15" t="s">
        <v>154</v>
      </c>
      <c r="J556" s="15" t="s">
        <v>360</v>
      </c>
      <c r="K556" s="15" t="s">
        <v>59</v>
      </c>
      <c r="L556" s="84"/>
      <c r="M556" s="15"/>
      <c r="N556" s="15" t="s">
        <v>173</v>
      </c>
      <c r="O556" s="15"/>
      <c r="P556" s="15" t="s">
        <v>401</v>
      </c>
      <c r="Q556" s="57">
        <v>7999</v>
      </c>
      <c r="R556" s="58">
        <v>30</v>
      </c>
      <c r="S556" s="59">
        <v>6439.1949999999997</v>
      </c>
      <c r="T556" s="20" t="s">
        <v>333</v>
      </c>
      <c r="U556" s="21" t="s">
        <v>355</v>
      </c>
      <c r="V556" s="29">
        <v>39.5</v>
      </c>
      <c r="W556" s="23">
        <v>7</v>
      </c>
      <c r="X556" s="24"/>
    </row>
    <row r="557" spans="1:24" s="1" customFormat="1" ht="26" customHeight="1" x14ac:dyDescent="0.3">
      <c r="A557" s="11" t="s">
        <v>607</v>
      </c>
      <c r="B557" s="11" t="s">
        <v>886</v>
      </c>
      <c r="C557" s="12" t="s">
        <v>887</v>
      </c>
      <c r="D557" s="85"/>
      <c r="E557" s="67" t="str">
        <f>HYPERLINK("https://www.google.ru/search?q=275535-WHBK&amp;newwindow=1&amp;tbm=isch","Еще фото")</f>
        <v>Еще фото</v>
      </c>
      <c r="F557" s="14"/>
      <c r="G557" s="11" t="s">
        <v>153</v>
      </c>
      <c r="H557" s="11" t="s">
        <v>93</v>
      </c>
      <c r="I557" s="15" t="s">
        <v>154</v>
      </c>
      <c r="J557" s="15" t="s">
        <v>360</v>
      </c>
      <c r="K557" s="16" t="s">
        <v>59</v>
      </c>
      <c r="L557" s="83" t="s">
        <v>888</v>
      </c>
      <c r="M557" s="15"/>
      <c r="N557" s="15" t="s">
        <v>173</v>
      </c>
      <c r="O557" s="15"/>
      <c r="P557" s="16" t="s">
        <v>401</v>
      </c>
      <c r="Q557" s="17">
        <v>7999</v>
      </c>
      <c r="R557" s="18">
        <v>30</v>
      </c>
      <c r="S557" s="19">
        <v>6439.1949999999997</v>
      </c>
      <c r="T557" s="20" t="s">
        <v>333</v>
      </c>
      <c r="U557" s="21" t="s">
        <v>796</v>
      </c>
      <c r="V557" s="29">
        <v>32.5</v>
      </c>
      <c r="W557" s="23">
        <v>1</v>
      </c>
      <c r="X557" s="24"/>
    </row>
    <row r="558" spans="1:24" s="1" customFormat="1" ht="26" customHeight="1" x14ac:dyDescent="0.3">
      <c r="A558" s="25" t="s">
        <v>607</v>
      </c>
      <c r="B558" s="25" t="s">
        <v>886</v>
      </c>
      <c r="C558" s="12" t="s">
        <v>887</v>
      </c>
      <c r="D558" s="86"/>
      <c r="E558" s="67" t="str">
        <f>HYPERLINK("https://www.google.ru/search?q=275535-WHBK&amp;newwindow=1&amp;tbm=isch","Еще фото")</f>
        <v>Еще фото</v>
      </c>
      <c r="F558" s="14"/>
      <c r="G558" s="25" t="s">
        <v>153</v>
      </c>
      <c r="H558" s="25" t="s">
        <v>93</v>
      </c>
      <c r="I558" s="25" t="s">
        <v>154</v>
      </c>
      <c r="J558" s="15" t="s">
        <v>360</v>
      </c>
      <c r="K558" s="16" t="s">
        <v>59</v>
      </c>
      <c r="L558" s="88"/>
      <c r="M558" s="15"/>
      <c r="N558" s="15" t="s">
        <v>173</v>
      </c>
      <c r="O558" s="15"/>
      <c r="P558" s="16" t="s">
        <v>401</v>
      </c>
      <c r="Q558" s="17">
        <v>7999</v>
      </c>
      <c r="R558" s="18">
        <v>30</v>
      </c>
      <c r="S558" s="19">
        <v>6439.1949999999997</v>
      </c>
      <c r="T558" s="20" t="s">
        <v>333</v>
      </c>
      <c r="U558" s="21" t="s">
        <v>799</v>
      </c>
      <c r="V558" s="23">
        <v>27</v>
      </c>
      <c r="W558" s="23">
        <v>2</v>
      </c>
      <c r="X558" s="24"/>
    </row>
    <row r="559" spans="1:24" s="1" customFormat="1" ht="26" customHeight="1" x14ac:dyDescent="0.3">
      <c r="A559" s="25" t="s">
        <v>607</v>
      </c>
      <c r="B559" s="25" t="s">
        <v>886</v>
      </c>
      <c r="C559" s="12" t="s">
        <v>887</v>
      </c>
      <c r="D559" s="86"/>
      <c r="E559" s="67" t="str">
        <f>HYPERLINK("https://www.google.ru/search?q=275535-WHBK&amp;newwindow=1&amp;tbm=isch","Еще фото")</f>
        <v>Еще фото</v>
      </c>
      <c r="F559" s="14"/>
      <c r="G559" s="25" t="s">
        <v>153</v>
      </c>
      <c r="H559" s="25" t="s">
        <v>93</v>
      </c>
      <c r="I559" s="25" t="s">
        <v>154</v>
      </c>
      <c r="J559" s="15" t="s">
        <v>360</v>
      </c>
      <c r="K559" s="16" t="s">
        <v>59</v>
      </c>
      <c r="L559" s="88"/>
      <c r="M559" s="15"/>
      <c r="N559" s="15" t="s">
        <v>173</v>
      </c>
      <c r="O559" s="15"/>
      <c r="P559" s="16" t="s">
        <v>401</v>
      </c>
      <c r="Q559" s="17">
        <v>7999</v>
      </c>
      <c r="R559" s="18">
        <v>30</v>
      </c>
      <c r="S559" s="19">
        <v>6439.1949999999997</v>
      </c>
      <c r="T559" s="20" t="s">
        <v>333</v>
      </c>
      <c r="U559" s="21" t="s">
        <v>800</v>
      </c>
      <c r="V559" s="29">
        <v>27.5</v>
      </c>
      <c r="W559" s="23">
        <v>5</v>
      </c>
      <c r="X559" s="24"/>
    </row>
    <row r="560" spans="1:24" s="1" customFormat="1" ht="26" customHeight="1" x14ac:dyDescent="0.3">
      <c r="A560" s="25" t="s">
        <v>607</v>
      </c>
      <c r="B560" s="25" t="s">
        <v>886</v>
      </c>
      <c r="C560" s="12" t="s">
        <v>887</v>
      </c>
      <c r="D560" s="87"/>
      <c r="E560" s="67" t="str">
        <f>HYPERLINK("https://www.google.ru/search?q=275535-WHBK&amp;newwindow=1&amp;tbm=isch","Еще фото")</f>
        <v>Еще фото</v>
      </c>
      <c r="F560" s="14"/>
      <c r="G560" s="25" t="s">
        <v>153</v>
      </c>
      <c r="H560" s="25" t="s">
        <v>93</v>
      </c>
      <c r="I560" s="25" t="s">
        <v>154</v>
      </c>
      <c r="J560" s="15" t="s">
        <v>360</v>
      </c>
      <c r="K560" s="16" t="s">
        <v>59</v>
      </c>
      <c r="L560" s="84"/>
      <c r="M560" s="15"/>
      <c r="N560" s="15" t="s">
        <v>173</v>
      </c>
      <c r="O560" s="15"/>
      <c r="P560" s="16" t="s">
        <v>401</v>
      </c>
      <c r="Q560" s="17">
        <v>7999</v>
      </c>
      <c r="R560" s="18">
        <v>30</v>
      </c>
      <c r="S560" s="19">
        <v>6439.1949999999997</v>
      </c>
      <c r="T560" s="20" t="s">
        <v>333</v>
      </c>
      <c r="U560" s="21" t="s">
        <v>807</v>
      </c>
      <c r="V560" s="29">
        <v>31.5</v>
      </c>
      <c r="W560" s="23">
        <v>2</v>
      </c>
      <c r="X560" s="24"/>
    </row>
    <row r="561" spans="1:24" s="1" customFormat="1" ht="108" customHeight="1" x14ac:dyDescent="0.3">
      <c r="A561" s="11" t="s">
        <v>607</v>
      </c>
      <c r="B561" s="11" t="s">
        <v>889</v>
      </c>
      <c r="C561" s="12" t="s">
        <v>890</v>
      </c>
      <c r="D561" s="13"/>
      <c r="E561" s="67" t="str">
        <f>HYPERLINK("https://www.google.ru/search?q=HDWCO7200-1070&amp;newwindow=1&amp;tbm=isch","Еще фото")</f>
        <v>Еще фото</v>
      </c>
      <c r="F561" s="14"/>
      <c r="G561" s="11" t="s">
        <v>891</v>
      </c>
      <c r="H561" s="11" t="s">
        <v>93</v>
      </c>
      <c r="I561" s="15" t="s">
        <v>196</v>
      </c>
      <c r="J561" s="15" t="s">
        <v>28</v>
      </c>
      <c r="K561" s="16" t="s">
        <v>29</v>
      </c>
      <c r="L561" s="15" t="s">
        <v>892</v>
      </c>
      <c r="M561" s="15"/>
      <c r="N561" s="15" t="s">
        <v>173</v>
      </c>
      <c r="O561" s="15"/>
      <c r="P561" s="16" t="s">
        <v>893</v>
      </c>
      <c r="Q561" s="17">
        <v>9799</v>
      </c>
      <c r="R561" s="18">
        <v>67.37</v>
      </c>
      <c r="S561" s="19">
        <v>3677.4354999999996</v>
      </c>
      <c r="T561" s="20" t="s">
        <v>99</v>
      </c>
      <c r="U561" s="21" t="s">
        <v>894</v>
      </c>
      <c r="V561" s="23">
        <v>35</v>
      </c>
      <c r="W561" s="23">
        <v>2</v>
      </c>
      <c r="X561" s="24"/>
    </row>
    <row r="562" spans="1:24" s="1" customFormat="1" ht="108" customHeight="1" x14ac:dyDescent="0.3">
      <c r="A562" s="11" t="s">
        <v>607</v>
      </c>
      <c r="B562" s="11" t="s">
        <v>895</v>
      </c>
      <c r="C562" s="12" t="s">
        <v>896</v>
      </c>
      <c r="D562" s="13"/>
      <c r="E562" s="67" t="str">
        <f>HYPERLINK("https://www.google.ru/search?q=HDW315020-4220&amp;newwindow=1&amp;tbm=isch","Еще фото")</f>
        <v>Еще фото</v>
      </c>
      <c r="F562" s="14"/>
      <c r="G562" s="11" t="s">
        <v>153</v>
      </c>
      <c r="H562" s="11" t="s">
        <v>93</v>
      </c>
      <c r="I562" s="15" t="s">
        <v>196</v>
      </c>
      <c r="J562" s="15" t="s">
        <v>28</v>
      </c>
      <c r="K562" s="16" t="s">
        <v>29</v>
      </c>
      <c r="L562" s="15" t="s">
        <v>897</v>
      </c>
      <c r="M562" s="15"/>
      <c r="N562" s="15" t="s">
        <v>218</v>
      </c>
      <c r="O562" s="15"/>
      <c r="P562" s="16" t="s">
        <v>898</v>
      </c>
      <c r="Q562" s="17">
        <v>10190</v>
      </c>
      <c r="R562" s="18">
        <v>66.75</v>
      </c>
      <c r="S562" s="19">
        <v>3895.9354999999996</v>
      </c>
      <c r="T562" s="20" t="s">
        <v>99</v>
      </c>
      <c r="U562" s="21" t="s">
        <v>170</v>
      </c>
      <c r="V562" s="23">
        <v>36</v>
      </c>
      <c r="W562" s="23">
        <v>2</v>
      </c>
      <c r="X562" s="24"/>
    </row>
    <row r="563" spans="1:24" s="1" customFormat="1" ht="108" customHeight="1" x14ac:dyDescent="0.3">
      <c r="A563" s="11" t="s">
        <v>607</v>
      </c>
      <c r="B563" s="11" t="s">
        <v>899</v>
      </c>
      <c r="C563" s="12" t="s">
        <v>900</v>
      </c>
      <c r="D563" s="13"/>
      <c r="E563" s="67" t="str">
        <f>HYPERLINK("https://www.google.ru/search?q=HDW315015-7120&amp;newwindow=1&amp;tbm=isch","Еще фото")</f>
        <v>Еще фото</v>
      </c>
      <c r="F563" s="14"/>
      <c r="G563" s="11" t="s">
        <v>153</v>
      </c>
      <c r="H563" s="11" t="s">
        <v>93</v>
      </c>
      <c r="I563" s="15" t="s">
        <v>196</v>
      </c>
      <c r="J563" s="15" t="s">
        <v>28</v>
      </c>
      <c r="K563" s="16" t="s">
        <v>29</v>
      </c>
      <c r="L563" s="15" t="s">
        <v>897</v>
      </c>
      <c r="M563" s="15"/>
      <c r="N563" s="15" t="s">
        <v>55</v>
      </c>
      <c r="O563" s="15"/>
      <c r="P563" s="16" t="s">
        <v>898</v>
      </c>
      <c r="Q563" s="17">
        <v>9090</v>
      </c>
      <c r="R563" s="18">
        <v>64.930000000000007</v>
      </c>
      <c r="S563" s="19">
        <v>3665.9354999999996</v>
      </c>
      <c r="T563" s="20" t="s">
        <v>99</v>
      </c>
      <c r="U563" s="21" t="s">
        <v>894</v>
      </c>
      <c r="V563" s="23">
        <v>35</v>
      </c>
      <c r="W563" s="23">
        <v>3</v>
      </c>
      <c r="X563" s="24"/>
    </row>
    <row r="564" spans="1:24" s="1" customFormat="1" ht="108" customHeight="1" x14ac:dyDescent="0.3">
      <c r="A564" s="11" t="s">
        <v>607</v>
      </c>
      <c r="B564" s="11" t="s">
        <v>901</v>
      </c>
      <c r="C564" s="12" t="s">
        <v>902</v>
      </c>
      <c r="D564" s="13"/>
      <c r="E564" s="67" t="str">
        <f>HYPERLINK("https://www.google.ru/search?q=HDW318405-2081&amp;newwindow=1&amp;tbm=isch","Еще фото")</f>
        <v>Еще фото</v>
      </c>
      <c r="F564" s="14"/>
      <c r="G564" s="11" t="s">
        <v>153</v>
      </c>
      <c r="H564" s="11" t="s">
        <v>93</v>
      </c>
      <c r="I564" s="15" t="s">
        <v>196</v>
      </c>
      <c r="J564" s="15" t="s">
        <v>28</v>
      </c>
      <c r="K564" s="16" t="s">
        <v>29</v>
      </c>
      <c r="L564" s="15" t="s">
        <v>903</v>
      </c>
      <c r="M564" s="15"/>
      <c r="N564" s="15" t="s">
        <v>38</v>
      </c>
      <c r="O564" s="15"/>
      <c r="P564" s="16" t="s">
        <v>904</v>
      </c>
      <c r="Q564" s="17">
        <v>5890</v>
      </c>
      <c r="R564" s="18">
        <v>45.67</v>
      </c>
      <c r="S564" s="19">
        <v>3679.9884999999995</v>
      </c>
      <c r="T564" s="20" t="s">
        <v>99</v>
      </c>
      <c r="U564" s="21" t="s">
        <v>894</v>
      </c>
      <c r="V564" s="23">
        <v>35</v>
      </c>
      <c r="W564" s="23">
        <v>2</v>
      </c>
      <c r="X564" s="24"/>
    </row>
    <row r="565" spans="1:24" s="1" customFormat="1" ht="52.05" customHeight="1" x14ac:dyDescent="0.3">
      <c r="A565" s="11" t="s">
        <v>607</v>
      </c>
      <c r="B565" s="11" t="s">
        <v>905</v>
      </c>
      <c r="C565" s="12" t="s">
        <v>906</v>
      </c>
      <c r="D565" s="81"/>
      <c r="E565" s="67" t="str">
        <f>HYPERLINK("https://www.google.ru/search?q=273166-LGPN&amp;newwindow=1&amp;tbm=isch","Еще фото")</f>
        <v>Еще фото</v>
      </c>
      <c r="F565" s="14"/>
      <c r="G565" s="11" t="s">
        <v>153</v>
      </c>
      <c r="H565" s="11" t="s">
        <v>93</v>
      </c>
      <c r="I565" s="15" t="s">
        <v>196</v>
      </c>
      <c r="J565" s="15" t="s">
        <v>360</v>
      </c>
      <c r="K565" s="16" t="s">
        <v>45</v>
      </c>
      <c r="L565" s="83" t="s">
        <v>907</v>
      </c>
      <c r="M565" s="15"/>
      <c r="N565" s="15" t="s">
        <v>218</v>
      </c>
      <c r="O565" s="15"/>
      <c r="P565" s="16" t="s">
        <v>908</v>
      </c>
      <c r="Q565" s="17">
        <v>15999</v>
      </c>
      <c r="R565" s="18">
        <v>45.62</v>
      </c>
      <c r="S565" s="19">
        <v>10004.988499999999</v>
      </c>
      <c r="T565" s="20" t="s">
        <v>333</v>
      </c>
      <c r="U565" s="21" t="s">
        <v>343</v>
      </c>
      <c r="V565" s="23">
        <v>41</v>
      </c>
      <c r="W565" s="23">
        <v>1</v>
      </c>
      <c r="X565" s="24"/>
    </row>
    <row r="566" spans="1:24" s="1" customFormat="1" ht="61.05" customHeight="1" x14ac:dyDescent="0.3">
      <c r="A566" s="25" t="s">
        <v>607</v>
      </c>
      <c r="B566" s="25" t="s">
        <v>905</v>
      </c>
      <c r="C566" s="12" t="s">
        <v>906</v>
      </c>
      <c r="D566" s="82"/>
      <c r="E566" s="67" t="str">
        <f>HYPERLINK("https://www.google.ru/search?q=273166-LGPN&amp;newwindow=1&amp;tbm=isch","Еще фото")</f>
        <v>Еще фото</v>
      </c>
      <c r="F566" s="14"/>
      <c r="G566" s="25" t="s">
        <v>153</v>
      </c>
      <c r="H566" s="25" t="s">
        <v>93</v>
      </c>
      <c r="I566" s="25" t="s">
        <v>196</v>
      </c>
      <c r="J566" s="15" t="s">
        <v>360</v>
      </c>
      <c r="K566" s="16" t="s">
        <v>45</v>
      </c>
      <c r="L566" s="84"/>
      <c r="M566" s="15"/>
      <c r="N566" s="15" t="s">
        <v>218</v>
      </c>
      <c r="O566" s="15"/>
      <c r="P566" s="16" t="s">
        <v>908</v>
      </c>
      <c r="Q566" s="17">
        <v>15999</v>
      </c>
      <c r="R566" s="18">
        <v>45.62</v>
      </c>
      <c r="S566" s="19">
        <v>10004.988499999999</v>
      </c>
      <c r="T566" s="20" t="s">
        <v>333</v>
      </c>
      <c r="U566" s="21" t="s">
        <v>345</v>
      </c>
      <c r="V566" s="23">
        <v>42</v>
      </c>
      <c r="W566" s="23">
        <v>1</v>
      </c>
      <c r="X566" s="24"/>
    </row>
    <row r="567" spans="1:24" s="1" customFormat="1" ht="108" customHeight="1" x14ac:dyDescent="0.3">
      <c r="A567" s="11" t="s">
        <v>607</v>
      </c>
      <c r="B567" s="11" t="s">
        <v>909</v>
      </c>
      <c r="C567" s="12" t="s">
        <v>910</v>
      </c>
      <c r="D567" s="13"/>
      <c r="E567" s="67" t="str">
        <f>HYPERLINK("https://www.google.ru/search?q=273246-LGPN&amp;newwindow=1&amp;tbm=isch","Еще фото")</f>
        <v>Еще фото</v>
      </c>
      <c r="F567" s="14"/>
      <c r="G567" s="11" t="s">
        <v>153</v>
      </c>
      <c r="H567" s="11" t="s">
        <v>93</v>
      </c>
      <c r="I567" s="15" t="s">
        <v>196</v>
      </c>
      <c r="J567" s="15" t="s">
        <v>360</v>
      </c>
      <c r="K567" s="16" t="s">
        <v>45</v>
      </c>
      <c r="L567" s="15" t="s">
        <v>788</v>
      </c>
      <c r="M567" s="15"/>
      <c r="N567" s="15" t="s">
        <v>218</v>
      </c>
      <c r="O567" s="15"/>
      <c r="P567" s="16" t="s">
        <v>770</v>
      </c>
      <c r="Q567" s="17">
        <v>15999</v>
      </c>
      <c r="R567" s="18">
        <v>45.62</v>
      </c>
      <c r="S567" s="19">
        <v>10004.988499999999</v>
      </c>
      <c r="T567" s="20" t="s">
        <v>333</v>
      </c>
      <c r="U567" s="21" t="s">
        <v>345</v>
      </c>
      <c r="V567" s="23">
        <v>42</v>
      </c>
      <c r="W567" s="23">
        <v>1</v>
      </c>
      <c r="X567" s="24"/>
    </row>
    <row r="568" spans="1:24" s="1" customFormat="1" ht="108" customHeight="1" x14ac:dyDescent="0.3">
      <c r="A568" s="11" t="s">
        <v>607</v>
      </c>
      <c r="B568" s="11" t="s">
        <v>889</v>
      </c>
      <c r="C568" s="12" t="s">
        <v>911</v>
      </c>
      <c r="D568" s="13"/>
      <c r="E568" s="67" t="str">
        <f>HYPERLINK("https://www.google.ru/search?q=HDWCO7200-1080&amp;newwindow=1&amp;tbm=isch","Еще фото")</f>
        <v>Еще фото</v>
      </c>
      <c r="F568" s="14"/>
      <c r="G568" s="11" t="s">
        <v>891</v>
      </c>
      <c r="H568" s="11" t="s">
        <v>93</v>
      </c>
      <c r="I568" s="15" t="s">
        <v>196</v>
      </c>
      <c r="J568" s="15" t="s">
        <v>28</v>
      </c>
      <c r="K568" s="16" t="s">
        <v>29</v>
      </c>
      <c r="L568" s="15" t="s">
        <v>892</v>
      </c>
      <c r="M568" s="15"/>
      <c r="N568" s="15" t="s">
        <v>543</v>
      </c>
      <c r="O568" s="15"/>
      <c r="P568" s="16" t="s">
        <v>893</v>
      </c>
      <c r="Q568" s="17">
        <v>11290</v>
      </c>
      <c r="R568" s="18">
        <v>45.08</v>
      </c>
      <c r="S568" s="19">
        <v>7129.9884999999995</v>
      </c>
      <c r="T568" s="20" t="s">
        <v>99</v>
      </c>
      <c r="U568" s="21" t="s">
        <v>894</v>
      </c>
      <c r="V568" s="23">
        <v>35</v>
      </c>
      <c r="W568" s="23">
        <v>1</v>
      </c>
      <c r="X568" s="24"/>
    </row>
    <row r="569" spans="1:24" s="1" customFormat="1" ht="11" customHeight="1" x14ac:dyDescent="0.3">
      <c r="A569" s="11" t="s">
        <v>607</v>
      </c>
      <c r="B569" s="11" t="s">
        <v>912</v>
      </c>
      <c r="C569" s="12" t="s">
        <v>913</v>
      </c>
      <c r="D569" s="85"/>
      <c r="E569" s="67" t="str">
        <f t="shared" ref="E569:E577" si="18">HYPERLINK("https://www.google.ru/search?q=273505-BKGR&amp;newwindow=1&amp;tbm=isch","Еще фото")</f>
        <v>Еще фото</v>
      </c>
      <c r="F569" s="14"/>
      <c r="G569" s="11" t="s">
        <v>153</v>
      </c>
      <c r="H569" s="11" t="s">
        <v>93</v>
      </c>
      <c r="I569" s="15" t="s">
        <v>196</v>
      </c>
      <c r="J569" s="15" t="s">
        <v>360</v>
      </c>
      <c r="K569" s="16" t="s">
        <v>45</v>
      </c>
      <c r="L569" s="83" t="s">
        <v>914</v>
      </c>
      <c r="M569" s="15"/>
      <c r="N569" s="15" t="s">
        <v>322</v>
      </c>
      <c r="O569" s="15"/>
      <c r="P569" s="16" t="s">
        <v>401</v>
      </c>
      <c r="Q569" s="17">
        <v>9599</v>
      </c>
      <c r="R569" s="18">
        <v>30</v>
      </c>
      <c r="S569" s="19">
        <v>7727.1949999999997</v>
      </c>
      <c r="T569" s="20" t="s">
        <v>333</v>
      </c>
      <c r="U569" s="21" t="s">
        <v>355</v>
      </c>
      <c r="V569" s="23">
        <v>39</v>
      </c>
      <c r="W569" s="23">
        <v>3</v>
      </c>
      <c r="X569" s="24"/>
    </row>
    <row r="570" spans="1:24" s="1" customFormat="1" ht="11" customHeight="1" x14ac:dyDescent="0.3">
      <c r="A570" s="25" t="s">
        <v>607</v>
      </c>
      <c r="B570" s="25" t="s">
        <v>912</v>
      </c>
      <c r="C570" s="12" t="s">
        <v>913</v>
      </c>
      <c r="D570" s="86"/>
      <c r="E570" s="67" t="str">
        <f t="shared" si="18"/>
        <v>Еще фото</v>
      </c>
      <c r="F570" s="14"/>
      <c r="G570" s="25" t="s">
        <v>153</v>
      </c>
      <c r="H570" s="25" t="s">
        <v>93</v>
      </c>
      <c r="I570" s="25" t="s">
        <v>196</v>
      </c>
      <c r="J570" s="15" t="s">
        <v>360</v>
      </c>
      <c r="K570" s="16" t="s">
        <v>45</v>
      </c>
      <c r="L570" s="88"/>
      <c r="M570" s="15"/>
      <c r="N570" s="15" t="s">
        <v>322</v>
      </c>
      <c r="O570" s="15"/>
      <c r="P570" s="16" t="s">
        <v>401</v>
      </c>
      <c r="Q570" s="17">
        <v>9599</v>
      </c>
      <c r="R570" s="18">
        <v>30</v>
      </c>
      <c r="S570" s="19">
        <v>7727.1949999999997</v>
      </c>
      <c r="T570" s="20" t="s">
        <v>333</v>
      </c>
      <c r="U570" s="21" t="s">
        <v>356</v>
      </c>
      <c r="V570" s="29">
        <v>39.5</v>
      </c>
      <c r="W570" s="23">
        <v>2</v>
      </c>
      <c r="X570" s="24"/>
    </row>
    <row r="571" spans="1:24" s="1" customFormat="1" ht="11" customHeight="1" x14ac:dyDescent="0.3">
      <c r="A571" s="25" t="s">
        <v>607</v>
      </c>
      <c r="B571" s="25" t="s">
        <v>912</v>
      </c>
      <c r="C571" s="12" t="s">
        <v>913</v>
      </c>
      <c r="D571" s="86"/>
      <c r="E571" s="67" t="str">
        <f t="shared" si="18"/>
        <v>Еще фото</v>
      </c>
      <c r="F571" s="14"/>
      <c r="G571" s="25" t="s">
        <v>153</v>
      </c>
      <c r="H571" s="25" t="s">
        <v>93</v>
      </c>
      <c r="I571" s="25" t="s">
        <v>196</v>
      </c>
      <c r="J571" s="15" t="s">
        <v>360</v>
      </c>
      <c r="K571" s="16" t="s">
        <v>45</v>
      </c>
      <c r="L571" s="88"/>
      <c r="M571" s="15"/>
      <c r="N571" s="15" t="s">
        <v>322</v>
      </c>
      <c r="O571" s="15"/>
      <c r="P571" s="16" t="s">
        <v>401</v>
      </c>
      <c r="Q571" s="17">
        <v>9599</v>
      </c>
      <c r="R571" s="18">
        <v>30</v>
      </c>
      <c r="S571" s="19">
        <v>7727.1949999999997</v>
      </c>
      <c r="T571" s="20" t="s">
        <v>333</v>
      </c>
      <c r="U571" s="21" t="s">
        <v>343</v>
      </c>
      <c r="V571" s="23">
        <v>41</v>
      </c>
      <c r="W571" s="23">
        <v>1</v>
      </c>
      <c r="X571" s="24"/>
    </row>
    <row r="572" spans="1:24" s="1" customFormat="1" ht="11" customHeight="1" x14ac:dyDescent="0.3">
      <c r="A572" s="25" t="s">
        <v>607</v>
      </c>
      <c r="B572" s="25" t="s">
        <v>912</v>
      </c>
      <c r="C572" s="12" t="s">
        <v>913</v>
      </c>
      <c r="D572" s="86"/>
      <c r="E572" s="67" t="str">
        <f t="shared" si="18"/>
        <v>Еще фото</v>
      </c>
      <c r="F572" s="14"/>
      <c r="G572" s="25" t="s">
        <v>153</v>
      </c>
      <c r="H572" s="25" t="s">
        <v>93</v>
      </c>
      <c r="I572" s="25" t="s">
        <v>196</v>
      </c>
      <c r="J572" s="15" t="s">
        <v>360</v>
      </c>
      <c r="K572" s="16" t="s">
        <v>45</v>
      </c>
      <c r="L572" s="88"/>
      <c r="M572" s="15"/>
      <c r="N572" s="15" t="s">
        <v>322</v>
      </c>
      <c r="O572" s="15"/>
      <c r="P572" s="16" t="s">
        <v>401</v>
      </c>
      <c r="Q572" s="17">
        <v>9599</v>
      </c>
      <c r="R572" s="18">
        <v>30</v>
      </c>
      <c r="S572" s="19">
        <v>7727.1949999999997</v>
      </c>
      <c r="T572" s="20" t="s">
        <v>333</v>
      </c>
      <c r="U572" s="21" t="s">
        <v>344</v>
      </c>
      <c r="V572" s="29">
        <v>41.5</v>
      </c>
      <c r="W572" s="23">
        <v>8</v>
      </c>
      <c r="X572" s="24"/>
    </row>
    <row r="573" spans="1:24" s="1" customFormat="1" ht="11" customHeight="1" x14ac:dyDescent="0.3">
      <c r="A573" s="25" t="s">
        <v>607</v>
      </c>
      <c r="B573" s="25" t="s">
        <v>912</v>
      </c>
      <c r="C573" s="12" t="s">
        <v>913</v>
      </c>
      <c r="D573" s="86"/>
      <c r="E573" s="67" t="str">
        <f t="shared" si="18"/>
        <v>Еще фото</v>
      </c>
      <c r="F573" s="14"/>
      <c r="G573" s="25" t="s">
        <v>153</v>
      </c>
      <c r="H573" s="25" t="s">
        <v>93</v>
      </c>
      <c r="I573" s="25" t="s">
        <v>196</v>
      </c>
      <c r="J573" s="15" t="s">
        <v>360</v>
      </c>
      <c r="K573" s="16" t="s">
        <v>45</v>
      </c>
      <c r="L573" s="88"/>
      <c r="M573" s="15"/>
      <c r="N573" s="15" t="s">
        <v>322</v>
      </c>
      <c r="O573" s="15"/>
      <c r="P573" s="16" t="s">
        <v>401</v>
      </c>
      <c r="Q573" s="17">
        <v>9599</v>
      </c>
      <c r="R573" s="18">
        <v>30</v>
      </c>
      <c r="S573" s="19">
        <v>7727.1949999999997</v>
      </c>
      <c r="T573" s="20" t="s">
        <v>333</v>
      </c>
      <c r="U573" s="21" t="s">
        <v>345</v>
      </c>
      <c r="V573" s="23">
        <v>42</v>
      </c>
      <c r="W573" s="23">
        <v>11</v>
      </c>
      <c r="X573" s="24"/>
    </row>
    <row r="574" spans="1:24" s="1" customFormat="1" ht="11" customHeight="1" x14ac:dyDescent="0.3">
      <c r="A574" s="25" t="s">
        <v>607</v>
      </c>
      <c r="B574" s="25" t="s">
        <v>912</v>
      </c>
      <c r="C574" s="12" t="s">
        <v>913</v>
      </c>
      <c r="D574" s="86"/>
      <c r="E574" s="67" t="str">
        <f t="shared" si="18"/>
        <v>Еще фото</v>
      </c>
      <c r="F574" s="14"/>
      <c r="G574" s="25" t="s">
        <v>153</v>
      </c>
      <c r="H574" s="25" t="s">
        <v>93</v>
      </c>
      <c r="I574" s="25" t="s">
        <v>196</v>
      </c>
      <c r="J574" s="15" t="s">
        <v>360</v>
      </c>
      <c r="K574" s="16" t="s">
        <v>45</v>
      </c>
      <c r="L574" s="88"/>
      <c r="M574" s="15"/>
      <c r="N574" s="15" t="s">
        <v>322</v>
      </c>
      <c r="O574" s="15"/>
      <c r="P574" s="16" t="s">
        <v>401</v>
      </c>
      <c r="Q574" s="17">
        <v>9599</v>
      </c>
      <c r="R574" s="18">
        <v>30</v>
      </c>
      <c r="S574" s="19">
        <v>7727.1949999999997</v>
      </c>
      <c r="T574" s="20" t="s">
        <v>333</v>
      </c>
      <c r="U574" s="21" t="s">
        <v>392</v>
      </c>
      <c r="V574" s="23">
        <v>43</v>
      </c>
      <c r="W574" s="23">
        <v>9</v>
      </c>
      <c r="X574" s="24"/>
    </row>
    <row r="575" spans="1:24" s="1" customFormat="1" ht="11" customHeight="1" x14ac:dyDescent="0.3">
      <c r="A575" s="25" t="s">
        <v>607</v>
      </c>
      <c r="B575" s="25" t="s">
        <v>912</v>
      </c>
      <c r="C575" s="12" t="s">
        <v>913</v>
      </c>
      <c r="D575" s="86"/>
      <c r="E575" s="67" t="str">
        <f t="shared" si="18"/>
        <v>Еще фото</v>
      </c>
      <c r="F575" s="14"/>
      <c r="G575" s="25" t="s">
        <v>153</v>
      </c>
      <c r="H575" s="25" t="s">
        <v>93</v>
      </c>
      <c r="I575" s="25" t="s">
        <v>196</v>
      </c>
      <c r="J575" s="15" t="s">
        <v>360</v>
      </c>
      <c r="K575" s="16" t="s">
        <v>45</v>
      </c>
      <c r="L575" s="88"/>
      <c r="M575" s="15"/>
      <c r="N575" s="15" t="s">
        <v>322</v>
      </c>
      <c r="O575" s="15"/>
      <c r="P575" s="16" t="s">
        <v>401</v>
      </c>
      <c r="Q575" s="17">
        <v>9599</v>
      </c>
      <c r="R575" s="18">
        <v>30</v>
      </c>
      <c r="S575" s="19">
        <v>7727.1949999999997</v>
      </c>
      <c r="T575" s="20" t="s">
        <v>333</v>
      </c>
      <c r="U575" s="21" t="s">
        <v>366</v>
      </c>
      <c r="V575" s="29">
        <v>43.5</v>
      </c>
      <c r="W575" s="23">
        <v>4</v>
      </c>
      <c r="X575" s="24"/>
    </row>
    <row r="576" spans="1:24" s="1" customFormat="1" ht="11" customHeight="1" x14ac:dyDescent="0.3">
      <c r="A576" s="25" t="s">
        <v>607</v>
      </c>
      <c r="B576" s="25" t="s">
        <v>912</v>
      </c>
      <c r="C576" s="12" t="s">
        <v>913</v>
      </c>
      <c r="D576" s="86"/>
      <c r="E576" s="67" t="str">
        <f t="shared" si="18"/>
        <v>Еще фото</v>
      </c>
      <c r="F576" s="14"/>
      <c r="G576" s="25" t="s">
        <v>153</v>
      </c>
      <c r="H576" s="25" t="s">
        <v>93</v>
      </c>
      <c r="I576" s="25" t="s">
        <v>196</v>
      </c>
      <c r="J576" s="15" t="s">
        <v>360</v>
      </c>
      <c r="K576" s="16" t="s">
        <v>45</v>
      </c>
      <c r="L576" s="88"/>
      <c r="M576" s="15"/>
      <c r="N576" s="15" t="s">
        <v>322</v>
      </c>
      <c r="O576" s="15"/>
      <c r="P576" s="16" t="s">
        <v>401</v>
      </c>
      <c r="Q576" s="17">
        <v>9599</v>
      </c>
      <c r="R576" s="18">
        <v>30</v>
      </c>
      <c r="S576" s="19">
        <v>7727.1949999999997</v>
      </c>
      <c r="T576" s="20" t="s">
        <v>333</v>
      </c>
      <c r="U576" s="21" t="s">
        <v>785</v>
      </c>
      <c r="V576" s="23">
        <v>44</v>
      </c>
      <c r="W576" s="23">
        <v>2</v>
      </c>
      <c r="X576" s="24"/>
    </row>
    <row r="577" spans="1:24" s="1" customFormat="1" ht="11" customHeight="1" x14ac:dyDescent="0.3">
      <c r="A577" s="25" t="s">
        <v>607</v>
      </c>
      <c r="B577" s="25" t="s">
        <v>912</v>
      </c>
      <c r="C577" s="12" t="s">
        <v>913</v>
      </c>
      <c r="D577" s="87"/>
      <c r="E577" s="67" t="str">
        <f t="shared" si="18"/>
        <v>Еще фото</v>
      </c>
      <c r="F577" s="14"/>
      <c r="G577" s="25" t="s">
        <v>153</v>
      </c>
      <c r="H577" s="25" t="s">
        <v>93</v>
      </c>
      <c r="I577" s="25" t="s">
        <v>196</v>
      </c>
      <c r="J577" s="15" t="s">
        <v>360</v>
      </c>
      <c r="K577" s="16" t="s">
        <v>45</v>
      </c>
      <c r="L577" s="84"/>
      <c r="M577" s="15"/>
      <c r="N577" s="15" t="s">
        <v>322</v>
      </c>
      <c r="O577" s="15"/>
      <c r="P577" s="16" t="s">
        <v>401</v>
      </c>
      <c r="Q577" s="17">
        <v>9599</v>
      </c>
      <c r="R577" s="18">
        <v>30</v>
      </c>
      <c r="S577" s="19">
        <v>7727.1949999999997</v>
      </c>
      <c r="T577" s="20" t="s">
        <v>333</v>
      </c>
      <c r="U577" s="21" t="s">
        <v>915</v>
      </c>
      <c r="V577" s="29">
        <v>45.5</v>
      </c>
      <c r="W577" s="23">
        <v>1</v>
      </c>
      <c r="X577" s="24"/>
    </row>
    <row r="578" spans="1:24" s="1" customFormat="1" ht="11" customHeight="1" x14ac:dyDescent="0.3">
      <c r="A578" s="11" t="s">
        <v>607</v>
      </c>
      <c r="B578" s="11" t="s">
        <v>912</v>
      </c>
      <c r="C578" s="12" t="s">
        <v>916</v>
      </c>
      <c r="D578" s="85"/>
      <c r="E578" s="67" t="str">
        <f t="shared" ref="E578:E588" si="19">HYPERLINK("https://www.google.ru/search?q=273515-WHPG&amp;newwindow=1&amp;tbm=isch","Еще фото")</f>
        <v>Еще фото</v>
      </c>
      <c r="F578" s="55" t="s">
        <v>688</v>
      </c>
      <c r="G578" s="11" t="s">
        <v>153</v>
      </c>
      <c r="H578" s="11" t="s">
        <v>93</v>
      </c>
      <c r="I578" s="15" t="s">
        <v>196</v>
      </c>
      <c r="J578" s="15" t="s">
        <v>360</v>
      </c>
      <c r="K578" s="16" t="s">
        <v>45</v>
      </c>
      <c r="L578" s="83" t="s">
        <v>914</v>
      </c>
      <c r="M578" s="15"/>
      <c r="N578" s="15" t="s">
        <v>173</v>
      </c>
      <c r="O578" s="15"/>
      <c r="P578" s="16" t="s">
        <v>401</v>
      </c>
      <c r="Q578" s="17">
        <v>9999</v>
      </c>
      <c r="R578" s="18">
        <v>30</v>
      </c>
      <c r="S578" s="19">
        <v>8049.1949999999997</v>
      </c>
      <c r="T578" s="20" t="s">
        <v>333</v>
      </c>
      <c r="U578" s="21" t="s">
        <v>355</v>
      </c>
      <c r="V578" s="23">
        <v>39</v>
      </c>
      <c r="W578" s="23">
        <v>1</v>
      </c>
      <c r="X578" s="24"/>
    </row>
    <row r="579" spans="1:24" s="1" customFormat="1" ht="11" customHeight="1" x14ac:dyDescent="0.3">
      <c r="A579" s="25" t="s">
        <v>607</v>
      </c>
      <c r="B579" s="25" t="s">
        <v>912</v>
      </c>
      <c r="C579" s="12" t="s">
        <v>916</v>
      </c>
      <c r="D579" s="86"/>
      <c r="E579" s="67" t="str">
        <f t="shared" si="19"/>
        <v>Еще фото</v>
      </c>
      <c r="F579" s="55" t="s">
        <v>688</v>
      </c>
      <c r="G579" s="25" t="s">
        <v>153</v>
      </c>
      <c r="H579" s="25" t="s">
        <v>93</v>
      </c>
      <c r="I579" s="25" t="s">
        <v>196</v>
      </c>
      <c r="J579" s="15" t="s">
        <v>360</v>
      </c>
      <c r="K579" s="16" t="s">
        <v>45</v>
      </c>
      <c r="L579" s="88"/>
      <c r="M579" s="15"/>
      <c r="N579" s="15" t="s">
        <v>173</v>
      </c>
      <c r="O579" s="15"/>
      <c r="P579" s="16" t="s">
        <v>401</v>
      </c>
      <c r="Q579" s="17">
        <v>9999</v>
      </c>
      <c r="R579" s="18">
        <v>30</v>
      </c>
      <c r="S579" s="19">
        <v>8049.1949999999997</v>
      </c>
      <c r="T579" s="20" t="s">
        <v>333</v>
      </c>
      <c r="U579" s="21" t="s">
        <v>356</v>
      </c>
      <c r="V579" s="29">
        <v>39.5</v>
      </c>
      <c r="W579" s="23">
        <v>1</v>
      </c>
      <c r="X579" s="24"/>
    </row>
    <row r="580" spans="1:24" s="1" customFormat="1" ht="11" customHeight="1" x14ac:dyDescent="0.3">
      <c r="A580" s="25" t="s">
        <v>607</v>
      </c>
      <c r="B580" s="25" t="s">
        <v>912</v>
      </c>
      <c r="C580" s="12" t="s">
        <v>916</v>
      </c>
      <c r="D580" s="86"/>
      <c r="E580" s="67" t="str">
        <f t="shared" si="19"/>
        <v>Еще фото</v>
      </c>
      <c r="F580" s="55" t="s">
        <v>688</v>
      </c>
      <c r="G580" s="25" t="s">
        <v>153</v>
      </c>
      <c r="H580" s="25" t="s">
        <v>93</v>
      </c>
      <c r="I580" s="25" t="s">
        <v>196</v>
      </c>
      <c r="J580" s="15" t="s">
        <v>360</v>
      </c>
      <c r="K580" s="16" t="s">
        <v>45</v>
      </c>
      <c r="L580" s="88"/>
      <c r="M580" s="15"/>
      <c r="N580" s="15" t="s">
        <v>173</v>
      </c>
      <c r="O580" s="15"/>
      <c r="P580" s="16" t="s">
        <v>401</v>
      </c>
      <c r="Q580" s="17">
        <v>9999</v>
      </c>
      <c r="R580" s="18">
        <v>30</v>
      </c>
      <c r="S580" s="19">
        <v>8049.1949999999997</v>
      </c>
      <c r="T580" s="20" t="s">
        <v>333</v>
      </c>
      <c r="U580" s="21" t="s">
        <v>357</v>
      </c>
      <c r="V580" s="23">
        <v>40</v>
      </c>
      <c r="W580" s="23">
        <v>1</v>
      </c>
      <c r="X580" s="24"/>
    </row>
    <row r="581" spans="1:24" s="1" customFormat="1" ht="11" customHeight="1" x14ac:dyDescent="0.3">
      <c r="A581" s="25" t="s">
        <v>607</v>
      </c>
      <c r="B581" s="25" t="s">
        <v>912</v>
      </c>
      <c r="C581" s="12" t="s">
        <v>916</v>
      </c>
      <c r="D581" s="86"/>
      <c r="E581" s="67" t="str">
        <f t="shared" si="19"/>
        <v>Еще фото</v>
      </c>
      <c r="F581" s="55" t="s">
        <v>688</v>
      </c>
      <c r="G581" s="25" t="s">
        <v>153</v>
      </c>
      <c r="H581" s="25" t="s">
        <v>93</v>
      </c>
      <c r="I581" s="25" t="s">
        <v>196</v>
      </c>
      <c r="J581" s="15" t="s">
        <v>360</v>
      </c>
      <c r="K581" s="16" t="s">
        <v>45</v>
      </c>
      <c r="L581" s="88"/>
      <c r="M581" s="15"/>
      <c r="N581" s="15" t="s">
        <v>173</v>
      </c>
      <c r="O581" s="15"/>
      <c r="P581" s="16" t="s">
        <v>401</v>
      </c>
      <c r="Q581" s="17">
        <v>9999</v>
      </c>
      <c r="R581" s="18">
        <v>30</v>
      </c>
      <c r="S581" s="19">
        <v>8049.1949999999997</v>
      </c>
      <c r="T581" s="20" t="s">
        <v>333</v>
      </c>
      <c r="U581" s="21" t="s">
        <v>344</v>
      </c>
      <c r="V581" s="29">
        <v>41.5</v>
      </c>
      <c r="W581" s="23">
        <v>3</v>
      </c>
      <c r="X581" s="24"/>
    </row>
    <row r="582" spans="1:24" s="1" customFormat="1" ht="11" customHeight="1" x14ac:dyDescent="0.3">
      <c r="A582" s="25" t="s">
        <v>607</v>
      </c>
      <c r="B582" s="25" t="s">
        <v>912</v>
      </c>
      <c r="C582" s="12" t="s">
        <v>916</v>
      </c>
      <c r="D582" s="86"/>
      <c r="E582" s="67" t="str">
        <f t="shared" si="19"/>
        <v>Еще фото</v>
      </c>
      <c r="F582" s="55" t="s">
        <v>688</v>
      </c>
      <c r="G582" s="25" t="s">
        <v>153</v>
      </c>
      <c r="H582" s="25" t="s">
        <v>93</v>
      </c>
      <c r="I582" s="25" t="s">
        <v>196</v>
      </c>
      <c r="J582" s="15" t="s">
        <v>360</v>
      </c>
      <c r="K582" s="16" t="s">
        <v>45</v>
      </c>
      <c r="L582" s="88"/>
      <c r="M582" s="15"/>
      <c r="N582" s="15" t="s">
        <v>173</v>
      </c>
      <c r="O582" s="15"/>
      <c r="P582" s="16" t="s">
        <v>401</v>
      </c>
      <c r="Q582" s="17">
        <v>9999</v>
      </c>
      <c r="R582" s="18">
        <v>30</v>
      </c>
      <c r="S582" s="19">
        <v>8049.1949999999997</v>
      </c>
      <c r="T582" s="20" t="s">
        <v>333</v>
      </c>
      <c r="U582" s="21" t="s">
        <v>345</v>
      </c>
      <c r="V582" s="23">
        <v>42</v>
      </c>
      <c r="W582" s="23">
        <v>11</v>
      </c>
      <c r="X582" s="24"/>
    </row>
    <row r="583" spans="1:24" s="1" customFormat="1" ht="11" customHeight="1" x14ac:dyDescent="0.3">
      <c r="A583" s="25" t="s">
        <v>607</v>
      </c>
      <c r="B583" s="25" t="s">
        <v>912</v>
      </c>
      <c r="C583" s="12" t="s">
        <v>916</v>
      </c>
      <c r="D583" s="86"/>
      <c r="E583" s="67" t="str">
        <f t="shared" si="19"/>
        <v>Еще фото</v>
      </c>
      <c r="F583" s="55" t="s">
        <v>688</v>
      </c>
      <c r="G583" s="25" t="s">
        <v>153</v>
      </c>
      <c r="H583" s="25" t="s">
        <v>93</v>
      </c>
      <c r="I583" s="25" t="s">
        <v>196</v>
      </c>
      <c r="J583" s="15" t="s">
        <v>360</v>
      </c>
      <c r="K583" s="16" t="s">
        <v>45</v>
      </c>
      <c r="L583" s="88"/>
      <c r="M583" s="15"/>
      <c r="N583" s="15" t="s">
        <v>173</v>
      </c>
      <c r="O583" s="15"/>
      <c r="P583" s="16" t="s">
        <v>401</v>
      </c>
      <c r="Q583" s="17">
        <v>9999</v>
      </c>
      <c r="R583" s="18">
        <v>30</v>
      </c>
      <c r="S583" s="19">
        <v>8049.1949999999997</v>
      </c>
      <c r="T583" s="20" t="s">
        <v>333</v>
      </c>
      <c r="U583" s="21" t="s">
        <v>392</v>
      </c>
      <c r="V583" s="23">
        <v>43</v>
      </c>
      <c r="W583" s="23">
        <v>9</v>
      </c>
      <c r="X583" s="24"/>
    </row>
    <row r="584" spans="1:24" s="1" customFormat="1" ht="11" customHeight="1" x14ac:dyDescent="0.3">
      <c r="A584" s="25" t="s">
        <v>607</v>
      </c>
      <c r="B584" s="25" t="s">
        <v>912</v>
      </c>
      <c r="C584" s="12" t="s">
        <v>916</v>
      </c>
      <c r="D584" s="86"/>
      <c r="E584" s="67" t="str">
        <f t="shared" si="19"/>
        <v>Еще фото</v>
      </c>
      <c r="F584" s="55" t="s">
        <v>688</v>
      </c>
      <c r="G584" s="25" t="s">
        <v>153</v>
      </c>
      <c r="H584" s="25" t="s">
        <v>93</v>
      </c>
      <c r="I584" s="25" t="s">
        <v>196</v>
      </c>
      <c r="J584" s="15" t="s">
        <v>360</v>
      </c>
      <c r="K584" s="16" t="s">
        <v>45</v>
      </c>
      <c r="L584" s="88"/>
      <c r="M584" s="15"/>
      <c r="N584" s="15" t="s">
        <v>173</v>
      </c>
      <c r="O584" s="15"/>
      <c r="P584" s="16" t="s">
        <v>401</v>
      </c>
      <c r="Q584" s="17">
        <v>9999</v>
      </c>
      <c r="R584" s="18">
        <v>30</v>
      </c>
      <c r="S584" s="19">
        <v>8049.1949999999997</v>
      </c>
      <c r="T584" s="20" t="s">
        <v>333</v>
      </c>
      <c r="U584" s="21" t="s">
        <v>366</v>
      </c>
      <c r="V584" s="29">
        <v>43.5</v>
      </c>
      <c r="W584" s="23">
        <v>5</v>
      </c>
      <c r="X584" s="24"/>
    </row>
    <row r="585" spans="1:24" s="1" customFormat="1" ht="11" customHeight="1" x14ac:dyDescent="0.3">
      <c r="A585" s="25" t="s">
        <v>607</v>
      </c>
      <c r="B585" s="25" t="s">
        <v>912</v>
      </c>
      <c r="C585" s="12" t="s">
        <v>916</v>
      </c>
      <c r="D585" s="86"/>
      <c r="E585" s="67" t="str">
        <f t="shared" si="19"/>
        <v>Еще фото</v>
      </c>
      <c r="F585" s="55" t="s">
        <v>688</v>
      </c>
      <c r="G585" s="25" t="s">
        <v>153</v>
      </c>
      <c r="H585" s="25" t="s">
        <v>93</v>
      </c>
      <c r="I585" s="25" t="s">
        <v>196</v>
      </c>
      <c r="J585" s="15" t="s">
        <v>360</v>
      </c>
      <c r="K585" s="16" t="s">
        <v>45</v>
      </c>
      <c r="L585" s="88"/>
      <c r="M585" s="15"/>
      <c r="N585" s="15" t="s">
        <v>173</v>
      </c>
      <c r="O585" s="15"/>
      <c r="P585" s="16" t="s">
        <v>401</v>
      </c>
      <c r="Q585" s="17">
        <v>9999</v>
      </c>
      <c r="R585" s="18">
        <v>30</v>
      </c>
      <c r="S585" s="19">
        <v>8049.1949999999997</v>
      </c>
      <c r="T585" s="20" t="s">
        <v>333</v>
      </c>
      <c r="U585" s="21" t="s">
        <v>785</v>
      </c>
      <c r="V585" s="23">
        <v>44</v>
      </c>
      <c r="W585" s="23">
        <v>2</v>
      </c>
      <c r="X585" s="24"/>
    </row>
    <row r="586" spans="1:24" s="1" customFormat="1" ht="11" customHeight="1" x14ac:dyDescent="0.3">
      <c r="A586" s="25" t="s">
        <v>607</v>
      </c>
      <c r="B586" s="25" t="s">
        <v>912</v>
      </c>
      <c r="C586" s="12" t="s">
        <v>916</v>
      </c>
      <c r="D586" s="86"/>
      <c r="E586" s="67" t="str">
        <f t="shared" si="19"/>
        <v>Еще фото</v>
      </c>
      <c r="F586" s="55" t="s">
        <v>688</v>
      </c>
      <c r="G586" s="25" t="s">
        <v>153</v>
      </c>
      <c r="H586" s="25" t="s">
        <v>93</v>
      </c>
      <c r="I586" s="25" t="s">
        <v>196</v>
      </c>
      <c r="J586" s="15" t="s">
        <v>360</v>
      </c>
      <c r="K586" s="16" t="s">
        <v>45</v>
      </c>
      <c r="L586" s="88"/>
      <c r="M586" s="15"/>
      <c r="N586" s="15" t="s">
        <v>173</v>
      </c>
      <c r="O586" s="15"/>
      <c r="P586" s="16" t="s">
        <v>401</v>
      </c>
      <c r="Q586" s="17">
        <v>9999</v>
      </c>
      <c r="R586" s="18">
        <v>30</v>
      </c>
      <c r="S586" s="19">
        <v>8049.1949999999997</v>
      </c>
      <c r="T586" s="20" t="s">
        <v>333</v>
      </c>
      <c r="U586" s="21" t="s">
        <v>915</v>
      </c>
      <c r="V586" s="29">
        <v>45.5</v>
      </c>
      <c r="W586" s="23">
        <v>1</v>
      </c>
      <c r="X586" s="24"/>
    </row>
    <row r="587" spans="1:24" s="1" customFormat="1" ht="11" customHeight="1" x14ac:dyDescent="0.3">
      <c r="A587" s="15" t="s">
        <v>607</v>
      </c>
      <c r="B587" s="15" t="s">
        <v>912</v>
      </c>
      <c r="C587" s="12" t="s">
        <v>916</v>
      </c>
      <c r="D587" s="86"/>
      <c r="E587" s="67" t="str">
        <f t="shared" si="19"/>
        <v>Еще фото</v>
      </c>
      <c r="F587" s="60" t="s">
        <v>688</v>
      </c>
      <c r="G587" s="15" t="s">
        <v>153</v>
      </c>
      <c r="H587" s="15" t="s">
        <v>93</v>
      </c>
      <c r="I587" s="15" t="s">
        <v>196</v>
      </c>
      <c r="J587" s="15" t="s">
        <v>360</v>
      </c>
      <c r="K587" s="15" t="s">
        <v>45</v>
      </c>
      <c r="L587" s="88"/>
      <c r="M587" s="15"/>
      <c r="N587" s="15" t="s">
        <v>173</v>
      </c>
      <c r="O587" s="15"/>
      <c r="P587" s="15" t="s">
        <v>401</v>
      </c>
      <c r="Q587" s="57">
        <v>9999</v>
      </c>
      <c r="R587" s="58">
        <v>30</v>
      </c>
      <c r="S587" s="59">
        <v>8049.1949999999997</v>
      </c>
      <c r="T587" s="20" t="s">
        <v>333</v>
      </c>
      <c r="U587" s="21" t="s">
        <v>824</v>
      </c>
      <c r="V587" s="23">
        <v>46</v>
      </c>
      <c r="W587" s="23">
        <v>2</v>
      </c>
      <c r="X587" s="24"/>
    </row>
    <row r="588" spans="1:24" s="1" customFormat="1" ht="11" customHeight="1" x14ac:dyDescent="0.3">
      <c r="A588" s="15" t="s">
        <v>607</v>
      </c>
      <c r="B588" s="15" t="s">
        <v>912</v>
      </c>
      <c r="C588" s="12" t="s">
        <v>916</v>
      </c>
      <c r="D588" s="87"/>
      <c r="E588" s="67" t="str">
        <f t="shared" si="19"/>
        <v>Еще фото</v>
      </c>
      <c r="F588" s="60" t="s">
        <v>688</v>
      </c>
      <c r="G588" s="15" t="s">
        <v>153</v>
      </c>
      <c r="H588" s="15" t="s">
        <v>93</v>
      </c>
      <c r="I588" s="15" t="s">
        <v>196</v>
      </c>
      <c r="J588" s="15" t="s">
        <v>360</v>
      </c>
      <c r="K588" s="15" t="s">
        <v>45</v>
      </c>
      <c r="L588" s="84"/>
      <c r="M588" s="15"/>
      <c r="N588" s="15" t="s">
        <v>173</v>
      </c>
      <c r="O588" s="15"/>
      <c r="P588" s="15" t="s">
        <v>401</v>
      </c>
      <c r="Q588" s="57">
        <v>9999</v>
      </c>
      <c r="R588" s="58">
        <v>30</v>
      </c>
      <c r="S588" s="59">
        <v>8049.1949999999997</v>
      </c>
      <c r="T588" s="20" t="s">
        <v>333</v>
      </c>
      <c r="U588" s="21" t="s">
        <v>917</v>
      </c>
      <c r="V588" s="29">
        <v>47.5</v>
      </c>
      <c r="W588" s="23">
        <v>1</v>
      </c>
      <c r="X588" s="24"/>
    </row>
    <row r="589" spans="1:24" s="1" customFormat="1" ht="13.05" customHeight="1" x14ac:dyDescent="0.3">
      <c r="A589" s="11" t="s">
        <v>607</v>
      </c>
      <c r="B589" s="11" t="s">
        <v>918</v>
      </c>
      <c r="C589" s="12" t="s">
        <v>919</v>
      </c>
      <c r="D589" s="85"/>
      <c r="E589" s="67" t="str">
        <f t="shared" ref="E589:E596" si="20">HYPERLINK("https://www.google.ru/search?q=274505-BKPL&amp;newwindow=1&amp;tbm=isch","Еще фото")</f>
        <v>Еще фото</v>
      </c>
      <c r="F589" s="55" t="s">
        <v>688</v>
      </c>
      <c r="G589" s="11" t="s">
        <v>153</v>
      </c>
      <c r="H589" s="11" t="s">
        <v>93</v>
      </c>
      <c r="I589" s="15" t="s">
        <v>196</v>
      </c>
      <c r="J589" s="15" t="s">
        <v>360</v>
      </c>
      <c r="K589" s="16" t="s">
        <v>29</v>
      </c>
      <c r="L589" s="83" t="s">
        <v>920</v>
      </c>
      <c r="M589" s="15"/>
      <c r="N589" s="15" t="s">
        <v>38</v>
      </c>
      <c r="O589" s="15"/>
      <c r="P589" s="16" t="s">
        <v>401</v>
      </c>
      <c r="Q589" s="17">
        <v>9499</v>
      </c>
      <c r="R589" s="18">
        <v>30</v>
      </c>
      <c r="S589" s="19">
        <v>7646.6949999999997</v>
      </c>
      <c r="T589" s="20" t="s">
        <v>333</v>
      </c>
      <c r="U589" s="30" t="s">
        <v>354</v>
      </c>
      <c r="V589" s="23">
        <v>36</v>
      </c>
      <c r="W589" s="23">
        <v>1</v>
      </c>
      <c r="X589" s="24"/>
    </row>
    <row r="590" spans="1:24" s="1" customFormat="1" ht="13.05" customHeight="1" x14ac:dyDescent="0.3">
      <c r="A590" s="25" t="s">
        <v>607</v>
      </c>
      <c r="B590" s="25" t="s">
        <v>918</v>
      </c>
      <c r="C590" s="12" t="s">
        <v>919</v>
      </c>
      <c r="D590" s="86"/>
      <c r="E590" s="67" t="str">
        <f t="shared" si="20"/>
        <v>Еще фото</v>
      </c>
      <c r="F590" s="55" t="s">
        <v>688</v>
      </c>
      <c r="G590" s="25" t="s">
        <v>153</v>
      </c>
      <c r="H590" s="25" t="s">
        <v>93</v>
      </c>
      <c r="I590" s="25" t="s">
        <v>196</v>
      </c>
      <c r="J590" s="15" t="s">
        <v>360</v>
      </c>
      <c r="K590" s="16" t="s">
        <v>29</v>
      </c>
      <c r="L590" s="88"/>
      <c r="M590" s="15"/>
      <c r="N590" s="15" t="s">
        <v>38</v>
      </c>
      <c r="O590" s="15"/>
      <c r="P590" s="16" t="s">
        <v>401</v>
      </c>
      <c r="Q590" s="17">
        <v>9499</v>
      </c>
      <c r="R590" s="18">
        <v>30</v>
      </c>
      <c r="S590" s="19">
        <v>7646.6949999999997</v>
      </c>
      <c r="T590" s="20" t="s">
        <v>333</v>
      </c>
      <c r="U590" s="21" t="s">
        <v>348</v>
      </c>
      <c r="V590" s="29">
        <v>36.5</v>
      </c>
      <c r="W590" s="23">
        <v>3</v>
      </c>
      <c r="X590" s="24"/>
    </row>
    <row r="591" spans="1:24" s="1" customFormat="1" ht="13.05" customHeight="1" x14ac:dyDescent="0.3">
      <c r="A591" s="25" t="s">
        <v>607</v>
      </c>
      <c r="B591" s="25" t="s">
        <v>918</v>
      </c>
      <c r="C591" s="12" t="s">
        <v>919</v>
      </c>
      <c r="D591" s="86"/>
      <c r="E591" s="67" t="str">
        <f t="shared" si="20"/>
        <v>Еще фото</v>
      </c>
      <c r="F591" s="55" t="s">
        <v>688</v>
      </c>
      <c r="G591" s="25" t="s">
        <v>153</v>
      </c>
      <c r="H591" s="25" t="s">
        <v>93</v>
      </c>
      <c r="I591" s="25" t="s">
        <v>196</v>
      </c>
      <c r="J591" s="15" t="s">
        <v>360</v>
      </c>
      <c r="K591" s="16" t="s">
        <v>29</v>
      </c>
      <c r="L591" s="88"/>
      <c r="M591" s="15"/>
      <c r="N591" s="15" t="s">
        <v>38</v>
      </c>
      <c r="O591" s="15"/>
      <c r="P591" s="16" t="s">
        <v>401</v>
      </c>
      <c r="Q591" s="17">
        <v>9499</v>
      </c>
      <c r="R591" s="18">
        <v>30</v>
      </c>
      <c r="S591" s="19">
        <v>7646.6949999999997</v>
      </c>
      <c r="T591" s="20" t="s">
        <v>333</v>
      </c>
      <c r="U591" s="21" t="s">
        <v>349</v>
      </c>
      <c r="V591" s="23">
        <v>37</v>
      </c>
      <c r="W591" s="23">
        <v>3</v>
      </c>
      <c r="X591" s="24"/>
    </row>
    <row r="592" spans="1:24" s="1" customFormat="1" ht="13.05" customHeight="1" x14ac:dyDescent="0.3">
      <c r="A592" s="25" t="s">
        <v>607</v>
      </c>
      <c r="B592" s="25" t="s">
        <v>918</v>
      </c>
      <c r="C592" s="12" t="s">
        <v>919</v>
      </c>
      <c r="D592" s="86"/>
      <c r="E592" s="67" t="str">
        <f t="shared" si="20"/>
        <v>Еще фото</v>
      </c>
      <c r="F592" s="55" t="s">
        <v>688</v>
      </c>
      <c r="G592" s="25" t="s">
        <v>153</v>
      </c>
      <c r="H592" s="25" t="s">
        <v>93</v>
      </c>
      <c r="I592" s="25" t="s">
        <v>196</v>
      </c>
      <c r="J592" s="15" t="s">
        <v>360</v>
      </c>
      <c r="K592" s="16" t="s">
        <v>29</v>
      </c>
      <c r="L592" s="88"/>
      <c r="M592" s="15"/>
      <c r="N592" s="15" t="s">
        <v>38</v>
      </c>
      <c r="O592" s="15"/>
      <c r="P592" s="16" t="s">
        <v>401</v>
      </c>
      <c r="Q592" s="17">
        <v>9499</v>
      </c>
      <c r="R592" s="18">
        <v>30</v>
      </c>
      <c r="S592" s="19">
        <v>7646.6949999999997</v>
      </c>
      <c r="T592" s="20" t="s">
        <v>333</v>
      </c>
      <c r="U592" s="21" t="s">
        <v>334</v>
      </c>
      <c r="V592" s="29">
        <v>37.5</v>
      </c>
      <c r="W592" s="23">
        <v>3</v>
      </c>
      <c r="X592" s="24"/>
    </row>
    <row r="593" spans="1:24" s="1" customFormat="1" ht="13.05" customHeight="1" x14ac:dyDescent="0.3">
      <c r="A593" s="25" t="s">
        <v>607</v>
      </c>
      <c r="B593" s="25" t="s">
        <v>918</v>
      </c>
      <c r="C593" s="12" t="s">
        <v>919</v>
      </c>
      <c r="D593" s="86"/>
      <c r="E593" s="67" t="str">
        <f t="shared" si="20"/>
        <v>Еще фото</v>
      </c>
      <c r="F593" s="55" t="s">
        <v>688</v>
      </c>
      <c r="G593" s="25" t="s">
        <v>153</v>
      </c>
      <c r="H593" s="25" t="s">
        <v>93</v>
      </c>
      <c r="I593" s="25" t="s">
        <v>196</v>
      </c>
      <c r="J593" s="15" t="s">
        <v>360</v>
      </c>
      <c r="K593" s="16" t="s">
        <v>29</v>
      </c>
      <c r="L593" s="88"/>
      <c r="M593" s="15"/>
      <c r="N593" s="15" t="s">
        <v>38</v>
      </c>
      <c r="O593" s="15"/>
      <c r="P593" s="16" t="s">
        <v>401</v>
      </c>
      <c r="Q593" s="17">
        <v>9499</v>
      </c>
      <c r="R593" s="18">
        <v>30</v>
      </c>
      <c r="S593" s="19">
        <v>7646.6949999999997</v>
      </c>
      <c r="T593" s="20" t="s">
        <v>333</v>
      </c>
      <c r="U593" s="21" t="s">
        <v>335</v>
      </c>
      <c r="V593" s="23">
        <v>38</v>
      </c>
      <c r="W593" s="23">
        <v>4</v>
      </c>
      <c r="X593" s="24"/>
    </row>
    <row r="594" spans="1:24" s="1" customFormat="1" ht="13.05" customHeight="1" x14ac:dyDescent="0.3">
      <c r="A594" s="25" t="s">
        <v>607</v>
      </c>
      <c r="B594" s="25" t="s">
        <v>918</v>
      </c>
      <c r="C594" s="12" t="s">
        <v>919</v>
      </c>
      <c r="D594" s="86"/>
      <c r="E594" s="67" t="str">
        <f t="shared" si="20"/>
        <v>Еще фото</v>
      </c>
      <c r="F594" s="55" t="s">
        <v>688</v>
      </c>
      <c r="G594" s="25" t="s">
        <v>153</v>
      </c>
      <c r="H594" s="25" t="s">
        <v>93</v>
      </c>
      <c r="I594" s="25" t="s">
        <v>196</v>
      </c>
      <c r="J594" s="15" t="s">
        <v>360</v>
      </c>
      <c r="K594" s="16" t="s">
        <v>29</v>
      </c>
      <c r="L594" s="88"/>
      <c r="M594" s="15"/>
      <c r="N594" s="15" t="s">
        <v>38</v>
      </c>
      <c r="O594" s="15"/>
      <c r="P594" s="16" t="s">
        <v>401</v>
      </c>
      <c r="Q594" s="17">
        <v>9499</v>
      </c>
      <c r="R594" s="18">
        <v>30</v>
      </c>
      <c r="S594" s="19">
        <v>7646.6949999999997</v>
      </c>
      <c r="T594" s="20" t="s">
        <v>333</v>
      </c>
      <c r="U594" s="21" t="s">
        <v>355</v>
      </c>
      <c r="V594" s="23">
        <v>39</v>
      </c>
      <c r="W594" s="23">
        <v>1</v>
      </c>
      <c r="X594" s="24"/>
    </row>
    <row r="595" spans="1:24" s="1" customFormat="1" ht="13.05" customHeight="1" x14ac:dyDescent="0.3">
      <c r="A595" s="25" t="s">
        <v>607</v>
      </c>
      <c r="B595" s="25" t="s">
        <v>918</v>
      </c>
      <c r="C595" s="12" t="s">
        <v>919</v>
      </c>
      <c r="D595" s="86"/>
      <c r="E595" s="67" t="str">
        <f t="shared" si="20"/>
        <v>Еще фото</v>
      </c>
      <c r="F595" s="55" t="s">
        <v>688</v>
      </c>
      <c r="G595" s="25" t="s">
        <v>153</v>
      </c>
      <c r="H595" s="25" t="s">
        <v>93</v>
      </c>
      <c r="I595" s="25" t="s">
        <v>196</v>
      </c>
      <c r="J595" s="15" t="s">
        <v>360</v>
      </c>
      <c r="K595" s="16" t="s">
        <v>29</v>
      </c>
      <c r="L595" s="88"/>
      <c r="M595" s="15"/>
      <c r="N595" s="15" t="s">
        <v>38</v>
      </c>
      <c r="O595" s="15"/>
      <c r="P595" s="16" t="s">
        <v>401</v>
      </c>
      <c r="Q595" s="17">
        <v>9499</v>
      </c>
      <c r="R595" s="18">
        <v>30</v>
      </c>
      <c r="S595" s="19">
        <v>7646.6949999999997</v>
      </c>
      <c r="T595" s="20" t="s">
        <v>333</v>
      </c>
      <c r="U595" s="21" t="s">
        <v>357</v>
      </c>
      <c r="V595" s="23">
        <v>40</v>
      </c>
      <c r="W595" s="23">
        <v>2</v>
      </c>
      <c r="X595" s="24"/>
    </row>
    <row r="596" spans="1:24" s="1" customFormat="1" ht="18" customHeight="1" x14ac:dyDescent="0.3">
      <c r="A596" s="25" t="s">
        <v>607</v>
      </c>
      <c r="B596" s="25" t="s">
        <v>918</v>
      </c>
      <c r="C596" s="12" t="s">
        <v>919</v>
      </c>
      <c r="D596" s="87"/>
      <c r="E596" s="67" t="str">
        <f t="shared" si="20"/>
        <v>Еще фото</v>
      </c>
      <c r="F596" s="55" t="s">
        <v>688</v>
      </c>
      <c r="G596" s="25" t="s">
        <v>153</v>
      </c>
      <c r="H596" s="25" t="s">
        <v>93</v>
      </c>
      <c r="I596" s="25" t="s">
        <v>196</v>
      </c>
      <c r="J596" s="15" t="s">
        <v>360</v>
      </c>
      <c r="K596" s="16" t="s">
        <v>29</v>
      </c>
      <c r="L596" s="84"/>
      <c r="M596" s="15"/>
      <c r="N596" s="15" t="s">
        <v>38</v>
      </c>
      <c r="O596" s="15"/>
      <c r="P596" s="16" t="s">
        <v>401</v>
      </c>
      <c r="Q596" s="17">
        <v>9499</v>
      </c>
      <c r="R596" s="18">
        <v>30</v>
      </c>
      <c r="S596" s="19">
        <v>7646.6949999999997</v>
      </c>
      <c r="T596" s="20" t="s">
        <v>333</v>
      </c>
      <c r="U596" s="21" t="s">
        <v>343</v>
      </c>
      <c r="V596" s="23">
        <v>41</v>
      </c>
      <c r="W596" s="23">
        <v>1</v>
      </c>
      <c r="X596" s="24"/>
    </row>
    <row r="597" spans="1:24" s="1" customFormat="1" ht="108" customHeight="1" x14ac:dyDescent="0.3">
      <c r="A597" s="11" t="s">
        <v>607</v>
      </c>
      <c r="B597" s="11" t="s">
        <v>918</v>
      </c>
      <c r="C597" s="12" t="s">
        <v>921</v>
      </c>
      <c r="D597" s="13"/>
      <c r="E597" s="67" t="str">
        <f>HYPERLINK("https://www.google.ru/search?q=274515-WHGR&amp;newwindow=1&amp;tbm=isch","Еще фото")</f>
        <v>Еще фото</v>
      </c>
      <c r="F597" s="55" t="s">
        <v>688</v>
      </c>
      <c r="G597" s="11" t="s">
        <v>153</v>
      </c>
      <c r="H597" s="11" t="s">
        <v>93</v>
      </c>
      <c r="I597" s="15" t="s">
        <v>196</v>
      </c>
      <c r="J597" s="15" t="s">
        <v>360</v>
      </c>
      <c r="K597" s="16" t="s">
        <v>29</v>
      </c>
      <c r="L597" s="15" t="s">
        <v>920</v>
      </c>
      <c r="M597" s="15"/>
      <c r="N597" s="15" t="s">
        <v>173</v>
      </c>
      <c r="O597" s="15"/>
      <c r="P597" s="16" t="s">
        <v>401</v>
      </c>
      <c r="Q597" s="17">
        <v>9499</v>
      </c>
      <c r="R597" s="18">
        <v>30</v>
      </c>
      <c r="S597" s="19">
        <v>7646.6949999999997</v>
      </c>
      <c r="T597" s="20" t="s">
        <v>333</v>
      </c>
      <c r="U597" s="21" t="s">
        <v>334</v>
      </c>
      <c r="V597" s="29">
        <v>37.5</v>
      </c>
      <c r="W597" s="23">
        <v>1</v>
      </c>
      <c r="X597" s="24"/>
    </row>
    <row r="598" spans="1:24" s="1" customFormat="1" ht="108" customHeight="1" x14ac:dyDescent="0.3">
      <c r="A598" s="11" t="s">
        <v>607</v>
      </c>
      <c r="B598" s="11" t="s">
        <v>922</v>
      </c>
      <c r="C598" s="12" t="s">
        <v>923</v>
      </c>
      <c r="D598" s="13"/>
      <c r="E598" s="67" t="str">
        <f>HYPERLINK("https://www.google.ru/search?q=285070-NV&amp;newwindow=1&amp;tbm=isch","Еще фото")</f>
        <v>Еще фото</v>
      </c>
      <c r="F598" s="14"/>
      <c r="G598" s="11" t="s">
        <v>924</v>
      </c>
      <c r="H598" s="11" t="s">
        <v>69</v>
      </c>
      <c r="I598" s="15" t="s">
        <v>287</v>
      </c>
      <c r="J598" s="15" t="s">
        <v>360</v>
      </c>
      <c r="K598" s="16" t="s">
        <v>71</v>
      </c>
      <c r="L598" s="15" t="s">
        <v>925</v>
      </c>
      <c r="M598" s="15"/>
      <c r="N598" s="15" t="s">
        <v>31</v>
      </c>
      <c r="O598" s="15"/>
      <c r="P598" s="16" t="s">
        <v>106</v>
      </c>
      <c r="Q598" s="17">
        <v>1399</v>
      </c>
      <c r="R598" s="18">
        <v>48.69</v>
      </c>
      <c r="S598" s="26">
        <v>825.43549999999993</v>
      </c>
      <c r="T598" s="20" t="s">
        <v>75</v>
      </c>
      <c r="U598" s="21" t="s">
        <v>926</v>
      </c>
      <c r="V598" s="22" t="s">
        <v>77</v>
      </c>
      <c r="W598" s="23">
        <v>49</v>
      </c>
      <c r="X598" s="24"/>
    </row>
    <row r="599" spans="1:24" s="1" customFormat="1" ht="108" customHeight="1" x14ac:dyDescent="0.3">
      <c r="A599" s="11" t="s">
        <v>607</v>
      </c>
      <c r="B599" s="11" t="s">
        <v>922</v>
      </c>
      <c r="C599" s="12" t="s">
        <v>927</v>
      </c>
      <c r="D599" s="13"/>
      <c r="E599" s="67" t="str">
        <f>HYPERLINK("https://www.google.ru/search?q=285070-RD&amp;newwindow=1&amp;tbm=isch","Еще фото")</f>
        <v>Еще фото</v>
      </c>
      <c r="F599" s="14"/>
      <c r="G599" s="11" t="s">
        <v>924</v>
      </c>
      <c r="H599" s="11" t="s">
        <v>69</v>
      </c>
      <c r="I599" s="15" t="s">
        <v>287</v>
      </c>
      <c r="J599" s="15" t="s">
        <v>360</v>
      </c>
      <c r="K599" s="16" t="s">
        <v>71</v>
      </c>
      <c r="L599" s="15" t="s">
        <v>928</v>
      </c>
      <c r="M599" s="15"/>
      <c r="N599" s="15" t="s">
        <v>73</v>
      </c>
      <c r="O599" s="15"/>
      <c r="P599" s="16" t="s">
        <v>106</v>
      </c>
      <c r="Q599" s="17">
        <v>1399</v>
      </c>
      <c r="R599" s="18">
        <v>45.12</v>
      </c>
      <c r="S599" s="26">
        <v>882.93549999999993</v>
      </c>
      <c r="T599" s="20" t="s">
        <v>75</v>
      </c>
      <c r="U599" s="21" t="s">
        <v>929</v>
      </c>
      <c r="V599" s="22" t="s">
        <v>77</v>
      </c>
      <c r="W599" s="23">
        <v>46</v>
      </c>
      <c r="X599" s="24"/>
    </row>
    <row r="600" spans="1:24" s="1" customFormat="1" ht="108" customHeight="1" x14ac:dyDescent="0.3">
      <c r="A600" s="11" t="s">
        <v>607</v>
      </c>
      <c r="B600" s="11" t="s">
        <v>930</v>
      </c>
      <c r="C600" s="12" t="s">
        <v>931</v>
      </c>
      <c r="D600" s="13"/>
      <c r="E600" s="67" t="str">
        <f>HYPERLINK("https://www.google.ru/search?q=285042&amp;newwindow=1&amp;tbm=isch","Еще фото")</f>
        <v>Еще фото</v>
      </c>
      <c r="F600" s="14"/>
      <c r="G600" s="11" t="s">
        <v>932</v>
      </c>
      <c r="H600" s="11" t="s">
        <v>291</v>
      </c>
      <c r="I600" s="15" t="s">
        <v>287</v>
      </c>
      <c r="J600" s="15" t="s">
        <v>360</v>
      </c>
      <c r="K600" s="16" t="s">
        <v>71</v>
      </c>
      <c r="L600" s="15" t="s">
        <v>933</v>
      </c>
      <c r="M600" s="15"/>
      <c r="N600" s="15" t="s">
        <v>38</v>
      </c>
      <c r="O600" s="15"/>
      <c r="P600" s="16" t="s">
        <v>500</v>
      </c>
      <c r="Q600" s="17">
        <v>1399</v>
      </c>
      <c r="R600" s="18">
        <v>30</v>
      </c>
      <c r="S600" s="26">
        <v>1126.1949999999999</v>
      </c>
      <c r="T600" s="20" t="s">
        <v>75</v>
      </c>
      <c r="U600" s="21" t="s">
        <v>430</v>
      </c>
      <c r="V600" s="22" t="s">
        <v>77</v>
      </c>
      <c r="W600" s="23">
        <v>9</v>
      </c>
      <c r="X600" s="24"/>
    </row>
    <row r="601" spans="1:24" s="1" customFormat="1" ht="108" customHeight="1" x14ac:dyDescent="0.3">
      <c r="A601" s="11" t="s">
        <v>607</v>
      </c>
      <c r="B601" s="11" t="s">
        <v>934</v>
      </c>
      <c r="C601" s="12" t="s">
        <v>935</v>
      </c>
      <c r="D601" s="13"/>
      <c r="E601" s="67" t="str">
        <f>HYPERLINK("https://www.google.ru/search?q=285050-BL&amp;newwindow=1&amp;tbm=isch","Еще фото")</f>
        <v>Еще фото</v>
      </c>
      <c r="F601" s="14"/>
      <c r="G601" s="11" t="s">
        <v>924</v>
      </c>
      <c r="H601" s="11" t="s">
        <v>69</v>
      </c>
      <c r="I601" s="15" t="s">
        <v>287</v>
      </c>
      <c r="J601" s="15" t="s">
        <v>360</v>
      </c>
      <c r="K601" s="16" t="s">
        <v>71</v>
      </c>
      <c r="L601" s="15" t="s">
        <v>936</v>
      </c>
      <c r="M601" s="15"/>
      <c r="N601" s="15" t="s">
        <v>31</v>
      </c>
      <c r="O601" s="15"/>
      <c r="P601" s="16" t="s">
        <v>106</v>
      </c>
      <c r="Q601" s="53">
        <v>899</v>
      </c>
      <c r="R601" s="18">
        <v>30</v>
      </c>
      <c r="S601" s="26">
        <v>723.69499999999994</v>
      </c>
      <c r="T601" s="20" t="s">
        <v>75</v>
      </c>
      <c r="U601" s="21" t="s">
        <v>937</v>
      </c>
      <c r="V601" s="22" t="s">
        <v>77</v>
      </c>
      <c r="W601" s="23">
        <v>6</v>
      </c>
      <c r="X601" s="24"/>
    </row>
    <row r="602" spans="1:24" s="1" customFormat="1" ht="108" customHeight="1" x14ac:dyDescent="0.3">
      <c r="A602" s="11" t="s">
        <v>607</v>
      </c>
      <c r="B602" s="11" t="s">
        <v>934</v>
      </c>
      <c r="C602" s="12" t="s">
        <v>938</v>
      </c>
      <c r="D602" s="13"/>
      <c r="E602" s="67" t="str">
        <f>HYPERLINK("https://www.google.ru/search?q=285050-NV&amp;newwindow=1&amp;tbm=isch","Еще фото")</f>
        <v>Еще фото</v>
      </c>
      <c r="F602" s="14"/>
      <c r="G602" s="11" t="s">
        <v>924</v>
      </c>
      <c r="H602" s="11" t="s">
        <v>69</v>
      </c>
      <c r="I602" s="15" t="s">
        <v>287</v>
      </c>
      <c r="J602" s="15" t="s">
        <v>360</v>
      </c>
      <c r="K602" s="16" t="s">
        <v>71</v>
      </c>
      <c r="L602" s="15" t="s">
        <v>939</v>
      </c>
      <c r="M602" s="15"/>
      <c r="N602" s="15" t="s">
        <v>31</v>
      </c>
      <c r="O602" s="15"/>
      <c r="P602" s="16" t="s">
        <v>630</v>
      </c>
      <c r="Q602" s="53">
        <v>899</v>
      </c>
      <c r="R602" s="18">
        <v>30</v>
      </c>
      <c r="S602" s="26">
        <v>723.69499999999994</v>
      </c>
      <c r="T602" s="20" t="s">
        <v>75</v>
      </c>
      <c r="U602" s="21" t="s">
        <v>926</v>
      </c>
      <c r="V602" s="22" t="s">
        <v>77</v>
      </c>
      <c r="W602" s="23">
        <v>24</v>
      </c>
      <c r="X602" s="24"/>
    </row>
    <row r="603" spans="1:24" s="1" customFormat="1" ht="108" customHeight="1" x14ac:dyDescent="0.3">
      <c r="A603" s="11" t="s">
        <v>607</v>
      </c>
      <c r="B603" s="11" t="s">
        <v>934</v>
      </c>
      <c r="C603" s="12" t="s">
        <v>940</v>
      </c>
      <c r="D603" s="13"/>
      <c r="E603" s="67" t="str">
        <f>HYPERLINK("https://www.google.ru/search?q=285050-RD&amp;newwindow=1&amp;tbm=isch","Еще фото")</f>
        <v>Еще фото</v>
      </c>
      <c r="F603" s="14"/>
      <c r="G603" s="11" t="s">
        <v>924</v>
      </c>
      <c r="H603" s="11" t="s">
        <v>69</v>
      </c>
      <c r="I603" s="15" t="s">
        <v>287</v>
      </c>
      <c r="J603" s="15" t="s">
        <v>360</v>
      </c>
      <c r="K603" s="16" t="s">
        <v>71</v>
      </c>
      <c r="L603" s="15" t="s">
        <v>941</v>
      </c>
      <c r="M603" s="15"/>
      <c r="N603" s="15" t="s">
        <v>73</v>
      </c>
      <c r="O603" s="15"/>
      <c r="P603" s="16" t="s">
        <v>500</v>
      </c>
      <c r="Q603" s="53">
        <v>899</v>
      </c>
      <c r="R603" s="18">
        <v>30</v>
      </c>
      <c r="S603" s="26">
        <v>723.69499999999994</v>
      </c>
      <c r="T603" s="20" t="s">
        <v>75</v>
      </c>
      <c r="U603" s="21" t="s">
        <v>929</v>
      </c>
      <c r="V603" s="22" t="s">
        <v>77</v>
      </c>
      <c r="W603" s="23">
        <v>3</v>
      </c>
      <c r="X603" s="24"/>
    </row>
    <row r="604" spans="1:24" s="1" customFormat="1" ht="108" customHeight="1" x14ac:dyDescent="0.3">
      <c r="A604" s="11" t="s">
        <v>607</v>
      </c>
      <c r="B604" s="11" t="s">
        <v>922</v>
      </c>
      <c r="C604" s="12" t="s">
        <v>942</v>
      </c>
      <c r="D604" s="13"/>
      <c r="E604" s="67" t="str">
        <f>HYPERLINK("https://www.google.ru/search?q=285070-AN&amp;newwindow=1&amp;tbm=isch","Еще фото")</f>
        <v>Еще фото</v>
      </c>
      <c r="F604" s="14"/>
      <c r="G604" s="11" t="s">
        <v>924</v>
      </c>
      <c r="H604" s="11" t="s">
        <v>69</v>
      </c>
      <c r="I604" s="15" t="s">
        <v>287</v>
      </c>
      <c r="J604" s="15" t="s">
        <v>360</v>
      </c>
      <c r="K604" s="16" t="s">
        <v>71</v>
      </c>
      <c r="L604" s="15" t="s">
        <v>928</v>
      </c>
      <c r="M604" s="15"/>
      <c r="N604" s="15" t="s">
        <v>218</v>
      </c>
      <c r="O604" s="15"/>
      <c r="P604" s="16" t="s">
        <v>106</v>
      </c>
      <c r="Q604" s="17">
        <v>1399</v>
      </c>
      <c r="R604" s="18">
        <v>30</v>
      </c>
      <c r="S604" s="26">
        <v>1126.1949999999999</v>
      </c>
      <c r="T604" s="20" t="s">
        <v>75</v>
      </c>
      <c r="U604" s="21" t="s">
        <v>943</v>
      </c>
      <c r="V604" s="22" t="s">
        <v>77</v>
      </c>
      <c r="W604" s="23">
        <v>10</v>
      </c>
      <c r="X604" s="24"/>
    </row>
    <row r="605" spans="1:24" s="1" customFormat="1" ht="108" customHeight="1" x14ac:dyDescent="0.3">
      <c r="A605" s="11" t="s">
        <v>607</v>
      </c>
      <c r="B605" s="11" t="s">
        <v>922</v>
      </c>
      <c r="C605" s="12" t="s">
        <v>944</v>
      </c>
      <c r="D605" s="13"/>
      <c r="E605" s="67" t="str">
        <f>HYPERLINK("https://www.google.ru/search?q=285070-BK&amp;newwindow=1&amp;tbm=isch","Еще фото")</f>
        <v>Еще фото</v>
      </c>
      <c r="F605" s="14"/>
      <c r="G605" s="11" t="s">
        <v>924</v>
      </c>
      <c r="H605" s="11" t="s">
        <v>69</v>
      </c>
      <c r="I605" s="15" t="s">
        <v>287</v>
      </c>
      <c r="J605" s="15" t="s">
        <v>360</v>
      </c>
      <c r="K605" s="16" t="s">
        <v>71</v>
      </c>
      <c r="L605" s="15" t="s">
        <v>925</v>
      </c>
      <c r="M605" s="15"/>
      <c r="N605" s="15" t="s">
        <v>38</v>
      </c>
      <c r="O605" s="15"/>
      <c r="P605" s="16" t="s">
        <v>106</v>
      </c>
      <c r="Q605" s="17">
        <v>1399</v>
      </c>
      <c r="R605" s="18">
        <v>30</v>
      </c>
      <c r="S605" s="26">
        <v>1126.1949999999999</v>
      </c>
      <c r="T605" s="20" t="s">
        <v>75</v>
      </c>
      <c r="U605" s="21" t="s">
        <v>945</v>
      </c>
      <c r="V605" s="22" t="s">
        <v>77</v>
      </c>
      <c r="W605" s="23">
        <v>29</v>
      </c>
      <c r="X605" s="24"/>
    </row>
    <row r="606" spans="1:24" s="1" customFormat="1" ht="108" customHeight="1" x14ac:dyDescent="0.3">
      <c r="A606" s="11" t="s">
        <v>607</v>
      </c>
      <c r="B606" s="11" t="s">
        <v>922</v>
      </c>
      <c r="C606" s="12" t="s">
        <v>946</v>
      </c>
      <c r="D606" s="13"/>
      <c r="E606" s="67" t="str">
        <f>HYPERLINK("https://www.google.ru/search?q=285070-BL&amp;newwindow=1&amp;tbm=isch","Еще фото")</f>
        <v>Еще фото</v>
      </c>
      <c r="F606" s="14"/>
      <c r="G606" s="11" t="s">
        <v>924</v>
      </c>
      <c r="H606" s="11" t="s">
        <v>69</v>
      </c>
      <c r="I606" s="15" t="s">
        <v>287</v>
      </c>
      <c r="J606" s="15" t="s">
        <v>360</v>
      </c>
      <c r="K606" s="16" t="s">
        <v>71</v>
      </c>
      <c r="L606" s="15" t="s">
        <v>928</v>
      </c>
      <c r="M606" s="15"/>
      <c r="N606" s="15" t="s">
        <v>31</v>
      </c>
      <c r="O606" s="15"/>
      <c r="P606" s="16" t="s">
        <v>106</v>
      </c>
      <c r="Q606" s="17">
        <v>1399</v>
      </c>
      <c r="R606" s="18">
        <v>30</v>
      </c>
      <c r="S606" s="26">
        <v>1126.1949999999999</v>
      </c>
      <c r="T606" s="20" t="s">
        <v>75</v>
      </c>
      <c r="U606" s="21" t="s">
        <v>937</v>
      </c>
      <c r="V606" s="22" t="s">
        <v>77</v>
      </c>
      <c r="W606" s="23">
        <v>16</v>
      </c>
      <c r="X606" s="24"/>
    </row>
    <row r="607" spans="1:24" s="1" customFormat="1" ht="108" customHeight="1" x14ac:dyDescent="0.3">
      <c r="A607" s="11" t="s">
        <v>607</v>
      </c>
      <c r="B607" s="11" t="s">
        <v>922</v>
      </c>
      <c r="C607" s="12" t="s">
        <v>947</v>
      </c>
      <c r="D607" s="13"/>
      <c r="E607" s="67" t="str">
        <f>HYPERLINK("https://www.google.ru/search?q=285070-OR&amp;newwindow=1&amp;tbm=isch","Еще фото")</f>
        <v>Еще фото</v>
      </c>
      <c r="F607" s="14"/>
      <c r="G607" s="11" t="s">
        <v>924</v>
      </c>
      <c r="H607" s="11" t="s">
        <v>69</v>
      </c>
      <c r="I607" s="15" t="s">
        <v>287</v>
      </c>
      <c r="J607" s="15" t="s">
        <v>360</v>
      </c>
      <c r="K607" s="16" t="s">
        <v>71</v>
      </c>
      <c r="L607" s="15" t="s">
        <v>928</v>
      </c>
      <c r="M607" s="15"/>
      <c r="N607" s="15" t="s">
        <v>948</v>
      </c>
      <c r="O607" s="15"/>
      <c r="P607" s="16" t="s">
        <v>106</v>
      </c>
      <c r="Q607" s="17">
        <v>1399</v>
      </c>
      <c r="R607" s="18">
        <v>30</v>
      </c>
      <c r="S607" s="26">
        <v>1126.1949999999999</v>
      </c>
      <c r="T607" s="20" t="s">
        <v>75</v>
      </c>
      <c r="U607" s="21" t="s">
        <v>949</v>
      </c>
      <c r="V607" s="22" t="s">
        <v>77</v>
      </c>
      <c r="W607" s="23">
        <v>22</v>
      </c>
      <c r="X607" s="24"/>
    </row>
    <row r="608" spans="1:24" s="1" customFormat="1" ht="108" customHeight="1" x14ac:dyDescent="0.3">
      <c r="A608" s="11" t="s">
        <v>607</v>
      </c>
      <c r="B608" s="11" t="s">
        <v>950</v>
      </c>
      <c r="C608" s="12" t="s">
        <v>951</v>
      </c>
      <c r="D608" s="13"/>
      <c r="E608" s="67" t="str">
        <f>HYPERLINK("https://www.google.ru/search?q=285088-WH&amp;newwindow=1&amp;tbm=isch","Еще фото")</f>
        <v>Еще фото</v>
      </c>
      <c r="F608" s="14" t="s">
        <v>253</v>
      </c>
      <c r="G608" s="11" t="s">
        <v>752</v>
      </c>
      <c r="H608" s="11" t="s">
        <v>669</v>
      </c>
      <c r="I608" s="15" t="s">
        <v>952</v>
      </c>
      <c r="J608" s="15" t="s">
        <v>360</v>
      </c>
      <c r="K608" s="16" t="s">
        <v>71</v>
      </c>
      <c r="L608" s="15"/>
      <c r="M608" s="15"/>
      <c r="N608" s="15" t="s">
        <v>173</v>
      </c>
      <c r="O608" s="15"/>
      <c r="P608" s="16" t="s">
        <v>106</v>
      </c>
      <c r="Q608" s="53">
        <v>799</v>
      </c>
      <c r="R608" s="18">
        <v>60.23</v>
      </c>
      <c r="S608" s="26">
        <v>365.43549999999993</v>
      </c>
      <c r="T608" s="20" t="s">
        <v>75</v>
      </c>
      <c r="U608" s="21" t="s">
        <v>953</v>
      </c>
      <c r="V608" s="22" t="s">
        <v>77</v>
      </c>
      <c r="W608" s="54">
        <v>1705</v>
      </c>
      <c r="X608" s="24"/>
    </row>
    <row r="609" spans="1:24" s="1" customFormat="1" ht="108" customHeight="1" x14ac:dyDescent="0.3">
      <c r="A609" s="11" t="s">
        <v>607</v>
      </c>
      <c r="B609" s="11" t="s">
        <v>954</v>
      </c>
      <c r="C609" s="12" t="s">
        <v>955</v>
      </c>
      <c r="D609" s="13"/>
      <c r="E609" s="67" t="str">
        <f>HYPERLINK("https://www.google.ru/search?q=285511-BK&amp;newwindow=1&amp;tbm=isch","Еще фото")</f>
        <v>Еще фото</v>
      </c>
      <c r="F609" s="14"/>
      <c r="G609" s="11" t="s">
        <v>956</v>
      </c>
      <c r="H609" s="11" t="s">
        <v>669</v>
      </c>
      <c r="I609" s="15" t="s">
        <v>952</v>
      </c>
      <c r="J609" s="15" t="s">
        <v>360</v>
      </c>
      <c r="K609" s="16" t="s">
        <v>71</v>
      </c>
      <c r="L609" s="15"/>
      <c r="M609" s="15"/>
      <c r="N609" s="15" t="s">
        <v>38</v>
      </c>
      <c r="O609" s="15"/>
      <c r="P609" s="16" t="s">
        <v>957</v>
      </c>
      <c r="Q609" s="53">
        <v>899</v>
      </c>
      <c r="R609" s="18">
        <v>60.2</v>
      </c>
      <c r="S609" s="26">
        <v>411.43549999999993</v>
      </c>
      <c r="T609" s="20" t="s">
        <v>75</v>
      </c>
      <c r="U609" s="21" t="s">
        <v>945</v>
      </c>
      <c r="V609" s="22" t="s">
        <v>77</v>
      </c>
      <c r="W609" s="23">
        <v>165</v>
      </c>
      <c r="X609" s="24"/>
    </row>
    <row r="610" spans="1:24" s="1" customFormat="1" ht="108" customHeight="1" x14ac:dyDescent="0.3">
      <c r="A610" s="11" t="s">
        <v>607</v>
      </c>
      <c r="B610" s="11" t="s">
        <v>958</v>
      </c>
      <c r="C610" s="12" t="s">
        <v>959</v>
      </c>
      <c r="D610" s="13"/>
      <c r="E610" s="67" t="str">
        <f>HYPERLINK("https://www.google.ru/search?q=282010-BW&amp;newwindow=1&amp;tbm=isch","Еще фото")</f>
        <v>Еще фото</v>
      </c>
      <c r="F610" s="14"/>
      <c r="G610" s="11" t="s">
        <v>960</v>
      </c>
      <c r="H610" s="11" t="s">
        <v>669</v>
      </c>
      <c r="I610" s="15" t="s">
        <v>952</v>
      </c>
      <c r="J610" s="15" t="s">
        <v>360</v>
      </c>
      <c r="K610" s="16" t="s">
        <v>71</v>
      </c>
      <c r="L610" s="15" t="s">
        <v>961</v>
      </c>
      <c r="M610" s="15"/>
      <c r="N610" s="15" t="s">
        <v>265</v>
      </c>
      <c r="O610" s="15"/>
      <c r="P610" s="16" t="s">
        <v>670</v>
      </c>
      <c r="Q610" s="17">
        <v>2799</v>
      </c>
      <c r="R610" s="18">
        <v>58.28</v>
      </c>
      <c r="S610" s="19">
        <v>1342.9354999999998</v>
      </c>
      <c r="T610" s="20" t="s">
        <v>75</v>
      </c>
      <c r="U610" s="21" t="s">
        <v>962</v>
      </c>
      <c r="V610" s="22" t="s">
        <v>77</v>
      </c>
      <c r="W610" s="23">
        <v>143</v>
      </c>
      <c r="X610" s="24"/>
    </row>
    <row r="611" spans="1:24" s="1" customFormat="1" ht="108" customHeight="1" x14ac:dyDescent="0.3">
      <c r="A611" s="11" t="s">
        <v>607</v>
      </c>
      <c r="B611" s="11" t="s">
        <v>950</v>
      </c>
      <c r="C611" s="12" t="s">
        <v>963</v>
      </c>
      <c r="D611" s="13"/>
      <c r="E611" s="67" t="str">
        <f>HYPERLINK("https://www.google.ru/search?q=285088-BK&amp;newwindow=1&amp;tbm=isch","Еще фото")</f>
        <v>Еще фото</v>
      </c>
      <c r="F611" s="14" t="s">
        <v>253</v>
      </c>
      <c r="G611" s="11" t="s">
        <v>752</v>
      </c>
      <c r="H611" s="11" t="s">
        <v>669</v>
      </c>
      <c r="I611" s="15" t="s">
        <v>952</v>
      </c>
      <c r="J611" s="15" t="s">
        <v>360</v>
      </c>
      <c r="K611" s="16" t="s">
        <v>71</v>
      </c>
      <c r="L611" s="15" t="s">
        <v>964</v>
      </c>
      <c r="M611" s="15"/>
      <c r="N611" s="15" t="s">
        <v>38</v>
      </c>
      <c r="O611" s="15"/>
      <c r="P611" s="16" t="s">
        <v>106</v>
      </c>
      <c r="Q611" s="53">
        <v>799</v>
      </c>
      <c r="R611" s="18">
        <v>57.73</v>
      </c>
      <c r="S611" s="26">
        <v>388.43549999999993</v>
      </c>
      <c r="T611" s="20" t="s">
        <v>75</v>
      </c>
      <c r="U611" s="21" t="s">
        <v>945</v>
      </c>
      <c r="V611" s="22" t="s">
        <v>77</v>
      </c>
      <c r="W611" s="54">
        <v>1275</v>
      </c>
      <c r="X611" s="24"/>
    </row>
    <row r="612" spans="1:24" s="1" customFormat="1" ht="108" customHeight="1" x14ac:dyDescent="0.3">
      <c r="A612" s="11" t="s">
        <v>607</v>
      </c>
      <c r="B612" s="11" t="s">
        <v>965</v>
      </c>
      <c r="C612" s="12" t="s">
        <v>966</v>
      </c>
      <c r="D612" s="13"/>
      <c r="E612" s="67" t="str">
        <f>HYPERLINK("https://www.google.ru/search?q=288011-SI&amp;newwindow=1&amp;tbm=isch","Еще фото")</f>
        <v>Еще фото</v>
      </c>
      <c r="F612" s="14"/>
      <c r="G612" s="11" t="s">
        <v>956</v>
      </c>
      <c r="H612" s="11" t="s">
        <v>669</v>
      </c>
      <c r="I612" s="15" t="s">
        <v>952</v>
      </c>
      <c r="J612" s="15" t="s">
        <v>360</v>
      </c>
      <c r="K612" s="16" t="s">
        <v>71</v>
      </c>
      <c r="L612" s="15" t="s">
        <v>967</v>
      </c>
      <c r="M612" s="15"/>
      <c r="N612" s="15" t="s">
        <v>218</v>
      </c>
      <c r="O612" s="15"/>
      <c r="P612" s="16" t="s">
        <v>968</v>
      </c>
      <c r="Q612" s="53">
        <v>699</v>
      </c>
      <c r="R612" s="18">
        <v>57.4</v>
      </c>
      <c r="S612" s="26">
        <v>342.43549999999993</v>
      </c>
      <c r="T612" s="20" t="s">
        <v>75</v>
      </c>
      <c r="U612" s="21" t="s">
        <v>969</v>
      </c>
      <c r="V612" s="22" t="s">
        <v>77</v>
      </c>
      <c r="W612" s="23">
        <v>378</v>
      </c>
      <c r="X612" s="24"/>
    </row>
    <row r="613" spans="1:24" s="1" customFormat="1" ht="108" customHeight="1" x14ac:dyDescent="0.3">
      <c r="A613" s="11" t="s">
        <v>607</v>
      </c>
      <c r="B613" s="11" t="s">
        <v>970</v>
      </c>
      <c r="C613" s="12" t="s">
        <v>971</v>
      </c>
      <c r="D613" s="13"/>
      <c r="E613" s="67" t="str">
        <f>HYPERLINK("https://www.google.ru/search?q=285303-GZ&amp;newwindow=1&amp;tbm=isch","Еще фото")</f>
        <v>Еще фото</v>
      </c>
      <c r="F613" s="14"/>
      <c r="G613" s="11" t="s">
        <v>960</v>
      </c>
      <c r="H613" s="11" t="s">
        <v>669</v>
      </c>
      <c r="I613" s="15" t="s">
        <v>952</v>
      </c>
      <c r="J613" s="15" t="s">
        <v>360</v>
      </c>
      <c r="K613" s="16" t="s">
        <v>71</v>
      </c>
      <c r="L613" s="15" t="s">
        <v>972</v>
      </c>
      <c r="M613" s="15"/>
      <c r="N613" s="15" t="s">
        <v>218</v>
      </c>
      <c r="O613" s="15"/>
      <c r="P613" s="16" t="s">
        <v>500</v>
      </c>
      <c r="Q613" s="17">
        <v>1099</v>
      </c>
      <c r="R613" s="18">
        <v>55.62</v>
      </c>
      <c r="S613" s="26">
        <v>560.93549999999993</v>
      </c>
      <c r="T613" s="20" t="s">
        <v>75</v>
      </c>
      <c r="U613" s="21" t="s">
        <v>973</v>
      </c>
      <c r="V613" s="22" t="s">
        <v>77</v>
      </c>
      <c r="W613" s="23">
        <v>64</v>
      </c>
      <c r="X613" s="24"/>
    </row>
    <row r="614" spans="1:24" s="1" customFormat="1" ht="108" customHeight="1" x14ac:dyDescent="0.3">
      <c r="A614" s="11" t="s">
        <v>607</v>
      </c>
      <c r="B614" s="11" t="s">
        <v>970</v>
      </c>
      <c r="C614" s="12" t="s">
        <v>974</v>
      </c>
      <c r="D614" s="13"/>
      <c r="E614" s="67" t="str">
        <f>HYPERLINK("https://www.google.ru/search?q=285303-WH&amp;newwindow=1&amp;tbm=isch","Еще фото")</f>
        <v>Еще фото</v>
      </c>
      <c r="F614" s="14"/>
      <c r="G614" s="11" t="s">
        <v>960</v>
      </c>
      <c r="H614" s="11" t="s">
        <v>669</v>
      </c>
      <c r="I614" s="15" t="s">
        <v>952</v>
      </c>
      <c r="J614" s="15" t="s">
        <v>360</v>
      </c>
      <c r="K614" s="16" t="s">
        <v>71</v>
      </c>
      <c r="L614" s="15" t="s">
        <v>972</v>
      </c>
      <c r="M614" s="15"/>
      <c r="N614" s="15" t="s">
        <v>173</v>
      </c>
      <c r="O614" s="15"/>
      <c r="P614" s="16" t="s">
        <v>500</v>
      </c>
      <c r="Q614" s="17">
        <v>1099</v>
      </c>
      <c r="R614" s="18">
        <v>55.62</v>
      </c>
      <c r="S614" s="26">
        <v>560.93549999999993</v>
      </c>
      <c r="T614" s="20" t="s">
        <v>75</v>
      </c>
      <c r="U614" s="21" t="s">
        <v>953</v>
      </c>
      <c r="V614" s="22" t="s">
        <v>77</v>
      </c>
      <c r="W614" s="23">
        <v>113</v>
      </c>
      <c r="X614" s="24"/>
    </row>
    <row r="615" spans="1:24" s="1" customFormat="1" ht="108" customHeight="1" x14ac:dyDescent="0.3">
      <c r="A615" s="11" t="s">
        <v>607</v>
      </c>
      <c r="B615" s="11" t="s">
        <v>970</v>
      </c>
      <c r="C615" s="12" t="s">
        <v>975</v>
      </c>
      <c r="D615" s="13"/>
      <c r="E615" s="67" t="str">
        <f>HYPERLINK("https://www.google.ru/search?q=285303-YW&amp;newwindow=1&amp;tbm=isch","Еще фото")</f>
        <v>Еще фото</v>
      </c>
      <c r="F615" s="14"/>
      <c r="G615" s="11" t="s">
        <v>960</v>
      </c>
      <c r="H615" s="11" t="s">
        <v>669</v>
      </c>
      <c r="I615" s="15" t="s">
        <v>952</v>
      </c>
      <c r="J615" s="15" t="s">
        <v>360</v>
      </c>
      <c r="K615" s="16" t="s">
        <v>71</v>
      </c>
      <c r="L615" s="15" t="s">
        <v>972</v>
      </c>
      <c r="M615" s="15"/>
      <c r="N615" s="15" t="s">
        <v>225</v>
      </c>
      <c r="O615" s="15"/>
      <c r="P615" s="16" t="s">
        <v>500</v>
      </c>
      <c r="Q615" s="17">
        <v>1099</v>
      </c>
      <c r="R615" s="18">
        <v>55.62</v>
      </c>
      <c r="S615" s="26">
        <v>560.93549999999993</v>
      </c>
      <c r="T615" s="20" t="s">
        <v>75</v>
      </c>
      <c r="U615" s="21" t="s">
        <v>755</v>
      </c>
      <c r="V615" s="22" t="s">
        <v>77</v>
      </c>
      <c r="W615" s="23">
        <v>63</v>
      </c>
      <c r="X615" s="24"/>
    </row>
    <row r="616" spans="1:24" s="1" customFormat="1" ht="108" customHeight="1" x14ac:dyDescent="0.3">
      <c r="A616" s="11" t="s">
        <v>607</v>
      </c>
      <c r="B616" s="11" t="s">
        <v>976</v>
      </c>
      <c r="C616" s="12" t="s">
        <v>977</v>
      </c>
      <c r="D616" s="13"/>
      <c r="E616" s="67" t="str">
        <f>HYPERLINK("https://www.google.ru/search?q=285313-BK&amp;newwindow=1&amp;tbm=isch","Еще фото")</f>
        <v>Еще фото</v>
      </c>
      <c r="F616" s="14"/>
      <c r="G616" s="11" t="s">
        <v>960</v>
      </c>
      <c r="H616" s="11" t="s">
        <v>669</v>
      </c>
      <c r="I616" s="15" t="s">
        <v>952</v>
      </c>
      <c r="J616" s="15" t="s">
        <v>360</v>
      </c>
      <c r="K616" s="16" t="s">
        <v>71</v>
      </c>
      <c r="L616" s="15" t="s">
        <v>978</v>
      </c>
      <c r="M616" s="15"/>
      <c r="N616" s="15" t="s">
        <v>38</v>
      </c>
      <c r="O616" s="15"/>
      <c r="P616" s="16" t="s">
        <v>106</v>
      </c>
      <c r="Q616" s="17">
        <v>1099</v>
      </c>
      <c r="R616" s="18">
        <v>55.62</v>
      </c>
      <c r="S616" s="26">
        <v>560.93549999999993</v>
      </c>
      <c r="T616" s="20" t="s">
        <v>75</v>
      </c>
      <c r="U616" s="21" t="s">
        <v>945</v>
      </c>
      <c r="V616" s="22" t="s">
        <v>77</v>
      </c>
      <c r="W616" s="23">
        <v>199</v>
      </c>
      <c r="X616" s="24"/>
    </row>
    <row r="617" spans="1:24" s="1" customFormat="1" ht="108" customHeight="1" x14ac:dyDescent="0.3">
      <c r="A617" s="11" t="s">
        <v>607</v>
      </c>
      <c r="B617" s="11" t="s">
        <v>976</v>
      </c>
      <c r="C617" s="12" t="s">
        <v>979</v>
      </c>
      <c r="D617" s="13"/>
      <c r="E617" s="67" t="str">
        <f>HYPERLINK("https://www.google.ru/search?q=285313-WH&amp;newwindow=1&amp;tbm=isch","Еще фото")</f>
        <v>Еще фото</v>
      </c>
      <c r="F617" s="14"/>
      <c r="G617" s="11" t="s">
        <v>960</v>
      </c>
      <c r="H617" s="11" t="s">
        <v>669</v>
      </c>
      <c r="I617" s="15" t="s">
        <v>952</v>
      </c>
      <c r="J617" s="15" t="s">
        <v>360</v>
      </c>
      <c r="K617" s="16" t="s">
        <v>71</v>
      </c>
      <c r="L617" s="15" t="s">
        <v>978</v>
      </c>
      <c r="M617" s="15"/>
      <c r="N617" s="15" t="s">
        <v>173</v>
      </c>
      <c r="O617" s="15"/>
      <c r="P617" s="16" t="s">
        <v>500</v>
      </c>
      <c r="Q617" s="17">
        <v>1099</v>
      </c>
      <c r="R617" s="18">
        <v>55.62</v>
      </c>
      <c r="S617" s="26">
        <v>560.93549999999993</v>
      </c>
      <c r="T617" s="20" t="s">
        <v>75</v>
      </c>
      <c r="U617" s="21" t="s">
        <v>953</v>
      </c>
      <c r="V617" s="22" t="s">
        <v>77</v>
      </c>
      <c r="W617" s="23">
        <v>217</v>
      </c>
      <c r="X617" s="24"/>
    </row>
    <row r="618" spans="1:24" s="1" customFormat="1" ht="108" customHeight="1" x14ac:dyDescent="0.3">
      <c r="A618" s="11" t="s">
        <v>607</v>
      </c>
      <c r="B618" s="11" t="s">
        <v>950</v>
      </c>
      <c r="C618" s="12" t="s">
        <v>980</v>
      </c>
      <c r="D618" s="13"/>
      <c r="E618" s="67" t="str">
        <f>HYPERLINK("https://www.google.ru/search?q=285088-BL&amp;newwindow=1&amp;tbm=isch","Еще фото")</f>
        <v>Еще фото</v>
      </c>
      <c r="F618" s="14"/>
      <c r="G618" s="11" t="s">
        <v>752</v>
      </c>
      <c r="H618" s="11" t="s">
        <v>669</v>
      </c>
      <c r="I618" s="15" t="s">
        <v>952</v>
      </c>
      <c r="J618" s="15" t="s">
        <v>360</v>
      </c>
      <c r="K618" s="16" t="s">
        <v>71</v>
      </c>
      <c r="L618" s="15"/>
      <c r="M618" s="15"/>
      <c r="N618" s="15" t="s">
        <v>31</v>
      </c>
      <c r="O618" s="15"/>
      <c r="P618" s="16" t="s">
        <v>106</v>
      </c>
      <c r="Q618" s="53">
        <v>799</v>
      </c>
      <c r="R618" s="18">
        <v>55.22</v>
      </c>
      <c r="S618" s="26">
        <v>411.43549999999993</v>
      </c>
      <c r="T618" s="20" t="s">
        <v>75</v>
      </c>
      <c r="U618" s="21" t="s">
        <v>937</v>
      </c>
      <c r="V618" s="22" t="s">
        <v>77</v>
      </c>
      <c r="W618" s="23">
        <v>410</v>
      </c>
      <c r="X618" s="24"/>
    </row>
    <row r="619" spans="1:24" s="1" customFormat="1" ht="108" customHeight="1" x14ac:dyDescent="0.3">
      <c r="A619" s="11" t="s">
        <v>607</v>
      </c>
      <c r="B619" s="11" t="s">
        <v>981</v>
      </c>
      <c r="C619" s="12" t="s">
        <v>982</v>
      </c>
      <c r="D619" s="13"/>
      <c r="E619" s="67" t="str">
        <f>HYPERLINK("https://www.google.ru/search?q=285120-BLYW&amp;newwindow=1&amp;tbm=isch","Еще фото")</f>
        <v>Еще фото</v>
      </c>
      <c r="F619" s="14"/>
      <c r="G619" s="11" t="s">
        <v>956</v>
      </c>
      <c r="H619" s="11" t="s">
        <v>669</v>
      </c>
      <c r="I619" s="15" t="s">
        <v>952</v>
      </c>
      <c r="J619" s="15" t="s">
        <v>360</v>
      </c>
      <c r="K619" s="16" t="s">
        <v>71</v>
      </c>
      <c r="L619" s="15" t="s">
        <v>983</v>
      </c>
      <c r="M619" s="15"/>
      <c r="N619" s="15" t="s">
        <v>984</v>
      </c>
      <c r="O619" s="15"/>
      <c r="P619" s="16" t="s">
        <v>106</v>
      </c>
      <c r="Q619" s="53">
        <v>799</v>
      </c>
      <c r="R619" s="18">
        <v>55.22</v>
      </c>
      <c r="S619" s="26">
        <v>411.43549999999993</v>
      </c>
      <c r="T619" s="20" t="s">
        <v>75</v>
      </c>
      <c r="U619" s="21" t="s">
        <v>985</v>
      </c>
      <c r="V619" s="22" t="s">
        <v>77</v>
      </c>
      <c r="W619" s="23">
        <v>70</v>
      </c>
      <c r="X619" s="24"/>
    </row>
    <row r="620" spans="1:24" s="1" customFormat="1" ht="108" customHeight="1" x14ac:dyDescent="0.3">
      <c r="A620" s="11" t="s">
        <v>607</v>
      </c>
      <c r="B620" s="11" t="s">
        <v>981</v>
      </c>
      <c r="C620" s="12" t="s">
        <v>986</v>
      </c>
      <c r="D620" s="13"/>
      <c r="E620" s="67" t="str">
        <f>HYPERLINK("https://www.google.ru/search?q=285120-TEHL&amp;newwindow=1&amp;tbm=isch","Еще фото")</f>
        <v>Еще фото</v>
      </c>
      <c r="F620" s="14"/>
      <c r="G620" s="11" t="s">
        <v>956</v>
      </c>
      <c r="H620" s="11" t="s">
        <v>669</v>
      </c>
      <c r="I620" s="15" t="s">
        <v>952</v>
      </c>
      <c r="J620" s="15" t="s">
        <v>360</v>
      </c>
      <c r="K620" s="16" t="s">
        <v>71</v>
      </c>
      <c r="L620" s="15" t="s">
        <v>987</v>
      </c>
      <c r="M620" s="15"/>
      <c r="N620" s="15" t="s">
        <v>988</v>
      </c>
      <c r="O620" s="15"/>
      <c r="P620" s="16" t="s">
        <v>989</v>
      </c>
      <c r="Q620" s="53">
        <v>799</v>
      </c>
      <c r="R620" s="18">
        <v>55.22</v>
      </c>
      <c r="S620" s="26">
        <v>411.43549999999993</v>
      </c>
      <c r="T620" s="20" t="s">
        <v>75</v>
      </c>
      <c r="U620" s="21" t="s">
        <v>990</v>
      </c>
      <c r="V620" s="22" t="s">
        <v>77</v>
      </c>
      <c r="W620" s="23">
        <v>54</v>
      </c>
      <c r="X620" s="24"/>
    </row>
    <row r="621" spans="1:24" s="1" customFormat="1" ht="108" customHeight="1" x14ac:dyDescent="0.3">
      <c r="A621" s="11" t="s">
        <v>607</v>
      </c>
      <c r="B621" s="11" t="s">
        <v>954</v>
      </c>
      <c r="C621" s="12" t="s">
        <v>991</v>
      </c>
      <c r="D621" s="13"/>
      <c r="E621" s="67" t="str">
        <f>HYPERLINK("https://www.google.ru/search?q=285511-OR&amp;newwindow=1&amp;tbm=isch","Еще фото")</f>
        <v>Еще фото</v>
      </c>
      <c r="F621" s="14"/>
      <c r="G621" s="11" t="s">
        <v>956</v>
      </c>
      <c r="H621" s="11" t="s">
        <v>669</v>
      </c>
      <c r="I621" s="15" t="s">
        <v>952</v>
      </c>
      <c r="J621" s="15" t="s">
        <v>360</v>
      </c>
      <c r="K621" s="16" t="s">
        <v>71</v>
      </c>
      <c r="L621" s="15"/>
      <c r="M621" s="15"/>
      <c r="N621" s="15" t="s">
        <v>948</v>
      </c>
      <c r="O621" s="15"/>
      <c r="P621" s="16" t="s">
        <v>968</v>
      </c>
      <c r="Q621" s="53">
        <v>799</v>
      </c>
      <c r="R621" s="18">
        <v>55.22</v>
      </c>
      <c r="S621" s="26">
        <v>411.43549999999993</v>
      </c>
      <c r="T621" s="20" t="s">
        <v>75</v>
      </c>
      <c r="U621" s="21" t="s">
        <v>949</v>
      </c>
      <c r="V621" s="22" t="s">
        <v>77</v>
      </c>
      <c r="W621" s="23">
        <v>159</v>
      </c>
      <c r="X621" s="24"/>
    </row>
    <row r="622" spans="1:24" s="1" customFormat="1" ht="108" customHeight="1" x14ac:dyDescent="0.3">
      <c r="A622" s="11" t="s">
        <v>607</v>
      </c>
      <c r="B622" s="11" t="s">
        <v>992</v>
      </c>
      <c r="C622" s="12" t="s">
        <v>993</v>
      </c>
      <c r="D622" s="13"/>
      <c r="E622" s="67" t="str">
        <f>HYPERLINK("https://www.google.ru/search?q=285515-PK&amp;newwindow=1&amp;tbm=isch","Еще фото")</f>
        <v>Еще фото</v>
      </c>
      <c r="F622" s="14"/>
      <c r="G622" s="11" t="s">
        <v>956</v>
      </c>
      <c r="H622" s="11" t="s">
        <v>669</v>
      </c>
      <c r="I622" s="15" t="s">
        <v>952</v>
      </c>
      <c r="J622" s="15" t="s">
        <v>360</v>
      </c>
      <c r="K622" s="16" t="s">
        <v>71</v>
      </c>
      <c r="L622" s="15"/>
      <c r="M622" s="15"/>
      <c r="N622" s="15" t="s">
        <v>212</v>
      </c>
      <c r="O622" s="15"/>
      <c r="P622" s="16" t="s">
        <v>994</v>
      </c>
      <c r="Q622" s="53">
        <v>799</v>
      </c>
      <c r="R622" s="18">
        <v>55.22</v>
      </c>
      <c r="S622" s="26">
        <v>411.43549999999993</v>
      </c>
      <c r="T622" s="20" t="s">
        <v>75</v>
      </c>
      <c r="U622" s="21" t="s">
        <v>995</v>
      </c>
      <c r="V622" s="22" t="s">
        <v>77</v>
      </c>
      <c r="W622" s="23">
        <v>109</v>
      </c>
      <c r="X622" s="24"/>
    </row>
    <row r="623" spans="1:24" s="1" customFormat="1" ht="108" customHeight="1" x14ac:dyDescent="0.3">
      <c r="A623" s="11" t="s">
        <v>607</v>
      </c>
      <c r="B623" s="11" t="s">
        <v>992</v>
      </c>
      <c r="C623" s="12" t="s">
        <v>996</v>
      </c>
      <c r="D623" s="13"/>
      <c r="E623" s="67" t="str">
        <f>HYPERLINK("https://www.google.ru/search?q=285515-YW&amp;newwindow=1&amp;tbm=isch","Еще фото")</f>
        <v>Еще фото</v>
      </c>
      <c r="F623" s="14"/>
      <c r="G623" s="11" t="s">
        <v>956</v>
      </c>
      <c r="H623" s="11" t="s">
        <v>669</v>
      </c>
      <c r="I623" s="15" t="s">
        <v>952</v>
      </c>
      <c r="J623" s="15" t="s">
        <v>360</v>
      </c>
      <c r="K623" s="16" t="s">
        <v>71</v>
      </c>
      <c r="L623" s="15" t="s">
        <v>997</v>
      </c>
      <c r="M623" s="15"/>
      <c r="N623" s="15" t="s">
        <v>225</v>
      </c>
      <c r="O623" s="15"/>
      <c r="P623" s="16" t="s">
        <v>968</v>
      </c>
      <c r="Q623" s="53">
        <v>799</v>
      </c>
      <c r="R623" s="18">
        <v>55.22</v>
      </c>
      <c r="S623" s="26">
        <v>411.43549999999993</v>
      </c>
      <c r="T623" s="20" t="s">
        <v>75</v>
      </c>
      <c r="U623" s="21" t="s">
        <v>755</v>
      </c>
      <c r="V623" s="22" t="s">
        <v>77</v>
      </c>
      <c r="W623" s="23">
        <v>88</v>
      </c>
      <c r="X623" s="24"/>
    </row>
    <row r="624" spans="1:24" s="1" customFormat="1" ht="108" customHeight="1" x14ac:dyDescent="0.3">
      <c r="A624" s="11" t="s">
        <v>607</v>
      </c>
      <c r="B624" s="11" t="s">
        <v>998</v>
      </c>
      <c r="C624" s="12" t="s">
        <v>999</v>
      </c>
      <c r="D624" s="13"/>
      <c r="E624" s="67" t="str">
        <f>HYPERLINK("https://www.google.ru/search?q=285704-WH&amp;newwindow=1&amp;tbm=isch","Еще фото")</f>
        <v>Еще фото</v>
      </c>
      <c r="F624" s="14"/>
      <c r="G624" s="11" t="s">
        <v>956</v>
      </c>
      <c r="H624" s="11" t="s">
        <v>669</v>
      </c>
      <c r="I624" s="15" t="s">
        <v>952</v>
      </c>
      <c r="J624" s="15" t="s">
        <v>360</v>
      </c>
      <c r="K624" s="16" t="s">
        <v>71</v>
      </c>
      <c r="L624" s="15" t="s">
        <v>1000</v>
      </c>
      <c r="M624" s="15"/>
      <c r="N624" s="15" t="s">
        <v>173</v>
      </c>
      <c r="O624" s="15"/>
      <c r="P624" s="16" t="s">
        <v>994</v>
      </c>
      <c r="Q624" s="53">
        <v>799</v>
      </c>
      <c r="R624" s="18">
        <v>55.22</v>
      </c>
      <c r="S624" s="26">
        <v>411.43549999999993</v>
      </c>
      <c r="T624" s="20" t="s">
        <v>75</v>
      </c>
      <c r="U624" s="21" t="s">
        <v>953</v>
      </c>
      <c r="V624" s="22" t="s">
        <v>77</v>
      </c>
      <c r="W624" s="23">
        <v>206</v>
      </c>
      <c r="X624" s="24"/>
    </row>
    <row r="625" spans="1:24" s="1" customFormat="1" ht="108" customHeight="1" x14ac:dyDescent="0.3">
      <c r="A625" s="11" t="s">
        <v>607</v>
      </c>
      <c r="B625" s="11" t="s">
        <v>954</v>
      </c>
      <c r="C625" s="12" t="s">
        <v>1001</v>
      </c>
      <c r="D625" s="13"/>
      <c r="E625" s="67" t="str">
        <f>HYPERLINK("https://www.google.ru/search?q=285511-YW&amp;newwindow=1&amp;tbm=isch","Еще фото")</f>
        <v>Еще фото</v>
      </c>
      <c r="F625" s="14"/>
      <c r="G625" s="11" t="s">
        <v>956</v>
      </c>
      <c r="H625" s="11" t="s">
        <v>669</v>
      </c>
      <c r="I625" s="15" t="s">
        <v>952</v>
      </c>
      <c r="J625" s="15" t="s">
        <v>360</v>
      </c>
      <c r="K625" s="16" t="s">
        <v>71</v>
      </c>
      <c r="L625" s="15"/>
      <c r="M625" s="15"/>
      <c r="N625" s="15" t="s">
        <v>225</v>
      </c>
      <c r="O625" s="15"/>
      <c r="P625" s="16" t="s">
        <v>968</v>
      </c>
      <c r="Q625" s="53">
        <v>729</v>
      </c>
      <c r="R625" s="18">
        <v>55.04</v>
      </c>
      <c r="S625" s="26">
        <v>376.93549999999993</v>
      </c>
      <c r="T625" s="20" t="s">
        <v>75</v>
      </c>
      <c r="U625" s="21" t="s">
        <v>755</v>
      </c>
      <c r="V625" s="22" t="s">
        <v>77</v>
      </c>
      <c r="W625" s="23">
        <v>119</v>
      </c>
      <c r="X625" s="24"/>
    </row>
    <row r="626" spans="1:24" s="1" customFormat="1" ht="108" customHeight="1" x14ac:dyDescent="0.3">
      <c r="A626" s="11" t="s">
        <v>607</v>
      </c>
      <c r="B626" s="11" t="s">
        <v>1002</v>
      </c>
      <c r="C626" s="12" t="s">
        <v>1003</v>
      </c>
      <c r="D626" s="13"/>
      <c r="E626" s="67" t="str">
        <f>HYPERLINK("https://www.google.ru/search?q=285034-BK&amp;newwindow=1&amp;tbm=isch","Еще фото")</f>
        <v>Еще фото</v>
      </c>
      <c r="F626" s="14" t="s">
        <v>253</v>
      </c>
      <c r="G626" s="11" t="s">
        <v>960</v>
      </c>
      <c r="H626" s="11" t="s">
        <v>669</v>
      </c>
      <c r="I626" s="15" t="s">
        <v>952</v>
      </c>
      <c r="J626" s="15" t="s">
        <v>360</v>
      </c>
      <c r="K626" s="16" t="s">
        <v>71</v>
      </c>
      <c r="L626" s="15"/>
      <c r="M626" s="15"/>
      <c r="N626" s="15" t="s">
        <v>38</v>
      </c>
      <c r="O626" s="15"/>
      <c r="P626" s="16" t="s">
        <v>500</v>
      </c>
      <c r="Q626" s="53">
        <v>899</v>
      </c>
      <c r="R626" s="18">
        <v>45.74</v>
      </c>
      <c r="S626" s="26">
        <v>560.93549999999993</v>
      </c>
      <c r="T626" s="20" t="s">
        <v>75</v>
      </c>
      <c r="U626" s="21" t="s">
        <v>945</v>
      </c>
      <c r="V626" s="22" t="s">
        <v>77</v>
      </c>
      <c r="W626" s="23">
        <v>300</v>
      </c>
      <c r="X626" s="24"/>
    </row>
    <row r="627" spans="1:24" s="1" customFormat="1" ht="108" customHeight="1" x14ac:dyDescent="0.3">
      <c r="A627" s="11" t="s">
        <v>607</v>
      </c>
      <c r="B627" s="11" t="s">
        <v>1004</v>
      </c>
      <c r="C627" s="12" t="s">
        <v>1005</v>
      </c>
      <c r="D627" s="13"/>
      <c r="E627" s="67" t="str">
        <f>HYPERLINK("https://www.google.ru/search?q=285014-BKRD&amp;newwindow=1&amp;tbm=isch","Еще фото")</f>
        <v>Еще фото</v>
      </c>
      <c r="F627" s="14"/>
      <c r="G627" s="11" t="s">
        <v>960</v>
      </c>
      <c r="H627" s="11" t="s">
        <v>669</v>
      </c>
      <c r="I627" s="15" t="s">
        <v>952</v>
      </c>
      <c r="J627" s="15" t="s">
        <v>360</v>
      </c>
      <c r="K627" s="16" t="s">
        <v>71</v>
      </c>
      <c r="L627" s="15" t="s">
        <v>1006</v>
      </c>
      <c r="M627" s="15"/>
      <c r="N627" s="15" t="s">
        <v>38</v>
      </c>
      <c r="O627" s="15"/>
      <c r="P627" s="16" t="s">
        <v>106</v>
      </c>
      <c r="Q627" s="17">
        <v>1099</v>
      </c>
      <c r="R627" s="18">
        <v>45.61</v>
      </c>
      <c r="S627" s="26">
        <v>687.43549999999993</v>
      </c>
      <c r="T627" s="20" t="s">
        <v>75</v>
      </c>
      <c r="U627" s="21" t="s">
        <v>1007</v>
      </c>
      <c r="V627" s="22" t="s">
        <v>77</v>
      </c>
      <c r="W627" s="23">
        <v>49</v>
      </c>
      <c r="X627" s="24"/>
    </row>
    <row r="628" spans="1:24" s="1" customFormat="1" ht="108" customHeight="1" x14ac:dyDescent="0.3">
      <c r="A628" s="11" t="s">
        <v>607</v>
      </c>
      <c r="B628" s="11" t="s">
        <v>970</v>
      </c>
      <c r="C628" s="12" t="s">
        <v>1008</v>
      </c>
      <c r="D628" s="13"/>
      <c r="E628" s="67" t="str">
        <f>HYPERLINK("https://www.google.ru/search?q=285303-BK&amp;newwindow=1&amp;tbm=isch","Еще фото")</f>
        <v>Еще фото</v>
      </c>
      <c r="F628" s="14"/>
      <c r="G628" s="11" t="s">
        <v>960</v>
      </c>
      <c r="H628" s="11" t="s">
        <v>669</v>
      </c>
      <c r="I628" s="15" t="s">
        <v>952</v>
      </c>
      <c r="J628" s="15" t="s">
        <v>360</v>
      </c>
      <c r="K628" s="16" t="s">
        <v>71</v>
      </c>
      <c r="L628" s="15" t="s">
        <v>972</v>
      </c>
      <c r="M628" s="15"/>
      <c r="N628" s="15" t="s">
        <v>38</v>
      </c>
      <c r="O628" s="15"/>
      <c r="P628" s="16" t="s">
        <v>500</v>
      </c>
      <c r="Q628" s="17">
        <v>1099</v>
      </c>
      <c r="R628" s="18">
        <v>45.61</v>
      </c>
      <c r="S628" s="26">
        <v>687.43549999999993</v>
      </c>
      <c r="T628" s="20" t="s">
        <v>75</v>
      </c>
      <c r="U628" s="21" t="s">
        <v>945</v>
      </c>
      <c r="V628" s="22" t="s">
        <v>77</v>
      </c>
      <c r="W628" s="23">
        <v>94</v>
      </c>
      <c r="X628" s="24"/>
    </row>
    <row r="629" spans="1:24" s="1" customFormat="1" ht="108" customHeight="1" x14ac:dyDescent="0.3">
      <c r="A629" s="11" t="s">
        <v>607</v>
      </c>
      <c r="B629" s="11" t="s">
        <v>1009</v>
      </c>
      <c r="C629" s="12" t="s">
        <v>1010</v>
      </c>
      <c r="D629" s="13"/>
      <c r="E629" s="67" t="str">
        <f>HYPERLINK("https://www.google.ru/search?q=285631-BK&amp;newwindow=1&amp;tbm=isch","Еще фото")</f>
        <v>Еще фото</v>
      </c>
      <c r="F629" s="14"/>
      <c r="G629" s="11" t="s">
        <v>1011</v>
      </c>
      <c r="H629" s="11" t="s">
        <v>669</v>
      </c>
      <c r="I629" s="15" t="s">
        <v>952</v>
      </c>
      <c r="J629" s="15" t="s">
        <v>360</v>
      </c>
      <c r="K629" s="16" t="s">
        <v>71</v>
      </c>
      <c r="L629" s="15" t="s">
        <v>1012</v>
      </c>
      <c r="M629" s="15"/>
      <c r="N629" s="15" t="s">
        <v>38</v>
      </c>
      <c r="O629" s="15"/>
      <c r="P629" s="16" t="s">
        <v>500</v>
      </c>
      <c r="Q629" s="17">
        <v>3199</v>
      </c>
      <c r="R629" s="18">
        <v>45.05</v>
      </c>
      <c r="S629" s="19">
        <v>2021.4354999999998</v>
      </c>
      <c r="T629" s="20" t="s">
        <v>75</v>
      </c>
      <c r="U629" s="21" t="s">
        <v>945</v>
      </c>
      <c r="V629" s="22" t="s">
        <v>77</v>
      </c>
      <c r="W629" s="23">
        <v>32</v>
      </c>
      <c r="X629" s="24"/>
    </row>
    <row r="630" spans="1:24" s="1" customFormat="1" ht="108" customHeight="1" x14ac:dyDescent="0.3">
      <c r="A630" s="11" t="s">
        <v>607</v>
      </c>
      <c r="B630" s="11" t="s">
        <v>1009</v>
      </c>
      <c r="C630" s="12" t="s">
        <v>1013</v>
      </c>
      <c r="D630" s="13"/>
      <c r="E630" s="67" t="str">
        <f>HYPERLINK("https://www.google.ru/search?q=285631-PK&amp;newwindow=1&amp;tbm=isch","Еще фото")</f>
        <v>Еще фото</v>
      </c>
      <c r="F630" s="14"/>
      <c r="G630" s="11" t="s">
        <v>1014</v>
      </c>
      <c r="H630" s="11" t="s">
        <v>669</v>
      </c>
      <c r="I630" s="15" t="s">
        <v>952</v>
      </c>
      <c r="J630" s="15" t="s">
        <v>360</v>
      </c>
      <c r="K630" s="16" t="s">
        <v>71</v>
      </c>
      <c r="L630" s="15" t="s">
        <v>1015</v>
      </c>
      <c r="M630" s="15"/>
      <c r="N630" s="15" t="s">
        <v>212</v>
      </c>
      <c r="O630" s="15"/>
      <c r="P630" s="16" t="s">
        <v>106</v>
      </c>
      <c r="Q630" s="17">
        <v>3199</v>
      </c>
      <c r="R630" s="18">
        <v>45.05</v>
      </c>
      <c r="S630" s="19">
        <v>2021.4354999999998</v>
      </c>
      <c r="T630" s="20" t="s">
        <v>75</v>
      </c>
      <c r="U630" s="21" t="s">
        <v>995</v>
      </c>
      <c r="V630" s="22" t="s">
        <v>77</v>
      </c>
      <c r="W630" s="23">
        <v>15</v>
      </c>
      <c r="X630" s="24"/>
    </row>
    <row r="631" spans="1:24" s="1" customFormat="1" ht="108" customHeight="1" x14ac:dyDescent="0.3">
      <c r="A631" s="11" t="s">
        <v>607</v>
      </c>
      <c r="B631" s="11" t="s">
        <v>1009</v>
      </c>
      <c r="C631" s="12" t="s">
        <v>1016</v>
      </c>
      <c r="D631" s="13"/>
      <c r="E631" s="67" t="str">
        <f>HYPERLINK("https://www.google.ru/search?q=285631-WH&amp;newwindow=1&amp;tbm=isch","Еще фото")</f>
        <v>Еще фото</v>
      </c>
      <c r="F631" s="14"/>
      <c r="G631" s="11" t="s">
        <v>1011</v>
      </c>
      <c r="H631" s="11" t="s">
        <v>669</v>
      </c>
      <c r="I631" s="15" t="s">
        <v>952</v>
      </c>
      <c r="J631" s="15" t="s">
        <v>360</v>
      </c>
      <c r="K631" s="16" t="s">
        <v>71</v>
      </c>
      <c r="L631" s="15" t="s">
        <v>1012</v>
      </c>
      <c r="M631" s="15"/>
      <c r="N631" s="15" t="s">
        <v>173</v>
      </c>
      <c r="O631" s="15"/>
      <c r="P631" s="16" t="s">
        <v>500</v>
      </c>
      <c r="Q631" s="17">
        <v>3199</v>
      </c>
      <c r="R631" s="18">
        <v>45.05</v>
      </c>
      <c r="S631" s="19">
        <v>2021.4354999999998</v>
      </c>
      <c r="T631" s="20" t="s">
        <v>75</v>
      </c>
      <c r="U631" s="21" t="s">
        <v>953</v>
      </c>
      <c r="V631" s="22" t="s">
        <v>77</v>
      </c>
      <c r="W631" s="23">
        <v>35</v>
      </c>
      <c r="X631" s="24"/>
    </row>
    <row r="632" spans="1:24" s="1" customFormat="1" ht="108" customHeight="1" x14ac:dyDescent="0.3">
      <c r="A632" s="11" t="s">
        <v>607</v>
      </c>
      <c r="B632" s="11" t="s">
        <v>1017</v>
      </c>
      <c r="C632" s="12" t="s">
        <v>1018</v>
      </c>
      <c r="D632" s="13"/>
      <c r="E632" s="67" t="str">
        <f>HYPERLINK("https://www.google.ru/search?q=285104-BK&amp;newwindow=1&amp;tbm=isch","Еще фото")</f>
        <v>Еще фото</v>
      </c>
      <c r="F632" s="14"/>
      <c r="G632" s="11" t="s">
        <v>752</v>
      </c>
      <c r="H632" s="11" t="s">
        <v>669</v>
      </c>
      <c r="I632" s="15" t="s">
        <v>952</v>
      </c>
      <c r="J632" s="15" t="s">
        <v>360</v>
      </c>
      <c r="K632" s="16" t="s">
        <v>71</v>
      </c>
      <c r="L632" s="15" t="s">
        <v>1019</v>
      </c>
      <c r="M632" s="15"/>
      <c r="N632" s="15" t="s">
        <v>38</v>
      </c>
      <c r="O632" s="15"/>
      <c r="P632" s="16" t="s">
        <v>106</v>
      </c>
      <c r="Q632" s="53">
        <v>899</v>
      </c>
      <c r="R632" s="18">
        <v>33</v>
      </c>
      <c r="S632" s="26">
        <v>692.67949999999996</v>
      </c>
      <c r="T632" s="20" t="s">
        <v>75</v>
      </c>
      <c r="U632" s="21" t="s">
        <v>945</v>
      </c>
      <c r="V632" s="22" t="s">
        <v>77</v>
      </c>
      <c r="W632" s="23">
        <v>405</v>
      </c>
      <c r="X632" s="24"/>
    </row>
    <row r="633" spans="1:24" s="1" customFormat="1" ht="108" customHeight="1" x14ac:dyDescent="0.3">
      <c r="A633" s="11" t="s">
        <v>607</v>
      </c>
      <c r="B633" s="11" t="s">
        <v>1017</v>
      </c>
      <c r="C633" s="12" t="s">
        <v>1020</v>
      </c>
      <c r="D633" s="13"/>
      <c r="E633" s="67" t="str">
        <f>HYPERLINK("https://www.google.ru/search?q=285104-BL&amp;newwindow=1&amp;tbm=isch","Еще фото")</f>
        <v>Еще фото</v>
      </c>
      <c r="F633" s="14"/>
      <c r="G633" s="11" t="s">
        <v>752</v>
      </c>
      <c r="H633" s="11" t="s">
        <v>669</v>
      </c>
      <c r="I633" s="15" t="s">
        <v>952</v>
      </c>
      <c r="J633" s="15" t="s">
        <v>360</v>
      </c>
      <c r="K633" s="16" t="s">
        <v>71</v>
      </c>
      <c r="L633" s="15" t="s">
        <v>1019</v>
      </c>
      <c r="M633" s="15"/>
      <c r="N633" s="15" t="s">
        <v>31</v>
      </c>
      <c r="O633" s="15"/>
      <c r="P633" s="16" t="s">
        <v>106</v>
      </c>
      <c r="Q633" s="53">
        <v>899</v>
      </c>
      <c r="R633" s="18">
        <v>33</v>
      </c>
      <c r="S633" s="26">
        <v>692.67949999999996</v>
      </c>
      <c r="T633" s="20" t="s">
        <v>75</v>
      </c>
      <c r="U633" s="21" t="s">
        <v>937</v>
      </c>
      <c r="V633" s="22" t="s">
        <v>77</v>
      </c>
      <c r="W633" s="23">
        <v>126</v>
      </c>
      <c r="X633" s="24"/>
    </row>
    <row r="634" spans="1:24" s="1" customFormat="1" ht="108" customHeight="1" x14ac:dyDescent="0.3">
      <c r="A634" s="11" t="s">
        <v>607</v>
      </c>
      <c r="B634" s="11" t="s">
        <v>750</v>
      </c>
      <c r="C634" s="12" t="s">
        <v>1021</v>
      </c>
      <c r="D634" s="13"/>
      <c r="E634" s="67" t="str">
        <f>HYPERLINK("https://www.google.ru/search?q=285621-PK&amp;newwindow=1&amp;tbm=isch","Еще фото")</f>
        <v>Еще фото</v>
      </c>
      <c r="F634" s="14"/>
      <c r="G634" s="11" t="s">
        <v>752</v>
      </c>
      <c r="H634" s="11" t="s">
        <v>669</v>
      </c>
      <c r="I634" s="15" t="s">
        <v>952</v>
      </c>
      <c r="J634" s="15" t="s">
        <v>360</v>
      </c>
      <c r="K634" s="16" t="s">
        <v>71</v>
      </c>
      <c r="L634" s="15" t="s">
        <v>754</v>
      </c>
      <c r="M634" s="15"/>
      <c r="N634" s="15" t="s">
        <v>212</v>
      </c>
      <c r="O634" s="15"/>
      <c r="P634" s="16" t="s">
        <v>500</v>
      </c>
      <c r="Q634" s="53">
        <v>999</v>
      </c>
      <c r="R634" s="18">
        <v>33</v>
      </c>
      <c r="S634" s="26">
        <v>769.72950000000003</v>
      </c>
      <c r="T634" s="20" t="s">
        <v>75</v>
      </c>
      <c r="U634" s="21" t="s">
        <v>995</v>
      </c>
      <c r="V634" s="22" t="s">
        <v>77</v>
      </c>
      <c r="W634" s="23">
        <v>97</v>
      </c>
      <c r="X634" s="24"/>
    </row>
    <row r="635" spans="1:24" s="1" customFormat="1" ht="108" customHeight="1" x14ac:dyDescent="0.3">
      <c r="A635" s="11" t="s">
        <v>607</v>
      </c>
      <c r="B635" s="11" t="s">
        <v>1022</v>
      </c>
      <c r="C635" s="12" t="s">
        <v>1023</v>
      </c>
      <c r="D635" s="13"/>
      <c r="E635" s="67" t="str">
        <f>HYPERLINK("https://www.google.ru/search?q=282009-BK&amp;newwindow=1&amp;tbm=isch","Еще фото")</f>
        <v>Еще фото</v>
      </c>
      <c r="F635" s="14"/>
      <c r="G635" s="11" t="s">
        <v>752</v>
      </c>
      <c r="H635" s="11" t="s">
        <v>669</v>
      </c>
      <c r="I635" s="15" t="s">
        <v>952</v>
      </c>
      <c r="J635" s="15" t="s">
        <v>360</v>
      </c>
      <c r="K635" s="16" t="s">
        <v>71</v>
      </c>
      <c r="L635" s="15" t="s">
        <v>1024</v>
      </c>
      <c r="M635" s="15"/>
      <c r="N635" s="15" t="s">
        <v>38</v>
      </c>
      <c r="O635" s="15"/>
      <c r="P635" s="16" t="s">
        <v>1025</v>
      </c>
      <c r="Q635" s="53">
        <v>999</v>
      </c>
      <c r="R635" s="18">
        <v>30</v>
      </c>
      <c r="S635" s="26">
        <v>804.19499999999994</v>
      </c>
      <c r="T635" s="20" t="s">
        <v>75</v>
      </c>
      <c r="U635" s="21" t="s">
        <v>945</v>
      </c>
      <c r="V635" s="22" t="s">
        <v>77</v>
      </c>
      <c r="W635" s="23">
        <v>100</v>
      </c>
      <c r="X635" s="24"/>
    </row>
    <row r="636" spans="1:24" s="1" customFormat="1" ht="108" customHeight="1" x14ac:dyDescent="0.3">
      <c r="A636" s="11" t="s">
        <v>607</v>
      </c>
      <c r="B636" s="11" t="s">
        <v>1022</v>
      </c>
      <c r="C636" s="12" t="s">
        <v>1026</v>
      </c>
      <c r="D636" s="13"/>
      <c r="E636" s="67" t="str">
        <f>HYPERLINK("https://www.google.ru/search?q=282009-WH&amp;newwindow=1&amp;tbm=isch","Еще фото")</f>
        <v>Еще фото</v>
      </c>
      <c r="F636" s="55" t="s">
        <v>688</v>
      </c>
      <c r="G636" s="11" t="s">
        <v>752</v>
      </c>
      <c r="H636" s="11" t="s">
        <v>669</v>
      </c>
      <c r="I636" s="15" t="s">
        <v>952</v>
      </c>
      <c r="J636" s="15" t="s">
        <v>360</v>
      </c>
      <c r="K636" s="16" t="s">
        <v>71</v>
      </c>
      <c r="L636" s="15"/>
      <c r="M636" s="15"/>
      <c r="N636" s="15" t="s">
        <v>173</v>
      </c>
      <c r="O636" s="15"/>
      <c r="P636" s="16" t="s">
        <v>1025</v>
      </c>
      <c r="Q636" s="53">
        <v>999</v>
      </c>
      <c r="R636" s="18">
        <v>30</v>
      </c>
      <c r="S636" s="26">
        <v>804.19499999999994</v>
      </c>
      <c r="T636" s="20" t="s">
        <v>75</v>
      </c>
      <c r="U636" s="21" t="s">
        <v>953</v>
      </c>
      <c r="V636" s="22" t="s">
        <v>77</v>
      </c>
      <c r="W636" s="23">
        <v>106</v>
      </c>
      <c r="X636" s="24"/>
    </row>
    <row r="637" spans="1:24" s="1" customFormat="1" ht="108" customHeight="1" x14ac:dyDescent="0.3">
      <c r="A637" s="11" t="s">
        <v>607</v>
      </c>
      <c r="B637" s="11" t="s">
        <v>1027</v>
      </c>
      <c r="C637" s="12" t="s">
        <v>1028</v>
      </c>
      <c r="D637" s="13"/>
      <c r="E637" s="67" t="str">
        <f>HYPERLINK("https://www.google.ru/search?q=285014-GRBK&amp;newwindow=1&amp;tbm=isch","Еще фото")</f>
        <v>Еще фото</v>
      </c>
      <c r="F637" s="55" t="s">
        <v>688</v>
      </c>
      <c r="G637" s="11" t="s">
        <v>1029</v>
      </c>
      <c r="H637" s="11" t="s">
        <v>669</v>
      </c>
      <c r="I637" s="15" t="s">
        <v>952</v>
      </c>
      <c r="J637" s="15" t="s">
        <v>360</v>
      </c>
      <c r="K637" s="16" t="s">
        <v>71</v>
      </c>
      <c r="L637" s="15" t="s">
        <v>1006</v>
      </c>
      <c r="M637" s="15"/>
      <c r="N637" s="15" t="s">
        <v>218</v>
      </c>
      <c r="O637" s="15"/>
      <c r="P637" s="16" t="s">
        <v>106</v>
      </c>
      <c r="Q637" s="17">
        <v>1299</v>
      </c>
      <c r="R637" s="18">
        <v>30</v>
      </c>
      <c r="S637" s="26">
        <v>1045.6949999999999</v>
      </c>
      <c r="T637" s="20" t="s">
        <v>75</v>
      </c>
      <c r="U637" s="21" t="s">
        <v>1030</v>
      </c>
      <c r="V637" s="22" t="s">
        <v>77</v>
      </c>
      <c r="W637" s="23">
        <v>1</v>
      </c>
      <c r="X637" s="24"/>
    </row>
    <row r="638" spans="1:24" s="1" customFormat="1" ht="108" customHeight="1" x14ac:dyDescent="0.3">
      <c r="A638" s="11" t="s">
        <v>607</v>
      </c>
      <c r="B638" s="11" t="s">
        <v>1004</v>
      </c>
      <c r="C638" s="12" t="s">
        <v>1031</v>
      </c>
      <c r="D638" s="13"/>
      <c r="E638" s="67" t="str">
        <f>HYPERLINK("https://www.google.ru/search?q=285014-WHBK&amp;newwindow=1&amp;tbm=isch","Еще фото")</f>
        <v>Еще фото</v>
      </c>
      <c r="F638" s="14"/>
      <c r="G638" s="11" t="s">
        <v>960</v>
      </c>
      <c r="H638" s="11" t="s">
        <v>669</v>
      </c>
      <c r="I638" s="15" t="s">
        <v>952</v>
      </c>
      <c r="J638" s="15" t="s">
        <v>360</v>
      </c>
      <c r="K638" s="16" t="s">
        <v>71</v>
      </c>
      <c r="L638" s="15" t="s">
        <v>1006</v>
      </c>
      <c r="M638" s="15"/>
      <c r="N638" s="15" t="s">
        <v>173</v>
      </c>
      <c r="O638" s="15"/>
      <c r="P638" s="16" t="s">
        <v>106</v>
      </c>
      <c r="Q638" s="53">
        <v>999</v>
      </c>
      <c r="R638" s="18">
        <v>30</v>
      </c>
      <c r="S638" s="26">
        <v>804.19499999999994</v>
      </c>
      <c r="T638" s="20" t="s">
        <v>75</v>
      </c>
      <c r="U638" s="21" t="s">
        <v>1032</v>
      </c>
      <c r="V638" s="22" t="s">
        <v>77</v>
      </c>
      <c r="W638" s="23">
        <v>12</v>
      </c>
      <c r="X638" s="24"/>
    </row>
    <row r="639" spans="1:24" s="1" customFormat="1" ht="108" customHeight="1" x14ac:dyDescent="0.3">
      <c r="A639" s="11" t="s">
        <v>607</v>
      </c>
      <c r="B639" s="11" t="s">
        <v>1033</v>
      </c>
      <c r="C639" s="12" t="s">
        <v>1034</v>
      </c>
      <c r="D639" s="13"/>
      <c r="E639" s="67" t="str">
        <f>HYPERLINK("https://www.google.ru/search?q=285018-BK&amp;newwindow=1&amp;tbm=isch","Еще фото")</f>
        <v>Еще фото</v>
      </c>
      <c r="F639" s="14"/>
      <c r="G639" s="11" t="s">
        <v>1033</v>
      </c>
      <c r="H639" s="11" t="s">
        <v>669</v>
      </c>
      <c r="I639" s="15" t="s">
        <v>952</v>
      </c>
      <c r="J639" s="15" t="s">
        <v>360</v>
      </c>
      <c r="K639" s="16" t="s">
        <v>71</v>
      </c>
      <c r="L639" s="15" t="s">
        <v>1035</v>
      </c>
      <c r="M639" s="15"/>
      <c r="N639" s="15" t="s">
        <v>38</v>
      </c>
      <c r="O639" s="15"/>
      <c r="P639" s="16" t="s">
        <v>106</v>
      </c>
      <c r="Q639" s="17">
        <v>1399</v>
      </c>
      <c r="R639" s="18">
        <v>30</v>
      </c>
      <c r="S639" s="26">
        <v>1126.1949999999999</v>
      </c>
      <c r="T639" s="20" t="s">
        <v>75</v>
      </c>
      <c r="U639" s="21" t="s">
        <v>945</v>
      </c>
      <c r="V639" s="22" t="s">
        <v>77</v>
      </c>
      <c r="W639" s="23">
        <v>36</v>
      </c>
      <c r="X639" s="24"/>
    </row>
    <row r="640" spans="1:24" s="1" customFormat="1" ht="108" customHeight="1" x14ac:dyDescent="0.3">
      <c r="A640" s="11" t="s">
        <v>607</v>
      </c>
      <c r="B640" s="11" t="s">
        <v>1033</v>
      </c>
      <c r="C640" s="12" t="s">
        <v>1036</v>
      </c>
      <c r="D640" s="13"/>
      <c r="E640" s="67" t="str">
        <f>HYPERLINK("https://www.google.ru/search?q=285018-WH&amp;newwindow=1&amp;tbm=isch","Еще фото")</f>
        <v>Еще фото</v>
      </c>
      <c r="F640" s="14"/>
      <c r="G640" s="11" t="s">
        <v>1033</v>
      </c>
      <c r="H640" s="11" t="s">
        <v>669</v>
      </c>
      <c r="I640" s="15" t="s">
        <v>952</v>
      </c>
      <c r="J640" s="15" t="s">
        <v>360</v>
      </c>
      <c r="K640" s="16" t="s">
        <v>71</v>
      </c>
      <c r="L640" s="15" t="s">
        <v>1035</v>
      </c>
      <c r="M640" s="15"/>
      <c r="N640" s="15" t="s">
        <v>173</v>
      </c>
      <c r="O640" s="15"/>
      <c r="P640" s="16" t="s">
        <v>106</v>
      </c>
      <c r="Q640" s="17">
        <v>1399</v>
      </c>
      <c r="R640" s="18">
        <v>30</v>
      </c>
      <c r="S640" s="26">
        <v>1126.1949999999999</v>
      </c>
      <c r="T640" s="20" t="s">
        <v>75</v>
      </c>
      <c r="U640" s="21" t="s">
        <v>953</v>
      </c>
      <c r="V640" s="22" t="s">
        <v>77</v>
      </c>
      <c r="W640" s="23">
        <v>83</v>
      </c>
      <c r="X640" s="24"/>
    </row>
    <row r="641" spans="1:24" s="1" customFormat="1" ht="108" customHeight="1" x14ac:dyDescent="0.3">
      <c r="A641" s="11" t="s">
        <v>607</v>
      </c>
      <c r="B641" s="11" t="s">
        <v>1017</v>
      </c>
      <c r="C641" s="12" t="s">
        <v>1037</v>
      </c>
      <c r="D641" s="13"/>
      <c r="E641" s="67" t="str">
        <f>HYPERLINK("https://www.google.ru/search?q=285104-PK&amp;newwindow=1&amp;tbm=isch","Еще фото")</f>
        <v>Еще фото</v>
      </c>
      <c r="F641" s="14"/>
      <c r="G641" s="11" t="s">
        <v>752</v>
      </c>
      <c r="H641" s="11" t="s">
        <v>669</v>
      </c>
      <c r="I641" s="15" t="s">
        <v>952</v>
      </c>
      <c r="J641" s="15" t="s">
        <v>360</v>
      </c>
      <c r="K641" s="16" t="s">
        <v>71</v>
      </c>
      <c r="L641" s="15" t="s">
        <v>1019</v>
      </c>
      <c r="M641" s="15"/>
      <c r="N641" s="15" t="s">
        <v>212</v>
      </c>
      <c r="O641" s="15"/>
      <c r="P641" s="16" t="s">
        <v>106</v>
      </c>
      <c r="Q641" s="53">
        <v>899</v>
      </c>
      <c r="R641" s="18">
        <v>30</v>
      </c>
      <c r="S641" s="26">
        <v>723.69499999999994</v>
      </c>
      <c r="T641" s="20" t="s">
        <v>75</v>
      </c>
      <c r="U641" s="21" t="s">
        <v>995</v>
      </c>
      <c r="V641" s="22" t="s">
        <v>77</v>
      </c>
      <c r="W641" s="23">
        <v>96</v>
      </c>
      <c r="X641" s="24"/>
    </row>
    <row r="642" spans="1:24" s="1" customFormat="1" ht="108" customHeight="1" x14ac:dyDescent="0.3">
      <c r="A642" s="11" t="s">
        <v>607</v>
      </c>
      <c r="B642" s="11" t="s">
        <v>1017</v>
      </c>
      <c r="C642" s="12" t="s">
        <v>1038</v>
      </c>
      <c r="D642" s="13"/>
      <c r="E642" s="67" t="str">
        <f>HYPERLINK("https://www.google.ru/search?q=285104-RD&amp;newwindow=1&amp;tbm=isch","Еще фото")</f>
        <v>Еще фото</v>
      </c>
      <c r="F642" s="14"/>
      <c r="G642" s="11" t="s">
        <v>752</v>
      </c>
      <c r="H642" s="11" t="s">
        <v>669</v>
      </c>
      <c r="I642" s="15" t="s">
        <v>952</v>
      </c>
      <c r="J642" s="15" t="s">
        <v>360</v>
      </c>
      <c r="K642" s="16" t="s">
        <v>71</v>
      </c>
      <c r="L642" s="15" t="s">
        <v>1019</v>
      </c>
      <c r="M642" s="15"/>
      <c r="N642" s="15" t="s">
        <v>73</v>
      </c>
      <c r="O642" s="15"/>
      <c r="P642" s="16" t="s">
        <v>106</v>
      </c>
      <c r="Q642" s="53">
        <v>899</v>
      </c>
      <c r="R642" s="18">
        <v>30</v>
      </c>
      <c r="S642" s="26">
        <v>723.69499999999994</v>
      </c>
      <c r="T642" s="20" t="s">
        <v>75</v>
      </c>
      <c r="U642" s="21" t="s">
        <v>929</v>
      </c>
      <c r="V642" s="22" t="s">
        <v>77</v>
      </c>
      <c r="W642" s="23">
        <v>8</v>
      </c>
      <c r="X642" s="24"/>
    </row>
    <row r="643" spans="1:24" s="1" customFormat="1" ht="108" customHeight="1" x14ac:dyDescent="0.3">
      <c r="A643" s="11" t="s">
        <v>607</v>
      </c>
      <c r="B643" s="11" t="s">
        <v>1017</v>
      </c>
      <c r="C643" s="12" t="s">
        <v>1039</v>
      </c>
      <c r="D643" s="13"/>
      <c r="E643" s="67" t="str">
        <f>HYPERLINK("https://www.google.ru/search?q=285104-WH&amp;newwindow=1&amp;tbm=isch","Еще фото")</f>
        <v>Еще фото</v>
      </c>
      <c r="F643" s="14" t="s">
        <v>253</v>
      </c>
      <c r="G643" s="11" t="s">
        <v>752</v>
      </c>
      <c r="H643" s="11" t="s">
        <v>669</v>
      </c>
      <c r="I643" s="15" t="s">
        <v>952</v>
      </c>
      <c r="J643" s="15" t="s">
        <v>360</v>
      </c>
      <c r="K643" s="16" t="s">
        <v>71</v>
      </c>
      <c r="L643" s="15" t="s">
        <v>1019</v>
      </c>
      <c r="M643" s="15"/>
      <c r="N643" s="15" t="s">
        <v>173</v>
      </c>
      <c r="O643" s="15"/>
      <c r="P643" s="16" t="s">
        <v>106</v>
      </c>
      <c r="Q643" s="53">
        <v>899</v>
      </c>
      <c r="R643" s="18">
        <v>30</v>
      </c>
      <c r="S643" s="26">
        <v>723.69499999999994</v>
      </c>
      <c r="T643" s="20" t="s">
        <v>75</v>
      </c>
      <c r="U643" s="21" t="s">
        <v>953</v>
      </c>
      <c r="V643" s="22" t="s">
        <v>77</v>
      </c>
      <c r="W643" s="23">
        <v>591</v>
      </c>
      <c r="X643" s="24"/>
    </row>
    <row r="644" spans="1:24" s="1" customFormat="1" ht="108" customHeight="1" x14ac:dyDescent="0.3">
      <c r="A644" s="11" t="s">
        <v>607</v>
      </c>
      <c r="B644" s="11" t="s">
        <v>1040</v>
      </c>
      <c r="C644" s="12" t="s">
        <v>1041</v>
      </c>
      <c r="D644" s="13"/>
      <c r="E644" s="67" t="str">
        <f>HYPERLINK("https://www.google.ru/search?q=285124-BK&amp;newwindow=1&amp;tbm=isch","Еще фото")</f>
        <v>Еще фото</v>
      </c>
      <c r="F644" s="14"/>
      <c r="G644" s="11" t="s">
        <v>752</v>
      </c>
      <c r="H644" s="11" t="s">
        <v>669</v>
      </c>
      <c r="I644" s="15" t="s">
        <v>952</v>
      </c>
      <c r="J644" s="15" t="s">
        <v>360</v>
      </c>
      <c r="K644" s="16" t="s">
        <v>71</v>
      </c>
      <c r="L644" s="15" t="s">
        <v>1042</v>
      </c>
      <c r="M644" s="15"/>
      <c r="N644" s="15" t="s">
        <v>38</v>
      </c>
      <c r="O644" s="15"/>
      <c r="P644" s="16" t="s">
        <v>106</v>
      </c>
      <c r="Q644" s="53">
        <v>799</v>
      </c>
      <c r="R644" s="18">
        <v>30</v>
      </c>
      <c r="S644" s="26">
        <v>643.19499999999994</v>
      </c>
      <c r="T644" s="20" t="s">
        <v>75</v>
      </c>
      <c r="U644" s="21" t="s">
        <v>945</v>
      </c>
      <c r="V644" s="22" t="s">
        <v>77</v>
      </c>
      <c r="W644" s="23">
        <v>94</v>
      </c>
      <c r="X644" s="24"/>
    </row>
    <row r="645" spans="1:24" s="1" customFormat="1" ht="108" customHeight="1" x14ac:dyDescent="0.3">
      <c r="A645" s="11" t="s">
        <v>607</v>
      </c>
      <c r="B645" s="11" t="s">
        <v>1040</v>
      </c>
      <c r="C645" s="12" t="s">
        <v>1043</v>
      </c>
      <c r="D645" s="13"/>
      <c r="E645" s="67" t="str">
        <f>HYPERLINK("https://www.google.ru/search?q=285124-WH&amp;newwindow=1&amp;tbm=isch","Еще фото")</f>
        <v>Еще фото</v>
      </c>
      <c r="F645" s="14"/>
      <c r="G645" s="11" t="s">
        <v>752</v>
      </c>
      <c r="H645" s="11" t="s">
        <v>669</v>
      </c>
      <c r="I645" s="15" t="s">
        <v>952</v>
      </c>
      <c r="J645" s="15" t="s">
        <v>360</v>
      </c>
      <c r="K645" s="16" t="s">
        <v>71</v>
      </c>
      <c r="L645" s="15" t="s">
        <v>1042</v>
      </c>
      <c r="M645" s="15"/>
      <c r="N645" s="15" t="s">
        <v>173</v>
      </c>
      <c r="O645" s="15"/>
      <c r="P645" s="16" t="s">
        <v>106</v>
      </c>
      <c r="Q645" s="53">
        <v>799</v>
      </c>
      <c r="R645" s="18">
        <v>30</v>
      </c>
      <c r="S645" s="26">
        <v>643.19499999999994</v>
      </c>
      <c r="T645" s="20" t="s">
        <v>75</v>
      </c>
      <c r="U645" s="21" t="s">
        <v>953</v>
      </c>
      <c r="V645" s="22" t="s">
        <v>77</v>
      </c>
      <c r="W645" s="23">
        <v>104</v>
      </c>
      <c r="X645" s="24"/>
    </row>
    <row r="646" spans="1:24" s="1" customFormat="1" ht="108" customHeight="1" x14ac:dyDescent="0.3">
      <c r="A646" s="11" t="s">
        <v>607</v>
      </c>
      <c r="B646" s="11" t="s">
        <v>970</v>
      </c>
      <c r="C646" s="12" t="s">
        <v>1044</v>
      </c>
      <c r="D646" s="13"/>
      <c r="E646" s="67" t="str">
        <f>HYPERLINK("https://www.google.ru/search?q=285303-CS&amp;newwindow=1&amp;tbm=isch","Еще фото")</f>
        <v>Еще фото</v>
      </c>
      <c r="F646" s="14"/>
      <c r="G646" s="11" t="s">
        <v>960</v>
      </c>
      <c r="H646" s="11" t="s">
        <v>669</v>
      </c>
      <c r="I646" s="15" t="s">
        <v>952</v>
      </c>
      <c r="J646" s="15" t="s">
        <v>360</v>
      </c>
      <c r="K646" s="16" t="s">
        <v>71</v>
      </c>
      <c r="L646" s="15" t="s">
        <v>972</v>
      </c>
      <c r="M646" s="15"/>
      <c r="N646" s="15" t="s">
        <v>218</v>
      </c>
      <c r="O646" s="15"/>
      <c r="P646" s="16" t="s">
        <v>106</v>
      </c>
      <c r="Q646" s="17">
        <v>1049</v>
      </c>
      <c r="R646" s="18">
        <v>30</v>
      </c>
      <c r="S646" s="26">
        <v>844.44499999999994</v>
      </c>
      <c r="T646" s="20" t="s">
        <v>75</v>
      </c>
      <c r="U646" s="21" t="s">
        <v>1045</v>
      </c>
      <c r="V646" s="22" t="s">
        <v>1046</v>
      </c>
      <c r="W646" s="23">
        <v>21</v>
      </c>
      <c r="X646" s="24"/>
    </row>
    <row r="647" spans="1:24" s="1" customFormat="1" ht="108" customHeight="1" x14ac:dyDescent="0.3">
      <c r="A647" s="11" t="s">
        <v>607</v>
      </c>
      <c r="B647" s="11" t="s">
        <v>970</v>
      </c>
      <c r="C647" s="12" t="s">
        <v>1047</v>
      </c>
      <c r="D647" s="13"/>
      <c r="E647" s="67" t="str">
        <f>HYPERLINK("https://www.google.ru/search?q=285303-TE&amp;newwindow=1&amp;tbm=isch","Еще фото")</f>
        <v>Еще фото</v>
      </c>
      <c r="F647" s="14"/>
      <c r="G647" s="11" t="s">
        <v>960</v>
      </c>
      <c r="H647" s="11" t="s">
        <v>669</v>
      </c>
      <c r="I647" s="15" t="s">
        <v>952</v>
      </c>
      <c r="J647" s="15" t="s">
        <v>360</v>
      </c>
      <c r="K647" s="16" t="s">
        <v>71</v>
      </c>
      <c r="L647" s="15" t="s">
        <v>972</v>
      </c>
      <c r="M647" s="15"/>
      <c r="N647" s="15" t="s">
        <v>122</v>
      </c>
      <c r="O647" s="15"/>
      <c r="P647" s="16" t="s">
        <v>500</v>
      </c>
      <c r="Q647" s="17">
        <v>1099</v>
      </c>
      <c r="R647" s="18">
        <v>30</v>
      </c>
      <c r="S647" s="26">
        <v>884.69499999999982</v>
      </c>
      <c r="T647" s="20" t="s">
        <v>75</v>
      </c>
      <c r="U647" s="21" t="s">
        <v>1048</v>
      </c>
      <c r="V647" s="22" t="s">
        <v>77</v>
      </c>
      <c r="W647" s="23">
        <v>64</v>
      </c>
      <c r="X647" s="24"/>
    </row>
    <row r="648" spans="1:24" s="1" customFormat="1" ht="108" customHeight="1" x14ac:dyDescent="0.3">
      <c r="A648" s="11" t="s">
        <v>607</v>
      </c>
      <c r="B648" s="11" t="s">
        <v>1049</v>
      </c>
      <c r="C648" s="12" t="s">
        <v>1050</v>
      </c>
      <c r="D648" s="13"/>
      <c r="E648" s="67" t="str">
        <f>HYPERLINK("https://www.google.ru/search?q=285415-BK&amp;newwindow=1&amp;tbm=isch","Еще фото")</f>
        <v>Еще фото</v>
      </c>
      <c r="F648" s="14"/>
      <c r="G648" s="11" t="s">
        <v>1014</v>
      </c>
      <c r="H648" s="11" t="s">
        <v>669</v>
      </c>
      <c r="I648" s="15" t="s">
        <v>952</v>
      </c>
      <c r="J648" s="15" t="s">
        <v>360</v>
      </c>
      <c r="K648" s="16" t="s">
        <v>71</v>
      </c>
      <c r="L648" s="15" t="s">
        <v>1051</v>
      </c>
      <c r="M648" s="15"/>
      <c r="N648" s="15" t="s">
        <v>38</v>
      </c>
      <c r="O648" s="15"/>
      <c r="P648" s="16" t="s">
        <v>500</v>
      </c>
      <c r="Q648" s="17">
        <v>6999</v>
      </c>
      <c r="R648" s="18">
        <v>30</v>
      </c>
      <c r="S648" s="19">
        <v>5634.1949999999997</v>
      </c>
      <c r="T648" s="20" t="s">
        <v>75</v>
      </c>
      <c r="U648" s="21" t="s">
        <v>945</v>
      </c>
      <c r="V648" s="22" t="s">
        <v>77</v>
      </c>
      <c r="W648" s="23">
        <v>3</v>
      </c>
      <c r="X648" s="24"/>
    </row>
    <row r="649" spans="1:24" s="1" customFormat="1" ht="108" customHeight="1" x14ac:dyDescent="0.3">
      <c r="A649" s="11" t="s">
        <v>607</v>
      </c>
      <c r="B649" s="11" t="s">
        <v>1052</v>
      </c>
      <c r="C649" s="12" t="s">
        <v>1053</v>
      </c>
      <c r="D649" s="13"/>
      <c r="E649" s="67" t="str">
        <f>HYPERLINK("https://www.google.ru/search?q=285425-WH&amp;newwindow=1&amp;tbm=isch","Еще фото")</f>
        <v>Еще фото</v>
      </c>
      <c r="F649" s="14"/>
      <c r="G649" s="11" t="s">
        <v>1014</v>
      </c>
      <c r="H649" s="11" t="s">
        <v>669</v>
      </c>
      <c r="I649" s="15" t="s">
        <v>952</v>
      </c>
      <c r="J649" s="15" t="s">
        <v>360</v>
      </c>
      <c r="K649" s="16" t="s">
        <v>71</v>
      </c>
      <c r="L649" s="15" t="s">
        <v>1054</v>
      </c>
      <c r="M649" s="15"/>
      <c r="N649" s="15" t="s">
        <v>173</v>
      </c>
      <c r="O649" s="15"/>
      <c r="P649" s="16" t="s">
        <v>1055</v>
      </c>
      <c r="Q649" s="17">
        <v>13999</v>
      </c>
      <c r="R649" s="18">
        <v>30</v>
      </c>
      <c r="S649" s="19">
        <v>11269.194999999998</v>
      </c>
      <c r="T649" s="20" t="s">
        <v>75</v>
      </c>
      <c r="U649" s="21" t="s">
        <v>953</v>
      </c>
      <c r="V649" s="22" t="s">
        <v>77</v>
      </c>
      <c r="W649" s="23">
        <v>2</v>
      </c>
      <c r="X649" s="24"/>
    </row>
    <row r="650" spans="1:24" s="1" customFormat="1" ht="108" customHeight="1" x14ac:dyDescent="0.3">
      <c r="A650" s="11" t="s">
        <v>607</v>
      </c>
      <c r="B650" s="11" t="s">
        <v>1056</v>
      </c>
      <c r="C650" s="12" t="s">
        <v>1057</v>
      </c>
      <c r="D650" s="13"/>
      <c r="E650" s="67" t="str">
        <f>HYPERLINK("https://www.google.ru/search?q=285445-BK&amp;newwindow=1&amp;tbm=isch","Еще фото")</f>
        <v>Еще фото</v>
      </c>
      <c r="F650" s="14"/>
      <c r="G650" s="11" t="s">
        <v>1011</v>
      </c>
      <c r="H650" s="11" t="s">
        <v>669</v>
      </c>
      <c r="I650" s="15" t="s">
        <v>952</v>
      </c>
      <c r="J650" s="15" t="s">
        <v>360</v>
      </c>
      <c r="K650" s="16" t="s">
        <v>71</v>
      </c>
      <c r="L650" s="15" t="s">
        <v>1058</v>
      </c>
      <c r="M650" s="15"/>
      <c r="N650" s="15" t="s">
        <v>38</v>
      </c>
      <c r="O650" s="15"/>
      <c r="P650" s="16" t="s">
        <v>106</v>
      </c>
      <c r="Q650" s="17">
        <v>7499</v>
      </c>
      <c r="R650" s="18">
        <v>30</v>
      </c>
      <c r="S650" s="19">
        <v>6036.6949999999997</v>
      </c>
      <c r="T650" s="20" t="s">
        <v>75</v>
      </c>
      <c r="U650" s="21" t="s">
        <v>945</v>
      </c>
      <c r="V650" s="22" t="s">
        <v>77</v>
      </c>
      <c r="W650" s="23">
        <v>3</v>
      </c>
      <c r="X650" s="24"/>
    </row>
    <row r="651" spans="1:24" s="1" customFormat="1" ht="108" customHeight="1" x14ac:dyDescent="0.3">
      <c r="A651" s="11" t="s">
        <v>607</v>
      </c>
      <c r="B651" s="11" t="s">
        <v>1056</v>
      </c>
      <c r="C651" s="12" t="s">
        <v>1059</v>
      </c>
      <c r="D651" s="13"/>
      <c r="E651" s="67" t="str">
        <f>HYPERLINK("https://www.google.ru/search?q=285445-WH&amp;newwindow=1&amp;tbm=isch","Еще фото")</f>
        <v>Еще фото</v>
      </c>
      <c r="F651" s="14"/>
      <c r="G651" s="11" t="s">
        <v>1011</v>
      </c>
      <c r="H651" s="11" t="s">
        <v>669</v>
      </c>
      <c r="I651" s="15" t="s">
        <v>952</v>
      </c>
      <c r="J651" s="15" t="s">
        <v>360</v>
      </c>
      <c r="K651" s="16" t="s">
        <v>71</v>
      </c>
      <c r="L651" s="15" t="s">
        <v>1058</v>
      </c>
      <c r="M651" s="15"/>
      <c r="N651" s="15" t="s">
        <v>173</v>
      </c>
      <c r="O651" s="15"/>
      <c r="P651" s="16" t="s">
        <v>106</v>
      </c>
      <c r="Q651" s="17">
        <v>7599</v>
      </c>
      <c r="R651" s="18">
        <v>30</v>
      </c>
      <c r="S651" s="19">
        <v>6117.1949999999997</v>
      </c>
      <c r="T651" s="20" t="s">
        <v>75</v>
      </c>
      <c r="U651" s="21" t="s">
        <v>953</v>
      </c>
      <c r="V651" s="22" t="s">
        <v>77</v>
      </c>
      <c r="W651" s="23">
        <v>7</v>
      </c>
      <c r="X651" s="24"/>
    </row>
    <row r="652" spans="1:24" s="1" customFormat="1" ht="108" customHeight="1" x14ac:dyDescent="0.3">
      <c r="A652" s="11" t="s">
        <v>607</v>
      </c>
      <c r="B652" s="11" t="s">
        <v>954</v>
      </c>
      <c r="C652" s="12" t="s">
        <v>1060</v>
      </c>
      <c r="D652" s="13"/>
      <c r="E652" s="67" t="str">
        <f>HYPERLINK("https://www.google.ru/search?q=285511-WH&amp;newwindow=1&amp;tbm=isch","Еще фото")</f>
        <v>Еще фото</v>
      </c>
      <c r="F652" s="14"/>
      <c r="G652" s="11" t="s">
        <v>956</v>
      </c>
      <c r="H652" s="11" t="s">
        <v>669</v>
      </c>
      <c r="I652" s="15" t="s">
        <v>952</v>
      </c>
      <c r="J652" s="15" t="s">
        <v>360</v>
      </c>
      <c r="K652" s="16" t="s">
        <v>71</v>
      </c>
      <c r="L652" s="15" t="s">
        <v>1061</v>
      </c>
      <c r="M652" s="15"/>
      <c r="N652" s="15" t="s">
        <v>173</v>
      </c>
      <c r="O652" s="15"/>
      <c r="P652" s="16" t="s">
        <v>670</v>
      </c>
      <c r="Q652" s="53">
        <v>799</v>
      </c>
      <c r="R652" s="18">
        <v>30</v>
      </c>
      <c r="S652" s="26">
        <v>643.19499999999994</v>
      </c>
      <c r="T652" s="20" t="s">
        <v>75</v>
      </c>
      <c r="U652" s="21" t="s">
        <v>953</v>
      </c>
      <c r="V652" s="22" t="s">
        <v>77</v>
      </c>
      <c r="W652" s="23">
        <v>4</v>
      </c>
      <c r="X652" s="24"/>
    </row>
    <row r="653" spans="1:24" s="1" customFormat="1" ht="108" customHeight="1" x14ac:dyDescent="0.3">
      <c r="A653" s="11" t="s">
        <v>607</v>
      </c>
      <c r="B653" s="11" t="s">
        <v>992</v>
      </c>
      <c r="C653" s="12" t="s">
        <v>1062</v>
      </c>
      <c r="D653" s="13"/>
      <c r="E653" s="67" t="str">
        <f>HYPERLINK("https://www.google.ru/search?q=285515-BK&amp;newwindow=1&amp;tbm=isch","Еще фото")</f>
        <v>Еще фото</v>
      </c>
      <c r="F653" s="14"/>
      <c r="G653" s="11" t="s">
        <v>956</v>
      </c>
      <c r="H653" s="11" t="s">
        <v>669</v>
      </c>
      <c r="I653" s="15" t="s">
        <v>952</v>
      </c>
      <c r="J653" s="15" t="s">
        <v>360</v>
      </c>
      <c r="K653" s="16" t="s">
        <v>71</v>
      </c>
      <c r="L653" s="15"/>
      <c r="M653" s="15"/>
      <c r="N653" s="15" t="s">
        <v>38</v>
      </c>
      <c r="O653" s="15"/>
      <c r="P653" s="16" t="s">
        <v>994</v>
      </c>
      <c r="Q653" s="53">
        <v>799</v>
      </c>
      <c r="R653" s="18">
        <v>30</v>
      </c>
      <c r="S653" s="26">
        <v>643.19499999999994</v>
      </c>
      <c r="T653" s="20" t="s">
        <v>75</v>
      </c>
      <c r="U653" s="21" t="s">
        <v>945</v>
      </c>
      <c r="V653" s="22" t="s">
        <v>77</v>
      </c>
      <c r="W653" s="23">
        <v>27</v>
      </c>
      <c r="X653" s="24"/>
    </row>
    <row r="654" spans="1:24" s="1" customFormat="1" ht="108" customHeight="1" x14ac:dyDescent="0.3">
      <c r="A654" s="11" t="s">
        <v>607</v>
      </c>
      <c r="B654" s="11" t="s">
        <v>992</v>
      </c>
      <c r="C654" s="12" t="s">
        <v>1063</v>
      </c>
      <c r="D654" s="13"/>
      <c r="E654" s="67" t="str">
        <f>HYPERLINK("https://www.google.ru/search?q=285515-BL&amp;newwindow=1&amp;tbm=isch","Еще фото")</f>
        <v>Еще фото</v>
      </c>
      <c r="F654" s="14"/>
      <c r="G654" s="11" t="s">
        <v>956</v>
      </c>
      <c r="H654" s="11" t="s">
        <v>669</v>
      </c>
      <c r="I654" s="15" t="s">
        <v>952</v>
      </c>
      <c r="J654" s="15" t="s">
        <v>360</v>
      </c>
      <c r="K654" s="16" t="s">
        <v>71</v>
      </c>
      <c r="L654" s="15" t="s">
        <v>997</v>
      </c>
      <c r="M654" s="15"/>
      <c r="N654" s="15" t="s">
        <v>31</v>
      </c>
      <c r="O654" s="15"/>
      <c r="P654" s="16" t="s">
        <v>968</v>
      </c>
      <c r="Q654" s="53">
        <v>799</v>
      </c>
      <c r="R654" s="18">
        <v>30</v>
      </c>
      <c r="S654" s="26">
        <v>643.19499999999994</v>
      </c>
      <c r="T654" s="20" t="s">
        <v>75</v>
      </c>
      <c r="U654" s="21" t="s">
        <v>937</v>
      </c>
      <c r="V654" s="22" t="s">
        <v>77</v>
      </c>
      <c r="W654" s="23">
        <v>23</v>
      </c>
      <c r="X654" s="24"/>
    </row>
    <row r="655" spans="1:24" s="1" customFormat="1" ht="108" customHeight="1" x14ac:dyDescent="0.3">
      <c r="A655" s="11" t="s">
        <v>607</v>
      </c>
      <c r="B655" s="11" t="s">
        <v>750</v>
      </c>
      <c r="C655" s="12" t="s">
        <v>1064</v>
      </c>
      <c r="D655" s="13"/>
      <c r="E655" s="67" t="str">
        <f>HYPERLINK("https://www.google.ru/search?q=285621-CS&amp;newwindow=1&amp;tbm=isch","Еще фото")</f>
        <v>Еще фото</v>
      </c>
      <c r="F655" s="14"/>
      <c r="G655" s="11" t="s">
        <v>752</v>
      </c>
      <c r="H655" s="11" t="s">
        <v>669</v>
      </c>
      <c r="I655" s="15" t="s">
        <v>952</v>
      </c>
      <c r="J655" s="15" t="s">
        <v>360</v>
      </c>
      <c r="K655" s="16" t="s">
        <v>71</v>
      </c>
      <c r="L655" s="15"/>
      <c r="M655" s="15"/>
      <c r="N655" s="15" t="s">
        <v>218</v>
      </c>
      <c r="O655" s="15"/>
      <c r="P655" s="16" t="s">
        <v>500</v>
      </c>
      <c r="Q655" s="53">
        <v>999</v>
      </c>
      <c r="R655" s="18">
        <v>30</v>
      </c>
      <c r="S655" s="26">
        <v>804.19499999999994</v>
      </c>
      <c r="T655" s="20" t="s">
        <v>75</v>
      </c>
      <c r="U655" s="21" t="s">
        <v>1045</v>
      </c>
      <c r="V655" s="22" t="s">
        <v>1046</v>
      </c>
      <c r="W655" s="23">
        <v>4</v>
      </c>
      <c r="X655" s="24"/>
    </row>
    <row r="656" spans="1:24" s="1" customFormat="1" ht="108" customHeight="1" x14ac:dyDescent="0.3">
      <c r="A656" s="11" t="s">
        <v>607</v>
      </c>
      <c r="B656" s="11" t="s">
        <v>750</v>
      </c>
      <c r="C656" s="12" t="s">
        <v>1065</v>
      </c>
      <c r="D656" s="13"/>
      <c r="E656" s="67" t="str">
        <f>HYPERLINK("https://www.google.ru/search?q=285621-MI&amp;newwindow=1&amp;tbm=isch","Еще фото")</f>
        <v>Еще фото</v>
      </c>
      <c r="F656" s="14"/>
      <c r="G656" s="11" t="s">
        <v>752</v>
      </c>
      <c r="H656" s="11" t="s">
        <v>669</v>
      </c>
      <c r="I656" s="15" t="s">
        <v>952</v>
      </c>
      <c r="J656" s="15" t="s">
        <v>360</v>
      </c>
      <c r="K656" s="16" t="s">
        <v>71</v>
      </c>
      <c r="L656" s="15" t="s">
        <v>754</v>
      </c>
      <c r="M656" s="15"/>
      <c r="N656" s="15" t="s">
        <v>55</v>
      </c>
      <c r="O656" s="15"/>
      <c r="P656" s="16" t="s">
        <v>500</v>
      </c>
      <c r="Q656" s="53">
        <v>999</v>
      </c>
      <c r="R656" s="18">
        <v>30</v>
      </c>
      <c r="S656" s="26">
        <v>804.19499999999994</v>
      </c>
      <c r="T656" s="20" t="s">
        <v>75</v>
      </c>
      <c r="U656" s="21" t="s">
        <v>1066</v>
      </c>
      <c r="V656" s="22" t="s">
        <v>77</v>
      </c>
      <c r="W656" s="23">
        <v>49</v>
      </c>
      <c r="X656" s="24"/>
    </row>
    <row r="657" spans="1:24" s="1" customFormat="1" ht="108" customHeight="1" x14ac:dyDescent="0.3">
      <c r="A657" s="11" t="s">
        <v>607</v>
      </c>
      <c r="B657" s="11" t="s">
        <v>750</v>
      </c>
      <c r="C657" s="12" t="s">
        <v>1067</v>
      </c>
      <c r="D657" s="13"/>
      <c r="E657" s="67" t="str">
        <f>HYPERLINK("https://www.google.ru/search?q=285621-OR&amp;newwindow=1&amp;tbm=isch","Еще фото")</f>
        <v>Еще фото</v>
      </c>
      <c r="F657" s="14"/>
      <c r="G657" s="11" t="s">
        <v>1014</v>
      </c>
      <c r="H657" s="11" t="s">
        <v>669</v>
      </c>
      <c r="I657" s="15" t="s">
        <v>952</v>
      </c>
      <c r="J657" s="15" t="s">
        <v>360</v>
      </c>
      <c r="K657" s="16" t="s">
        <v>71</v>
      </c>
      <c r="L657" s="15" t="s">
        <v>754</v>
      </c>
      <c r="M657" s="15"/>
      <c r="N657" s="15" t="s">
        <v>948</v>
      </c>
      <c r="O657" s="15"/>
      <c r="P657" s="16" t="s">
        <v>500</v>
      </c>
      <c r="Q657" s="53">
        <v>999</v>
      </c>
      <c r="R657" s="18">
        <v>30</v>
      </c>
      <c r="S657" s="26">
        <v>804.19499999999994</v>
      </c>
      <c r="T657" s="20" t="s">
        <v>75</v>
      </c>
      <c r="U657" s="21" t="s">
        <v>949</v>
      </c>
      <c r="V657" s="22" t="s">
        <v>77</v>
      </c>
      <c r="W657" s="23">
        <v>29</v>
      </c>
      <c r="X657" s="24"/>
    </row>
    <row r="658" spans="1:24" s="1" customFormat="1" ht="108" customHeight="1" x14ac:dyDescent="0.3">
      <c r="A658" s="11" t="s">
        <v>607</v>
      </c>
      <c r="B658" s="11" t="s">
        <v>750</v>
      </c>
      <c r="C658" s="12" t="s">
        <v>1068</v>
      </c>
      <c r="D658" s="13"/>
      <c r="E658" s="67" t="str">
        <f>HYPERLINK("https://www.google.ru/search?q=285621-SN&amp;newwindow=1&amp;tbm=isch","Еще фото")</f>
        <v>Еще фото</v>
      </c>
      <c r="F658" s="14"/>
      <c r="G658" s="11" t="s">
        <v>1014</v>
      </c>
      <c r="H658" s="11" t="s">
        <v>669</v>
      </c>
      <c r="I658" s="15" t="s">
        <v>952</v>
      </c>
      <c r="J658" s="15" t="s">
        <v>360</v>
      </c>
      <c r="K658" s="16" t="s">
        <v>71</v>
      </c>
      <c r="L658" s="15" t="s">
        <v>754</v>
      </c>
      <c r="M658" s="15"/>
      <c r="N658" s="15" t="s">
        <v>73</v>
      </c>
      <c r="O658" s="15"/>
      <c r="P658" s="16" t="s">
        <v>500</v>
      </c>
      <c r="Q658" s="53">
        <v>999</v>
      </c>
      <c r="R658" s="18">
        <v>30</v>
      </c>
      <c r="S658" s="26">
        <v>804.19499999999994</v>
      </c>
      <c r="T658" s="20" t="s">
        <v>75</v>
      </c>
      <c r="U658" s="21" t="s">
        <v>1069</v>
      </c>
      <c r="V658" s="22" t="s">
        <v>77</v>
      </c>
      <c r="W658" s="23">
        <v>22</v>
      </c>
      <c r="X658" s="24"/>
    </row>
    <row r="659" spans="1:24" s="1" customFormat="1" ht="108" customHeight="1" x14ac:dyDescent="0.3">
      <c r="A659" s="11" t="s">
        <v>607</v>
      </c>
      <c r="B659" s="11" t="s">
        <v>1009</v>
      </c>
      <c r="C659" s="12" t="s">
        <v>1070</v>
      </c>
      <c r="D659" s="13"/>
      <c r="E659" s="67" t="str">
        <f>HYPERLINK("https://www.google.ru/search?q=285631-BL&amp;newwindow=1&amp;tbm=isch","Еще фото")</f>
        <v>Еще фото</v>
      </c>
      <c r="F659" s="14"/>
      <c r="G659" s="11" t="s">
        <v>1071</v>
      </c>
      <c r="H659" s="11" t="s">
        <v>669</v>
      </c>
      <c r="I659" s="15" t="s">
        <v>952</v>
      </c>
      <c r="J659" s="15" t="s">
        <v>360</v>
      </c>
      <c r="K659" s="16" t="s">
        <v>71</v>
      </c>
      <c r="L659" s="15" t="s">
        <v>1012</v>
      </c>
      <c r="M659" s="15"/>
      <c r="N659" s="15" t="s">
        <v>122</v>
      </c>
      <c r="O659" s="15"/>
      <c r="P659" s="16" t="s">
        <v>500</v>
      </c>
      <c r="Q659" s="17">
        <v>3199</v>
      </c>
      <c r="R659" s="18">
        <v>30</v>
      </c>
      <c r="S659" s="19">
        <v>2575.1950000000002</v>
      </c>
      <c r="T659" s="20" t="s">
        <v>75</v>
      </c>
      <c r="U659" s="21" t="s">
        <v>937</v>
      </c>
      <c r="V659" s="22" t="s">
        <v>77</v>
      </c>
      <c r="W659" s="23">
        <v>3</v>
      </c>
      <c r="X659" s="24"/>
    </row>
    <row r="660" spans="1:24" s="1" customFormat="1" ht="108" customHeight="1" x14ac:dyDescent="0.3">
      <c r="A660" s="11" t="s">
        <v>607</v>
      </c>
      <c r="B660" s="11" t="s">
        <v>1009</v>
      </c>
      <c r="C660" s="12" t="s">
        <v>1072</v>
      </c>
      <c r="D660" s="13"/>
      <c r="E660" s="67" t="str">
        <f>HYPERLINK("https://www.google.ru/search?q=285631-OR&amp;newwindow=1&amp;tbm=isch","Еще фото")</f>
        <v>Еще фото</v>
      </c>
      <c r="F660" s="14"/>
      <c r="G660" s="11" t="s">
        <v>1071</v>
      </c>
      <c r="H660" s="11" t="s">
        <v>669</v>
      </c>
      <c r="I660" s="15" t="s">
        <v>952</v>
      </c>
      <c r="J660" s="15" t="s">
        <v>360</v>
      </c>
      <c r="K660" s="16" t="s">
        <v>71</v>
      </c>
      <c r="L660" s="15" t="s">
        <v>1012</v>
      </c>
      <c r="M660" s="15"/>
      <c r="N660" s="15" t="s">
        <v>73</v>
      </c>
      <c r="O660" s="15"/>
      <c r="P660" s="16" t="s">
        <v>500</v>
      </c>
      <c r="Q660" s="17">
        <v>3199</v>
      </c>
      <c r="R660" s="18">
        <v>30</v>
      </c>
      <c r="S660" s="19">
        <v>2575.1950000000002</v>
      </c>
      <c r="T660" s="20" t="s">
        <v>75</v>
      </c>
      <c r="U660" s="21" t="s">
        <v>949</v>
      </c>
      <c r="V660" s="22" t="s">
        <v>77</v>
      </c>
      <c r="W660" s="23">
        <v>1</v>
      </c>
      <c r="X660" s="24"/>
    </row>
    <row r="661" spans="1:24" s="1" customFormat="1" ht="108" customHeight="1" x14ac:dyDescent="0.3">
      <c r="A661" s="11" t="s">
        <v>607</v>
      </c>
      <c r="B661" s="11" t="s">
        <v>1009</v>
      </c>
      <c r="C661" s="12" t="s">
        <v>1073</v>
      </c>
      <c r="D661" s="13"/>
      <c r="E661" s="67" t="str">
        <f>HYPERLINK("https://www.google.ru/search?q=285631-YW&amp;newwindow=1&amp;tbm=isch","Еще фото")</f>
        <v>Еще фото</v>
      </c>
      <c r="F661" s="14"/>
      <c r="G661" s="11" t="s">
        <v>1014</v>
      </c>
      <c r="H661" s="11" t="s">
        <v>669</v>
      </c>
      <c r="I661" s="15" t="s">
        <v>952</v>
      </c>
      <c r="J661" s="15" t="s">
        <v>360</v>
      </c>
      <c r="K661" s="16" t="s">
        <v>71</v>
      </c>
      <c r="L661" s="15" t="s">
        <v>1015</v>
      </c>
      <c r="M661" s="15"/>
      <c r="N661" s="15" t="s">
        <v>225</v>
      </c>
      <c r="O661" s="15"/>
      <c r="P661" s="16" t="s">
        <v>106</v>
      </c>
      <c r="Q661" s="17">
        <v>3199</v>
      </c>
      <c r="R661" s="18">
        <v>30</v>
      </c>
      <c r="S661" s="19">
        <v>2575.1950000000002</v>
      </c>
      <c r="T661" s="20" t="s">
        <v>75</v>
      </c>
      <c r="U661" s="21" t="s">
        <v>755</v>
      </c>
      <c r="V661" s="22" t="s">
        <v>77</v>
      </c>
      <c r="W661" s="23">
        <v>16</v>
      </c>
      <c r="X661" s="24"/>
    </row>
    <row r="662" spans="1:24" s="1" customFormat="1" ht="108" customHeight="1" x14ac:dyDescent="0.3">
      <c r="A662" s="11" t="s">
        <v>607</v>
      </c>
      <c r="B662" s="11" t="s">
        <v>1074</v>
      </c>
      <c r="C662" s="12" t="s">
        <v>1075</v>
      </c>
      <c r="D662" s="13"/>
      <c r="E662" s="67" t="str">
        <f>HYPERLINK("https://www.google.ru/search?q=285641-BK&amp;newwindow=1&amp;tbm=isch","Еще фото")</f>
        <v>Еще фото</v>
      </c>
      <c r="F662" s="14"/>
      <c r="G662" s="11" t="s">
        <v>1011</v>
      </c>
      <c r="H662" s="11" t="s">
        <v>669</v>
      </c>
      <c r="I662" s="15" t="s">
        <v>952</v>
      </c>
      <c r="J662" s="15" t="s">
        <v>360</v>
      </c>
      <c r="K662" s="16" t="s">
        <v>71</v>
      </c>
      <c r="L662" s="15" t="s">
        <v>1076</v>
      </c>
      <c r="M662" s="15"/>
      <c r="N662" s="15" t="s">
        <v>38</v>
      </c>
      <c r="O662" s="15"/>
      <c r="P662" s="16" t="s">
        <v>500</v>
      </c>
      <c r="Q662" s="17">
        <v>7699</v>
      </c>
      <c r="R662" s="18">
        <v>30</v>
      </c>
      <c r="S662" s="19">
        <v>6197.6949999999997</v>
      </c>
      <c r="T662" s="20" t="s">
        <v>75</v>
      </c>
      <c r="U662" s="21" t="s">
        <v>945</v>
      </c>
      <c r="V662" s="22" t="s">
        <v>77</v>
      </c>
      <c r="W662" s="23">
        <v>3</v>
      </c>
      <c r="X662" s="24"/>
    </row>
    <row r="663" spans="1:24" s="1" customFormat="1" ht="108" customHeight="1" x14ac:dyDescent="0.3">
      <c r="A663" s="11" t="s">
        <v>607</v>
      </c>
      <c r="B663" s="11" t="s">
        <v>1074</v>
      </c>
      <c r="C663" s="12" t="s">
        <v>1077</v>
      </c>
      <c r="D663" s="13"/>
      <c r="E663" s="67" t="str">
        <f>HYPERLINK("https://www.google.ru/search?q=285641-PK&amp;newwindow=1&amp;tbm=isch","Еще фото")</f>
        <v>Еще фото</v>
      </c>
      <c r="F663" s="14"/>
      <c r="G663" s="11" t="s">
        <v>1011</v>
      </c>
      <c r="H663" s="11" t="s">
        <v>669</v>
      </c>
      <c r="I663" s="15" t="s">
        <v>952</v>
      </c>
      <c r="J663" s="15" t="s">
        <v>360</v>
      </c>
      <c r="K663" s="16" t="s">
        <v>71</v>
      </c>
      <c r="L663" s="15" t="s">
        <v>1076</v>
      </c>
      <c r="M663" s="15"/>
      <c r="N663" s="15" t="s">
        <v>212</v>
      </c>
      <c r="O663" s="15"/>
      <c r="P663" s="16" t="s">
        <v>500</v>
      </c>
      <c r="Q663" s="17">
        <v>7699</v>
      </c>
      <c r="R663" s="18">
        <v>30</v>
      </c>
      <c r="S663" s="19">
        <v>6197.6949999999997</v>
      </c>
      <c r="T663" s="20" t="s">
        <v>75</v>
      </c>
      <c r="U663" s="21" t="s">
        <v>995</v>
      </c>
      <c r="V663" s="22" t="s">
        <v>77</v>
      </c>
      <c r="W663" s="23">
        <v>2</v>
      </c>
      <c r="X663" s="24"/>
    </row>
    <row r="664" spans="1:24" s="1" customFormat="1" ht="108" customHeight="1" x14ac:dyDescent="0.3">
      <c r="A664" s="11" t="s">
        <v>607</v>
      </c>
      <c r="B664" s="11" t="s">
        <v>1074</v>
      </c>
      <c r="C664" s="12" t="s">
        <v>1078</v>
      </c>
      <c r="D664" s="13"/>
      <c r="E664" s="67" t="str">
        <f>HYPERLINK("https://www.google.ru/search?q=285641-WH&amp;newwindow=1&amp;tbm=isch","Еще фото")</f>
        <v>Еще фото</v>
      </c>
      <c r="F664" s="14"/>
      <c r="G664" s="11" t="s">
        <v>1011</v>
      </c>
      <c r="H664" s="11" t="s">
        <v>669</v>
      </c>
      <c r="I664" s="15" t="s">
        <v>952</v>
      </c>
      <c r="J664" s="15" t="s">
        <v>360</v>
      </c>
      <c r="K664" s="16" t="s">
        <v>71</v>
      </c>
      <c r="L664" s="15" t="s">
        <v>1076</v>
      </c>
      <c r="M664" s="15"/>
      <c r="N664" s="15" t="s">
        <v>173</v>
      </c>
      <c r="O664" s="15"/>
      <c r="P664" s="16" t="s">
        <v>500</v>
      </c>
      <c r="Q664" s="17">
        <v>7699</v>
      </c>
      <c r="R664" s="18">
        <v>30</v>
      </c>
      <c r="S664" s="19">
        <v>6197.6949999999997</v>
      </c>
      <c r="T664" s="20" t="s">
        <v>75</v>
      </c>
      <c r="U664" s="21" t="s">
        <v>953</v>
      </c>
      <c r="V664" s="22" t="s">
        <v>77</v>
      </c>
      <c r="W664" s="23">
        <v>2</v>
      </c>
      <c r="X664" s="24"/>
    </row>
    <row r="665" spans="1:24" s="1" customFormat="1" ht="108" customHeight="1" x14ac:dyDescent="0.3">
      <c r="A665" s="11" t="s">
        <v>607</v>
      </c>
      <c r="B665" s="11" t="s">
        <v>1079</v>
      </c>
      <c r="C665" s="12" t="s">
        <v>1080</v>
      </c>
      <c r="D665" s="13"/>
      <c r="E665" s="67" t="str">
        <f>HYPERLINK("https://www.google.ru/search?q=285661-BK&amp;newwindow=1&amp;tbm=isch","Еще фото")</f>
        <v>Еще фото</v>
      </c>
      <c r="F665" s="14"/>
      <c r="G665" s="11" t="s">
        <v>1011</v>
      </c>
      <c r="H665" s="11" t="s">
        <v>669</v>
      </c>
      <c r="I665" s="15" t="s">
        <v>952</v>
      </c>
      <c r="J665" s="15" t="s">
        <v>360</v>
      </c>
      <c r="K665" s="16" t="s">
        <v>71</v>
      </c>
      <c r="L665" s="15" t="s">
        <v>1081</v>
      </c>
      <c r="M665" s="15"/>
      <c r="N665" s="15" t="s">
        <v>38</v>
      </c>
      <c r="O665" s="15"/>
      <c r="P665" s="16" t="s">
        <v>500</v>
      </c>
      <c r="Q665" s="17">
        <v>15399</v>
      </c>
      <c r="R665" s="18">
        <v>30</v>
      </c>
      <c r="S665" s="19">
        <v>12396.194999999998</v>
      </c>
      <c r="T665" s="20" t="s">
        <v>75</v>
      </c>
      <c r="U665" s="21" t="s">
        <v>945</v>
      </c>
      <c r="V665" s="22" t="s">
        <v>77</v>
      </c>
      <c r="W665" s="23">
        <v>5</v>
      </c>
      <c r="X665" s="24"/>
    </row>
    <row r="666" spans="1:24" s="1" customFormat="1" ht="108" customHeight="1" x14ac:dyDescent="0.3">
      <c r="A666" s="11" t="s">
        <v>607</v>
      </c>
      <c r="B666" s="11" t="s">
        <v>1079</v>
      </c>
      <c r="C666" s="12" t="s">
        <v>1082</v>
      </c>
      <c r="D666" s="13"/>
      <c r="E666" s="67" t="str">
        <f>HYPERLINK("https://www.google.ru/search?q=285661-WH&amp;newwindow=1&amp;tbm=isch","Еще фото")</f>
        <v>Еще фото</v>
      </c>
      <c r="F666" s="14"/>
      <c r="G666" s="11" t="s">
        <v>1011</v>
      </c>
      <c r="H666" s="11" t="s">
        <v>669</v>
      </c>
      <c r="I666" s="15" t="s">
        <v>952</v>
      </c>
      <c r="J666" s="15" t="s">
        <v>360</v>
      </c>
      <c r="K666" s="16" t="s">
        <v>71</v>
      </c>
      <c r="L666" s="15" t="s">
        <v>1081</v>
      </c>
      <c r="M666" s="15"/>
      <c r="N666" s="15" t="s">
        <v>173</v>
      </c>
      <c r="O666" s="15"/>
      <c r="P666" s="16" t="s">
        <v>500</v>
      </c>
      <c r="Q666" s="17">
        <v>14999</v>
      </c>
      <c r="R666" s="18">
        <v>30</v>
      </c>
      <c r="S666" s="19">
        <v>12074.194999999998</v>
      </c>
      <c r="T666" s="20" t="s">
        <v>75</v>
      </c>
      <c r="U666" s="21" t="s">
        <v>953</v>
      </c>
      <c r="V666" s="22" t="s">
        <v>77</v>
      </c>
      <c r="W666" s="23">
        <v>3</v>
      </c>
      <c r="X666" s="24"/>
    </row>
    <row r="667" spans="1:24" s="1" customFormat="1" ht="108" customHeight="1" x14ac:dyDescent="0.3">
      <c r="A667" s="11" t="s">
        <v>607</v>
      </c>
      <c r="B667" s="11" t="s">
        <v>1083</v>
      </c>
      <c r="C667" s="12" t="s">
        <v>1084</v>
      </c>
      <c r="D667" s="13"/>
      <c r="E667" s="67" t="str">
        <f>HYPERLINK("https://www.google.ru/search?q=230034SC05&amp;newwindow=1&amp;tbm=isch","Еще фото")</f>
        <v>Еще фото</v>
      </c>
      <c r="F667" s="14"/>
      <c r="G667" s="11" t="s">
        <v>1085</v>
      </c>
      <c r="H667" s="11" t="s">
        <v>669</v>
      </c>
      <c r="I667" s="15" t="s">
        <v>1086</v>
      </c>
      <c r="J667" s="15" t="s">
        <v>360</v>
      </c>
      <c r="K667" s="16" t="s">
        <v>59</v>
      </c>
      <c r="L667" s="15" t="s">
        <v>1087</v>
      </c>
      <c r="M667" s="15"/>
      <c r="N667" s="15" t="s">
        <v>38</v>
      </c>
      <c r="O667" s="15"/>
      <c r="P667" s="16" t="s">
        <v>691</v>
      </c>
      <c r="Q667" s="17">
        <v>7499</v>
      </c>
      <c r="R667" s="18">
        <v>58.96</v>
      </c>
      <c r="S667" s="19">
        <v>3539.4354999999996</v>
      </c>
      <c r="T667" s="20" t="s">
        <v>99</v>
      </c>
      <c r="U667" s="21" t="s">
        <v>1088</v>
      </c>
      <c r="V667" s="61">
        <v>5</v>
      </c>
      <c r="W667" s="23">
        <v>13</v>
      </c>
      <c r="X667" s="24"/>
    </row>
    <row r="668" spans="1:24" s="1" customFormat="1" ht="108" customHeight="1" x14ac:dyDescent="0.3">
      <c r="A668" s="11" t="s">
        <v>607</v>
      </c>
      <c r="B668" s="11" t="s">
        <v>1089</v>
      </c>
      <c r="C668" s="12" t="s">
        <v>1090</v>
      </c>
      <c r="D668" s="13"/>
      <c r="E668" s="67" t="str">
        <f>HYPERLINK("https://www.google.ru/search?q=234723SC30&amp;newwindow=1&amp;tbm=isch","Еще фото")</f>
        <v>Еще фото</v>
      </c>
      <c r="F668" s="14"/>
      <c r="G668" s="11" t="s">
        <v>1091</v>
      </c>
      <c r="H668" s="11" t="s">
        <v>669</v>
      </c>
      <c r="I668" s="15" t="s">
        <v>1086</v>
      </c>
      <c r="J668" s="15" t="s">
        <v>360</v>
      </c>
      <c r="K668" s="16" t="s">
        <v>71</v>
      </c>
      <c r="L668" s="15" t="s">
        <v>1092</v>
      </c>
      <c r="M668" s="15"/>
      <c r="N668" s="15" t="s">
        <v>31</v>
      </c>
      <c r="O668" s="15"/>
      <c r="P668" s="16" t="s">
        <v>1093</v>
      </c>
      <c r="Q668" s="17">
        <v>10099</v>
      </c>
      <c r="R668" s="18">
        <v>55.76</v>
      </c>
      <c r="S668" s="19">
        <v>5137.9355000000005</v>
      </c>
      <c r="T668" s="20" t="s">
        <v>63</v>
      </c>
      <c r="U668" s="21" t="s">
        <v>1094</v>
      </c>
      <c r="V668" s="23">
        <v>30</v>
      </c>
      <c r="W668" s="23">
        <v>9</v>
      </c>
      <c r="X668" s="24"/>
    </row>
    <row r="669" spans="1:24" s="1" customFormat="1" ht="108" customHeight="1" x14ac:dyDescent="0.3">
      <c r="A669" s="11" t="s">
        <v>607</v>
      </c>
      <c r="B669" s="11" t="s">
        <v>1095</v>
      </c>
      <c r="C669" s="12" t="s">
        <v>1096</v>
      </c>
      <c r="D669" s="13"/>
      <c r="E669" s="67" t="str">
        <f>HYPERLINK("https://www.google.ru/search?q=235442SC05&amp;newwindow=1&amp;tbm=isch","Еще фото")</f>
        <v>Еще фото</v>
      </c>
      <c r="F669" s="55" t="s">
        <v>688</v>
      </c>
      <c r="G669" s="11" t="s">
        <v>1097</v>
      </c>
      <c r="H669" s="11" t="s">
        <v>669</v>
      </c>
      <c r="I669" s="15" t="s">
        <v>1086</v>
      </c>
      <c r="J669" s="15" t="s">
        <v>360</v>
      </c>
      <c r="K669" s="16" t="s">
        <v>59</v>
      </c>
      <c r="L669" s="15" t="s">
        <v>1098</v>
      </c>
      <c r="M669" s="15"/>
      <c r="N669" s="15" t="s">
        <v>55</v>
      </c>
      <c r="O669" s="15"/>
      <c r="P669" s="16" t="s">
        <v>1099</v>
      </c>
      <c r="Q669" s="17">
        <v>5799</v>
      </c>
      <c r="R669" s="18">
        <v>52.27</v>
      </c>
      <c r="S669" s="19">
        <v>3182.9354999999996</v>
      </c>
      <c r="T669" s="20" t="s">
        <v>99</v>
      </c>
      <c r="U669" s="21" t="s">
        <v>1088</v>
      </c>
      <c r="V669" s="61">
        <v>5</v>
      </c>
      <c r="W669" s="23">
        <v>15</v>
      </c>
      <c r="X669" s="24"/>
    </row>
    <row r="670" spans="1:24" s="1" customFormat="1" ht="108" customHeight="1" x14ac:dyDescent="0.3">
      <c r="A670" s="11" t="s">
        <v>607</v>
      </c>
      <c r="B670" s="11" t="s">
        <v>1100</v>
      </c>
      <c r="C670" s="12" t="s">
        <v>1101</v>
      </c>
      <c r="D670" s="13"/>
      <c r="E670" s="67" t="str">
        <f>HYPERLINK("https://www.google.ru/search?q=235422SC06&amp;newwindow=1&amp;tbm=isch","Еще фото")</f>
        <v>Еще фото</v>
      </c>
      <c r="F670" s="55" t="s">
        <v>688</v>
      </c>
      <c r="G670" s="11" t="s">
        <v>1102</v>
      </c>
      <c r="H670" s="11" t="s">
        <v>669</v>
      </c>
      <c r="I670" s="15" t="s">
        <v>1086</v>
      </c>
      <c r="J670" s="15" t="s">
        <v>360</v>
      </c>
      <c r="K670" s="16" t="s">
        <v>59</v>
      </c>
      <c r="L670" s="15" t="s">
        <v>1103</v>
      </c>
      <c r="M670" s="15"/>
      <c r="N670" s="15" t="s">
        <v>55</v>
      </c>
      <c r="O670" s="15"/>
      <c r="P670" s="16" t="s">
        <v>1099</v>
      </c>
      <c r="Q670" s="17">
        <v>5199</v>
      </c>
      <c r="R670" s="18">
        <v>48.88</v>
      </c>
      <c r="S670" s="19">
        <v>3056.4354999999996</v>
      </c>
      <c r="T670" s="20" t="s">
        <v>99</v>
      </c>
      <c r="U670" s="21" t="s">
        <v>1104</v>
      </c>
      <c r="V670" s="61">
        <v>6</v>
      </c>
      <c r="W670" s="23">
        <v>7</v>
      </c>
      <c r="X670" s="24"/>
    </row>
    <row r="671" spans="1:24" s="1" customFormat="1" ht="108" customHeight="1" x14ac:dyDescent="0.3">
      <c r="A671" s="11" t="s">
        <v>607</v>
      </c>
      <c r="B671" s="11" t="s">
        <v>1105</v>
      </c>
      <c r="C671" s="12" t="s">
        <v>1106</v>
      </c>
      <c r="D671" s="13"/>
      <c r="E671" s="67" t="str">
        <f>HYPERLINK("https://www.google.ru/search?q=235344SC10&amp;newwindow=1&amp;tbm=isch","Еще фото")</f>
        <v>Еще фото</v>
      </c>
      <c r="F671" s="14"/>
      <c r="G671" s="11" t="s">
        <v>1085</v>
      </c>
      <c r="H671" s="11" t="s">
        <v>669</v>
      </c>
      <c r="I671" s="15" t="s">
        <v>1086</v>
      </c>
      <c r="J671" s="15" t="s">
        <v>360</v>
      </c>
      <c r="K671" s="16" t="s">
        <v>71</v>
      </c>
      <c r="L671" s="15" t="s">
        <v>1107</v>
      </c>
      <c r="M671" s="15"/>
      <c r="N671" s="15" t="s">
        <v>173</v>
      </c>
      <c r="O671" s="15"/>
      <c r="P671" s="16" t="s">
        <v>1108</v>
      </c>
      <c r="Q671" s="17">
        <v>9499</v>
      </c>
      <c r="R671" s="18">
        <v>48.86</v>
      </c>
      <c r="S671" s="19">
        <v>5586.4355000000005</v>
      </c>
      <c r="T671" s="20" t="s">
        <v>63</v>
      </c>
      <c r="U671" s="21" t="s">
        <v>1109</v>
      </c>
      <c r="V671" s="23">
        <v>10</v>
      </c>
      <c r="W671" s="23">
        <v>16</v>
      </c>
      <c r="X671" s="24"/>
    </row>
    <row r="672" spans="1:24" s="1" customFormat="1" ht="108" customHeight="1" x14ac:dyDescent="0.3">
      <c r="A672" s="11" t="s">
        <v>607</v>
      </c>
      <c r="B672" s="11" t="s">
        <v>1110</v>
      </c>
      <c r="C672" s="12" t="s">
        <v>1111</v>
      </c>
      <c r="D672" s="13"/>
      <c r="E672" s="67" t="str">
        <f>HYPERLINK("https://www.google.ru/search?q=231154SC00&amp;newwindow=1&amp;tbm=isch","Еще фото")</f>
        <v>Еще фото</v>
      </c>
      <c r="F672" s="14"/>
      <c r="G672" s="11" t="s">
        <v>1102</v>
      </c>
      <c r="H672" s="11" t="s">
        <v>669</v>
      </c>
      <c r="I672" s="15" t="s">
        <v>1086</v>
      </c>
      <c r="J672" s="15" t="s">
        <v>360</v>
      </c>
      <c r="K672" s="16" t="s">
        <v>71</v>
      </c>
      <c r="L672" s="15" t="s">
        <v>1112</v>
      </c>
      <c r="M672" s="15"/>
      <c r="N672" s="15" t="s">
        <v>55</v>
      </c>
      <c r="O672" s="15"/>
      <c r="P672" s="16" t="s">
        <v>1108</v>
      </c>
      <c r="Q672" s="17">
        <v>16199</v>
      </c>
      <c r="R672" s="18">
        <v>48.84</v>
      </c>
      <c r="S672" s="19">
        <v>9530.9354999999996</v>
      </c>
      <c r="T672" s="20" t="s">
        <v>99</v>
      </c>
      <c r="U672" s="21" t="s">
        <v>1113</v>
      </c>
      <c r="V672" s="61">
        <v>0</v>
      </c>
      <c r="W672" s="23">
        <v>7</v>
      </c>
      <c r="X672" s="24"/>
    </row>
    <row r="673" spans="1:24" s="1" customFormat="1" ht="108" customHeight="1" x14ac:dyDescent="0.3">
      <c r="A673" s="11" t="s">
        <v>607</v>
      </c>
      <c r="B673" s="11" t="s">
        <v>1114</v>
      </c>
      <c r="C673" s="12" t="s">
        <v>1115</v>
      </c>
      <c r="D673" s="13"/>
      <c r="E673" s="67" t="str">
        <f>HYPERLINK("https://www.google.ru/search?q=230164SC00&amp;newwindow=1&amp;tbm=isch","Еще фото")</f>
        <v>Еще фото</v>
      </c>
      <c r="F673" s="14"/>
      <c r="G673" s="11" t="s">
        <v>1102</v>
      </c>
      <c r="H673" s="11" t="s">
        <v>669</v>
      </c>
      <c r="I673" s="15" t="s">
        <v>1086</v>
      </c>
      <c r="J673" s="15" t="s">
        <v>360</v>
      </c>
      <c r="K673" s="16" t="s">
        <v>71</v>
      </c>
      <c r="L673" s="15" t="s">
        <v>1116</v>
      </c>
      <c r="M673" s="15"/>
      <c r="N673" s="15" t="s">
        <v>122</v>
      </c>
      <c r="O673" s="15"/>
      <c r="P673" s="16" t="s">
        <v>1099</v>
      </c>
      <c r="Q673" s="17">
        <v>16999</v>
      </c>
      <c r="R673" s="18">
        <v>48.83</v>
      </c>
      <c r="S673" s="19">
        <v>10002.4355</v>
      </c>
      <c r="T673" s="20" t="s">
        <v>99</v>
      </c>
      <c r="U673" s="21" t="s">
        <v>1113</v>
      </c>
      <c r="V673" s="61">
        <v>0</v>
      </c>
      <c r="W673" s="23">
        <v>5</v>
      </c>
      <c r="X673" s="24"/>
    </row>
    <row r="674" spans="1:24" s="1" customFormat="1" ht="108" customHeight="1" x14ac:dyDescent="0.3">
      <c r="A674" s="11" t="s">
        <v>607</v>
      </c>
      <c r="B674" s="11" t="s">
        <v>1117</v>
      </c>
      <c r="C674" s="12" t="s">
        <v>1118</v>
      </c>
      <c r="D674" s="13"/>
      <c r="E674" s="67" t="str">
        <f>HYPERLINK("https://www.google.ru/search?q=235033SC06&amp;newwindow=1&amp;tbm=isch","Еще фото")</f>
        <v>Еще фото</v>
      </c>
      <c r="F674" s="14"/>
      <c r="G674" s="11" t="s">
        <v>1102</v>
      </c>
      <c r="H674" s="11" t="s">
        <v>669</v>
      </c>
      <c r="I674" s="15" t="s">
        <v>1086</v>
      </c>
      <c r="J674" s="15" t="s">
        <v>360</v>
      </c>
      <c r="K674" s="16" t="s">
        <v>71</v>
      </c>
      <c r="L674" s="15" t="s">
        <v>1119</v>
      </c>
      <c r="M674" s="15"/>
      <c r="N674" s="15" t="s">
        <v>38</v>
      </c>
      <c r="O674" s="15"/>
      <c r="P674" s="16" t="s">
        <v>1099</v>
      </c>
      <c r="Q674" s="17">
        <v>8399</v>
      </c>
      <c r="R674" s="18">
        <v>48.83</v>
      </c>
      <c r="S674" s="19">
        <v>4942.4355000000005</v>
      </c>
      <c r="T674" s="20" t="s">
        <v>63</v>
      </c>
      <c r="U674" s="21" t="s">
        <v>1104</v>
      </c>
      <c r="V674" s="61">
        <v>6</v>
      </c>
      <c r="W674" s="23">
        <v>9</v>
      </c>
      <c r="X674" s="24"/>
    </row>
    <row r="675" spans="1:24" s="1" customFormat="1" ht="108" customHeight="1" x14ac:dyDescent="0.3">
      <c r="A675" s="11" t="s">
        <v>607</v>
      </c>
      <c r="B675" s="11" t="s">
        <v>1120</v>
      </c>
      <c r="C675" s="12" t="s">
        <v>1121</v>
      </c>
      <c r="D675" s="13"/>
      <c r="E675" s="67" t="str">
        <f>HYPERLINK("https://www.google.ru/search?q=234933SC05&amp;newwindow=1&amp;tbm=isch","Еще фото")</f>
        <v>Еще фото</v>
      </c>
      <c r="F675" s="14"/>
      <c r="G675" s="11" t="s">
        <v>1097</v>
      </c>
      <c r="H675" s="11" t="s">
        <v>669</v>
      </c>
      <c r="I675" s="15" t="s">
        <v>1086</v>
      </c>
      <c r="J675" s="15" t="s">
        <v>360</v>
      </c>
      <c r="K675" s="16" t="s">
        <v>59</v>
      </c>
      <c r="L675" s="15" t="s">
        <v>1122</v>
      </c>
      <c r="M675" s="15"/>
      <c r="N675" s="15" t="s">
        <v>73</v>
      </c>
      <c r="O675" s="15"/>
      <c r="P675" s="16" t="s">
        <v>1099</v>
      </c>
      <c r="Q675" s="17">
        <v>5799</v>
      </c>
      <c r="R675" s="18">
        <v>48.82</v>
      </c>
      <c r="S675" s="19">
        <v>3412.9354999999996</v>
      </c>
      <c r="T675" s="20" t="s">
        <v>99</v>
      </c>
      <c r="U675" s="21" t="s">
        <v>1088</v>
      </c>
      <c r="V675" s="61">
        <v>5</v>
      </c>
      <c r="W675" s="23">
        <v>2</v>
      </c>
      <c r="X675" s="24"/>
    </row>
    <row r="676" spans="1:24" s="1" customFormat="1" ht="108" customHeight="1" x14ac:dyDescent="0.3">
      <c r="A676" s="11" t="s">
        <v>607</v>
      </c>
      <c r="B676" s="11" t="s">
        <v>1123</v>
      </c>
      <c r="C676" s="12" t="s">
        <v>1124</v>
      </c>
      <c r="D676" s="13"/>
      <c r="E676" s="67" t="str">
        <f>HYPERLINK("https://www.google.ru/search?q=235432SC06&amp;newwindow=1&amp;tbm=isch","Еще фото")</f>
        <v>Еще фото</v>
      </c>
      <c r="F676" s="14"/>
      <c r="G676" s="11" t="s">
        <v>1102</v>
      </c>
      <c r="H676" s="11" t="s">
        <v>669</v>
      </c>
      <c r="I676" s="15" t="s">
        <v>1086</v>
      </c>
      <c r="J676" s="15" t="s">
        <v>360</v>
      </c>
      <c r="K676" s="16" t="s">
        <v>59</v>
      </c>
      <c r="L676" s="15" t="s">
        <v>1125</v>
      </c>
      <c r="M676" s="15"/>
      <c r="N676" s="15" t="s">
        <v>31</v>
      </c>
      <c r="O676" s="15"/>
      <c r="P676" s="16" t="s">
        <v>1093</v>
      </c>
      <c r="Q676" s="17">
        <v>5799</v>
      </c>
      <c r="R676" s="18">
        <v>48.82</v>
      </c>
      <c r="S676" s="19">
        <v>3412.9354999999996</v>
      </c>
      <c r="T676" s="20" t="s">
        <v>99</v>
      </c>
      <c r="U676" s="21" t="s">
        <v>1104</v>
      </c>
      <c r="V676" s="61">
        <v>6</v>
      </c>
      <c r="W676" s="23">
        <v>5</v>
      </c>
      <c r="X676" s="24"/>
    </row>
    <row r="677" spans="1:24" s="1" customFormat="1" ht="108" customHeight="1" x14ac:dyDescent="0.3">
      <c r="A677" s="11" t="s">
        <v>607</v>
      </c>
      <c r="B677" s="11" t="s">
        <v>1126</v>
      </c>
      <c r="C677" s="12" t="s">
        <v>1127</v>
      </c>
      <c r="D677" s="13"/>
      <c r="E677" s="67" t="str">
        <f>HYPERLINK("https://www.google.ru/search?q=236054SC10&amp;newwindow=1&amp;tbm=isch","Еще фото")</f>
        <v>Еще фото</v>
      </c>
      <c r="F677" s="14"/>
      <c r="G677" s="11" t="s">
        <v>1102</v>
      </c>
      <c r="H677" s="11" t="s">
        <v>669</v>
      </c>
      <c r="I677" s="15" t="s">
        <v>1086</v>
      </c>
      <c r="J677" s="15" t="s">
        <v>360</v>
      </c>
      <c r="K677" s="16" t="s">
        <v>71</v>
      </c>
      <c r="L677" s="15" t="s">
        <v>1128</v>
      </c>
      <c r="M677" s="15"/>
      <c r="N677" s="15" t="s">
        <v>38</v>
      </c>
      <c r="O677" s="15"/>
      <c r="P677" s="16" t="s">
        <v>1108</v>
      </c>
      <c r="Q677" s="17">
        <v>12399</v>
      </c>
      <c r="R677" s="18">
        <v>48.8</v>
      </c>
      <c r="S677" s="19">
        <v>7299.9354999999996</v>
      </c>
      <c r="T677" s="20" t="s">
        <v>63</v>
      </c>
      <c r="U677" s="21" t="s">
        <v>1109</v>
      </c>
      <c r="V677" s="23">
        <v>10</v>
      </c>
      <c r="W677" s="23">
        <v>1</v>
      </c>
      <c r="X677" s="24"/>
    </row>
    <row r="678" spans="1:24" s="1" customFormat="1" ht="108" customHeight="1" x14ac:dyDescent="0.3">
      <c r="A678" s="11" t="s">
        <v>607</v>
      </c>
      <c r="B678" s="11" t="s">
        <v>1129</v>
      </c>
      <c r="C678" s="12" t="s">
        <v>1130</v>
      </c>
      <c r="D678" s="13"/>
      <c r="E678" s="67" t="str">
        <f>HYPERLINK("https://www.google.ru/search?q=235024SC05&amp;newwindow=1&amp;tbm=isch","Еще фото")</f>
        <v>Еще фото</v>
      </c>
      <c r="F678" s="14"/>
      <c r="G678" s="11" t="s">
        <v>1102</v>
      </c>
      <c r="H678" s="11" t="s">
        <v>669</v>
      </c>
      <c r="I678" s="15" t="s">
        <v>1086</v>
      </c>
      <c r="J678" s="15" t="s">
        <v>360</v>
      </c>
      <c r="K678" s="16" t="s">
        <v>71</v>
      </c>
      <c r="L678" s="15" t="s">
        <v>1131</v>
      </c>
      <c r="M678" s="15"/>
      <c r="N678" s="15" t="s">
        <v>38</v>
      </c>
      <c r="O678" s="15"/>
      <c r="P678" s="16" t="s">
        <v>1099</v>
      </c>
      <c r="Q678" s="17">
        <v>4699</v>
      </c>
      <c r="R678" s="18">
        <v>45.14</v>
      </c>
      <c r="S678" s="19">
        <v>2964.4354999999996</v>
      </c>
      <c r="T678" s="20" t="s">
        <v>99</v>
      </c>
      <c r="U678" s="21" t="s">
        <v>1088</v>
      </c>
      <c r="V678" s="61">
        <v>5</v>
      </c>
      <c r="W678" s="23">
        <v>16</v>
      </c>
      <c r="X678" s="24"/>
    </row>
    <row r="679" spans="1:24" s="1" customFormat="1" ht="108" customHeight="1" x14ac:dyDescent="0.3">
      <c r="A679" s="11" t="s">
        <v>607</v>
      </c>
      <c r="B679" s="11" t="s">
        <v>1132</v>
      </c>
      <c r="C679" s="12" t="s">
        <v>1133</v>
      </c>
      <c r="D679" s="13"/>
      <c r="E679" s="67" t="str">
        <f>HYPERLINK("https://www.google.ru/search?q=231424SC06&amp;newwindow=1&amp;tbm=isch","Еще фото")</f>
        <v>Еще фото</v>
      </c>
      <c r="F679" s="14"/>
      <c r="G679" s="11" t="s">
        <v>1102</v>
      </c>
      <c r="H679" s="11" t="s">
        <v>669</v>
      </c>
      <c r="I679" s="15" t="s">
        <v>1086</v>
      </c>
      <c r="J679" s="15" t="s">
        <v>360</v>
      </c>
      <c r="K679" s="16" t="s">
        <v>59</v>
      </c>
      <c r="L679" s="15" t="s">
        <v>1103</v>
      </c>
      <c r="M679" s="15"/>
      <c r="N679" s="15" t="s">
        <v>55</v>
      </c>
      <c r="O679" s="15"/>
      <c r="P679" s="16" t="s">
        <v>1134</v>
      </c>
      <c r="Q679" s="17">
        <v>5499</v>
      </c>
      <c r="R679" s="18">
        <v>45.12</v>
      </c>
      <c r="S679" s="19">
        <v>3470.4354999999996</v>
      </c>
      <c r="T679" s="20" t="s">
        <v>99</v>
      </c>
      <c r="U679" s="21" t="s">
        <v>1104</v>
      </c>
      <c r="V679" s="61">
        <v>6</v>
      </c>
      <c r="W679" s="23">
        <v>14</v>
      </c>
      <c r="X679" s="24"/>
    </row>
    <row r="680" spans="1:24" s="1" customFormat="1" ht="108" customHeight="1" x14ac:dyDescent="0.3">
      <c r="A680" s="11" t="s">
        <v>607</v>
      </c>
      <c r="B680" s="11" t="s">
        <v>1117</v>
      </c>
      <c r="C680" s="12" t="s">
        <v>1135</v>
      </c>
      <c r="D680" s="13"/>
      <c r="E680" s="67" t="str">
        <f>HYPERLINK("https://www.google.ru/search?q=231235SC05&amp;newwindow=1&amp;tbm=isch","Еще фото")</f>
        <v>Еще фото</v>
      </c>
      <c r="F680" s="14"/>
      <c r="G680" s="11" t="s">
        <v>1102</v>
      </c>
      <c r="H680" s="11" t="s">
        <v>669</v>
      </c>
      <c r="I680" s="15" t="s">
        <v>1086</v>
      </c>
      <c r="J680" s="15" t="s">
        <v>360</v>
      </c>
      <c r="K680" s="16" t="s">
        <v>59</v>
      </c>
      <c r="L680" s="15" t="s">
        <v>1119</v>
      </c>
      <c r="M680" s="15"/>
      <c r="N680" s="15" t="s">
        <v>38</v>
      </c>
      <c r="O680" s="15"/>
      <c r="P680" s="16" t="s">
        <v>1108</v>
      </c>
      <c r="Q680" s="17">
        <v>7899</v>
      </c>
      <c r="R680" s="18">
        <v>45.08</v>
      </c>
      <c r="S680" s="19">
        <v>4988.4355000000005</v>
      </c>
      <c r="T680" s="20" t="s">
        <v>99</v>
      </c>
      <c r="U680" s="21" t="s">
        <v>1088</v>
      </c>
      <c r="V680" s="61">
        <v>5</v>
      </c>
      <c r="W680" s="23">
        <v>13</v>
      </c>
      <c r="X680" s="24"/>
    </row>
    <row r="681" spans="1:24" s="1" customFormat="1" ht="108" customHeight="1" x14ac:dyDescent="0.3">
      <c r="A681" s="11" t="s">
        <v>607</v>
      </c>
      <c r="B681" s="11" t="s">
        <v>1136</v>
      </c>
      <c r="C681" s="12" t="s">
        <v>1137</v>
      </c>
      <c r="D681" s="13"/>
      <c r="E681" s="67" t="str">
        <f>HYPERLINK("https://www.google.ru/search?q=235334SC20&amp;newwindow=1&amp;tbm=isch","Еще фото")</f>
        <v>Еще фото</v>
      </c>
      <c r="F681" s="14"/>
      <c r="G681" s="11" t="s">
        <v>1102</v>
      </c>
      <c r="H681" s="11" t="s">
        <v>669</v>
      </c>
      <c r="I681" s="15" t="s">
        <v>1086</v>
      </c>
      <c r="J681" s="15" t="s">
        <v>360</v>
      </c>
      <c r="K681" s="16" t="s">
        <v>71</v>
      </c>
      <c r="L681" s="15" t="s">
        <v>1138</v>
      </c>
      <c r="M681" s="15"/>
      <c r="N681" s="15" t="s">
        <v>31</v>
      </c>
      <c r="O681" s="15"/>
      <c r="P681" s="16" t="s">
        <v>1099</v>
      </c>
      <c r="Q681" s="17">
        <v>10099</v>
      </c>
      <c r="R681" s="18">
        <v>45.07</v>
      </c>
      <c r="S681" s="19">
        <v>6379.9354999999996</v>
      </c>
      <c r="T681" s="20" t="s">
        <v>63</v>
      </c>
      <c r="U681" s="21" t="s">
        <v>1139</v>
      </c>
      <c r="V681" s="23">
        <v>20</v>
      </c>
      <c r="W681" s="23">
        <v>11</v>
      </c>
      <c r="X681" s="24"/>
    </row>
    <row r="682" spans="1:24" s="1" customFormat="1" ht="108" customHeight="1" x14ac:dyDescent="0.3">
      <c r="A682" s="11" t="s">
        <v>607</v>
      </c>
      <c r="B682" s="11" t="s">
        <v>1140</v>
      </c>
      <c r="C682" s="12" t="s">
        <v>1141</v>
      </c>
      <c r="D682" s="13"/>
      <c r="E682" s="67" t="str">
        <f>HYPERLINK("https://www.google.ru/search?q=231224S20&amp;newwindow=1&amp;tbm=isch","Еще фото")</f>
        <v>Еще фото</v>
      </c>
      <c r="F682" s="14"/>
      <c r="G682" s="11" t="s">
        <v>1142</v>
      </c>
      <c r="H682" s="11" t="s">
        <v>669</v>
      </c>
      <c r="I682" s="15" t="s">
        <v>1086</v>
      </c>
      <c r="J682" s="15" t="s">
        <v>360</v>
      </c>
      <c r="K682" s="16" t="s">
        <v>71</v>
      </c>
      <c r="L682" s="15" t="s">
        <v>1143</v>
      </c>
      <c r="M682" s="15"/>
      <c r="N682" s="15" t="s">
        <v>38</v>
      </c>
      <c r="O682" s="15"/>
      <c r="P682" s="16" t="s">
        <v>1108</v>
      </c>
      <c r="Q682" s="17">
        <v>18899</v>
      </c>
      <c r="R682" s="18">
        <v>45.04</v>
      </c>
      <c r="S682" s="19">
        <v>11945.9355</v>
      </c>
      <c r="T682" s="20" t="s">
        <v>99</v>
      </c>
      <c r="U682" s="21" t="s">
        <v>1144</v>
      </c>
      <c r="V682" s="23">
        <v>20</v>
      </c>
      <c r="W682" s="23">
        <v>3</v>
      </c>
      <c r="X682" s="24"/>
    </row>
    <row r="683" spans="1:24" s="1" customFormat="1" ht="108" customHeight="1" x14ac:dyDescent="0.3">
      <c r="A683" s="11" t="s">
        <v>607</v>
      </c>
      <c r="B683" s="11" t="s">
        <v>1145</v>
      </c>
      <c r="C683" s="12" t="s">
        <v>1146</v>
      </c>
      <c r="D683" s="13"/>
      <c r="E683" s="67" t="str">
        <f>HYPERLINK("https://www.google.ru/search?q=230344SC07&amp;newwindow=1&amp;tbm=isch","Еще фото")</f>
        <v>Еще фото</v>
      </c>
      <c r="F683" s="14"/>
      <c r="G683" s="11" t="s">
        <v>1102</v>
      </c>
      <c r="H683" s="11" t="s">
        <v>669</v>
      </c>
      <c r="I683" s="15" t="s">
        <v>1086</v>
      </c>
      <c r="J683" s="15" t="s">
        <v>360</v>
      </c>
      <c r="K683" s="16" t="s">
        <v>59</v>
      </c>
      <c r="L683" s="15" t="s">
        <v>1147</v>
      </c>
      <c r="M683" s="15"/>
      <c r="N683" s="15" t="s">
        <v>31</v>
      </c>
      <c r="O683" s="15"/>
      <c r="P683" s="16" t="s">
        <v>1148</v>
      </c>
      <c r="Q683" s="17">
        <v>5399</v>
      </c>
      <c r="R683" s="18">
        <v>45.03</v>
      </c>
      <c r="S683" s="19">
        <v>3412.9354999999996</v>
      </c>
      <c r="T683" s="20" t="s">
        <v>99</v>
      </c>
      <c r="U683" s="21" t="s">
        <v>1149</v>
      </c>
      <c r="V683" s="61">
        <v>7</v>
      </c>
      <c r="W683" s="23">
        <v>20</v>
      </c>
      <c r="X683" s="24"/>
    </row>
    <row r="684" spans="1:24" s="1" customFormat="1" ht="108" customHeight="1" x14ac:dyDescent="0.3">
      <c r="A684" s="11" t="s">
        <v>607</v>
      </c>
      <c r="B684" s="11" t="s">
        <v>1150</v>
      </c>
      <c r="C684" s="12" t="s">
        <v>1151</v>
      </c>
      <c r="D684" s="13"/>
      <c r="E684" s="67" t="str">
        <f>HYPERLINK("https://www.google.ru/search?q=230354SC06&amp;newwindow=1&amp;tbm=isch","Еще фото")</f>
        <v>Еще фото</v>
      </c>
      <c r="F684" s="14"/>
      <c r="G684" s="11" t="s">
        <v>1102</v>
      </c>
      <c r="H684" s="11" t="s">
        <v>669</v>
      </c>
      <c r="I684" s="15" t="s">
        <v>1086</v>
      </c>
      <c r="J684" s="15" t="s">
        <v>360</v>
      </c>
      <c r="K684" s="16" t="s">
        <v>59</v>
      </c>
      <c r="L684" s="15" t="s">
        <v>1152</v>
      </c>
      <c r="M684" s="15"/>
      <c r="N684" s="15" t="s">
        <v>31</v>
      </c>
      <c r="O684" s="15"/>
      <c r="P684" s="16" t="s">
        <v>1148</v>
      </c>
      <c r="Q684" s="17">
        <v>5399</v>
      </c>
      <c r="R684" s="18">
        <v>45.03</v>
      </c>
      <c r="S684" s="19">
        <v>3412.9354999999996</v>
      </c>
      <c r="T684" s="20" t="s">
        <v>99</v>
      </c>
      <c r="U684" s="21" t="s">
        <v>1104</v>
      </c>
      <c r="V684" s="61">
        <v>6</v>
      </c>
      <c r="W684" s="23">
        <v>50</v>
      </c>
      <c r="X684" s="24"/>
    </row>
    <row r="685" spans="1:24" s="1" customFormat="1" ht="108" customHeight="1" x14ac:dyDescent="0.3">
      <c r="A685" s="11" t="s">
        <v>607</v>
      </c>
      <c r="B685" s="11" t="s">
        <v>1153</v>
      </c>
      <c r="C685" s="12" t="s">
        <v>1154</v>
      </c>
      <c r="D685" s="13"/>
      <c r="E685" s="67" t="str">
        <f>HYPERLINK("https://www.google.ru/search?q=234943SC05&amp;newwindow=1&amp;tbm=isch","Еще фото")</f>
        <v>Еще фото</v>
      </c>
      <c r="F685" s="14"/>
      <c r="G685" s="11" t="s">
        <v>1097</v>
      </c>
      <c r="H685" s="11" t="s">
        <v>669</v>
      </c>
      <c r="I685" s="15" t="s">
        <v>1086</v>
      </c>
      <c r="J685" s="15" t="s">
        <v>360</v>
      </c>
      <c r="K685" s="16" t="s">
        <v>59</v>
      </c>
      <c r="L685" s="15" t="s">
        <v>1155</v>
      </c>
      <c r="M685" s="15"/>
      <c r="N685" s="15" t="s">
        <v>73</v>
      </c>
      <c r="O685" s="15"/>
      <c r="P685" s="16" t="s">
        <v>1099</v>
      </c>
      <c r="Q685" s="17">
        <v>5799</v>
      </c>
      <c r="R685" s="18">
        <v>45.03</v>
      </c>
      <c r="S685" s="19">
        <v>3665.9354999999996</v>
      </c>
      <c r="T685" s="20" t="s">
        <v>99</v>
      </c>
      <c r="U685" s="21" t="s">
        <v>1088</v>
      </c>
      <c r="V685" s="61">
        <v>5</v>
      </c>
      <c r="W685" s="23">
        <v>5</v>
      </c>
      <c r="X685" s="24"/>
    </row>
    <row r="686" spans="1:24" s="1" customFormat="1" ht="108" customHeight="1" x14ac:dyDescent="0.3">
      <c r="A686" s="11" t="s">
        <v>607</v>
      </c>
      <c r="B686" s="11" t="s">
        <v>1083</v>
      </c>
      <c r="C686" s="12" t="s">
        <v>1156</v>
      </c>
      <c r="D686" s="13"/>
      <c r="E686" s="67" t="str">
        <f>HYPERLINK("https://www.google.ru/search?q=230034SC06&amp;newwindow=1&amp;tbm=isch","Еще фото")</f>
        <v>Еще фото</v>
      </c>
      <c r="F686" s="14"/>
      <c r="G686" s="11" t="s">
        <v>1102</v>
      </c>
      <c r="H686" s="11" t="s">
        <v>669</v>
      </c>
      <c r="I686" s="15" t="s">
        <v>1086</v>
      </c>
      <c r="J686" s="15" t="s">
        <v>360</v>
      </c>
      <c r="K686" s="16" t="s">
        <v>71</v>
      </c>
      <c r="L686" s="15" t="s">
        <v>1087</v>
      </c>
      <c r="M686" s="15"/>
      <c r="N686" s="15" t="s">
        <v>38</v>
      </c>
      <c r="O686" s="15"/>
      <c r="P686" s="16" t="s">
        <v>1099</v>
      </c>
      <c r="Q686" s="17">
        <v>7399</v>
      </c>
      <c r="R686" s="18">
        <v>45.02</v>
      </c>
      <c r="S686" s="19">
        <v>4677.9354999999996</v>
      </c>
      <c r="T686" s="20" t="s">
        <v>63</v>
      </c>
      <c r="U686" s="21" t="s">
        <v>1104</v>
      </c>
      <c r="V686" s="61">
        <v>6</v>
      </c>
      <c r="W686" s="23">
        <v>10</v>
      </c>
      <c r="X686" s="24"/>
    </row>
    <row r="687" spans="1:24" s="1" customFormat="1" ht="108" customHeight="1" x14ac:dyDescent="0.3">
      <c r="A687" s="11" t="s">
        <v>607</v>
      </c>
      <c r="B687" s="11" t="s">
        <v>1157</v>
      </c>
      <c r="C687" s="12" t="s">
        <v>1158</v>
      </c>
      <c r="D687" s="13"/>
      <c r="E687" s="67" t="str">
        <f>HYPERLINK("https://www.google.ru/search?q=231355SC20&amp;newwindow=1&amp;tbm=isch","Еще фото")</f>
        <v>Еще фото</v>
      </c>
      <c r="F687" s="14"/>
      <c r="G687" s="11" t="s">
        <v>1102</v>
      </c>
      <c r="H687" s="11" t="s">
        <v>669</v>
      </c>
      <c r="I687" s="15" t="s">
        <v>1086</v>
      </c>
      <c r="J687" s="15" t="s">
        <v>360</v>
      </c>
      <c r="K687" s="16" t="s">
        <v>71</v>
      </c>
      <c r="L687" s="15" t="s">
        <v>1159</v>
      </c>
      <c r="M687" s="15"/>
      <c r="N687" s="15" t="s">
        <v>413</v>
      </c>
      <c r="O687" s="15"/>
      <c r="P687" s="16" t="s">
        <v>1099</v>
      </c>
      <c r="Q687" s="17">
        <v>8999</v>
      </c>
      <c r="R687" s="18">
        <v>33</v>
      </c>
      <c r="S687" s="19">
        <v>6933.7294999999995</v>
      </c>
      <c r="T687" s="20" t="s">
        <v>63</v>
      </c>
      <c r="U687" s="21" t="s">
        <v>1139</v>
      </c>
      <c r="V687" s="23">
        <v>20</v>
      </c>
      <c r="W687" s="23">
        <v>5</v>
      </c>
      <c r="X687" s="24"/>
    </row>
    <row r="688" spans="1:24" s="1" customFormat="1" ht="108" customHeight="1" x14ac:dyDescent="0.3">
      <c r="A688" s="11" t="s">
        <v>607</v>
      </c>
      <c r="B688" s="11" t="s">
        <v>1160</v>
      </c>
      <c r="C688" s="12" t="s">
        <v>1161</v>
      </c>
      <c r="D688" s="13"/>
      <c r="E688" s="67" t="str">
        <f>HYPERLINK("https://www.google.ru/search?q=231434SC05&amp;newwindow=1&amp;tbm=isch","Еще фото")</f>
        <v>Еще фото</v>
      </c>
      <c r="F688" s="14"/>
      <c r="G688" s="11" t="s">
        <v>1085</v>
      </c>
      <c r="H688" s="11" t="s">
        <v>669</v>
      </c>
      <c r="I688" s="15" t="s">
        <v>1086</v>
      </c>
      <c r="J688" s="15" t="s">
        <v>360</v>
      </c>
      <c r="K688" s="16" t="s">
        <v>59</v>
      </c>
      <c r="L688" s="15" t="s">
        <v>1162</v>
      </c>
      <c r="M688" s="15"/>
      <c r="N688" s="15" t="s">
        <v>225</v>
      </c>
      <c r="O688" s="15"/>
      <c r="P688" s="16" t="s">
        <v>1163</v>
      </c>
      <c r="Q688" s="17">
        <v>5599</v>
      </c>
      <c r="R688" s="18">
        <v>33</v>
      </c>
      <c r="S688" s="19">
        <v>4314.0294999999996</v>
      </c>
      <c r="T688" s="20" t="s">
        <v>99</v>
      </c>
      <c r="U688" s="21" t="s">
        <v>1088</v>
      </c>
      <c r="V688" s="61">
        <v>5</v>
      </c>
      <c r="W688" s="23">
        <v>5</v>
      </c>
      <c r="X688" s="24"/>
    </row>
    <row r="689" spans="1:24" s="1" customFormat="1" ht="108" customHeight="1" x14ac:dyDescent="0.3">
      <c r="A689" s="11" t="s">
        <v>607</v>
      </c>
      <c r="B689" s="11" t="s">
        <v>1120</v>
      </c>
      <c r="C689" s="12" t="s">
        <v>1164</v>
      </c>
      <c r="D689" s="13"/>
      <c r="E689" s="67" t="str">
        <f>HYPERLINK("https://www.google.ru/search?q=231435SC05&amp;newwindow=1&amp;tbm=isch","Еще фото")</f>
        <v>Еще фото</v>
      </c>
      <c r="F689" s="14"/>
      <c r="G689" s="11" t="s">
        <v>1102</v>
      </c>
      <c r="H689" s="11" t="s">
        <v>669</v>
      </c>
      <c r="I689" s="15" t="s">
        <v>1086</v>
      </c>
      <c r="J689" s="15" t="s">
        <v>360</v>
      </c>
      <c r="K689" s="16" t="s">
        <v>59</v>
      </c>
      <c r="L689" s="15" t="s">
        <v>1122</v>
      </c>
      <c r="M689" s="15"/>
      <c r="N689" s="15" t="s">
        <v>73</v>
      </c>
      <c r="O689" s="15"/>
      <c r="P689" s="16" t="s">
        <v>1148</v>
      </c>
      <c r="Q689" s="17">
        <v>5599</v>
      </c>
      <c r="R689" s="18">
        <v>33</v>
      </c>
      <c r="S689" s="19">
        <v>4314.0294999999996</v>
      </c>
      <c r="T689" s="20" t="s">
        <v>99</v>
      </c>
      <c r="U689" s="21" t="s">
        <v>1088</v>
      </c>
      <c r="V689" s="61">
        <v>5</v>
      </c>
      <c r="W689" s="23">
        <v>14</v>
      </c>
      <c r="X689" s="24"/>
    </row>
    <row r="690" spans="1:24" s="1" customFormat="1" ht="108" customHeight="1" x14ac:dyDescent="0.3">
      <c r="A690" s="11" t="s">
        <v>607</v>
      </c>
      <c r="B690" s="11" t="s">
        <v>1095</v>
      </c>
      <c r="C690" s="12" t="s">
        <v>1165</v>
      </c>
      <c r="D690" s="13"/>
      <c r="E690" s="67" t="str">
        <f>HYPERLINK("https://www.google.ru/search?q=231444SC05&amp;newwindow=1&amp;tbm=isch","Еще фото")</f>
        <v>Еще фото</v>
      </c>
      <c r="F690" s="14"/>
      <c r="G690" s="11" t="s">
        <v>1102</v>
      </c>
      <c r="H690" s="11" t="s">
        <v>669</v>
      </c>
      <c r="I690" s="15" t="s">
        <v>1086</v>
      </c>
      <c r="J690" s="15" t="s">
        <v>360</v>
      </c>
      <c r="K690" s="16" t="s">
        <v>59</v>
      </c>
      <c r="L690" s="15" t="s">
        <v>1098</v>
      </c>
      <c r="M690" s="15"/>
      <c r="N690" s="15" t="s">
        <v>55</v>
      </c>
      <c r="O690" s="15"/>
      <c r="P690" s="16" t="s">
        <v>1148</v>
      </c>
      <c r="Q690" s="17">
        <v>5599</v>
      </c>
      <c r="R690" s="18">
        <v>33</v>
      </c>
      <c r="S690" s="19">
        <v>4314.0294999999996</v>
      </c>
      <c r="T690" s="20" t="s">
        <v>99</v>
      </c>
      <c r="U690" s="21" t="s">
        <v>1088</v>
      </c>
      <c r="V690" s="61">
        <v>5</v>
      </c>
      <c r="W690" s="23">
        <v>5</v>
      </c>
      <c r="X690" s="24"/>
    </row>
    <row r="691" spans="1:24" s="1" customFormat="1" ht="108" customHeight="1" x14ac:dyDescent="0.3">
      <c r="A691" s="11" t="s">
        <v>607</v>
      </c>
      <c r="B691" s="11" t="s">
        <v>1153</v>
      </c>
      <c r="C691" s="12" t="s">
        <v>1166</v>
      </c>
      <c r="D691" s="13"/>
      <c r="E691" s="67" t="str">
        <f>HYPERLINK("https://www.google.ru/search?q=231445SC05&amp;newwindow=1&amp;tbm=isch","Еще фото")</f>
        <v>Еще фото</v>
      </c>
      <c r="F691" s="14"/>
      <c r="G691" s="11" t="s">
        <v>1102</v>
      </c>
      <c r="H691" s="11" t="s">
        <v>669</v>
      </c>
      <c r="I691" s="15" t="s">
        <v>1086</v>
      </c>
      <c r="J691" s="15" t="s">
        <v>360</v>
      </c>
      <c r="K691" s="16" t="s">
        <v>59</v>
      </c>
      <c r="L691" s="15" t="s">
        <v>1155</v>
      </c>
      <c r="M691" s="15"/>
      <c r="N691" s="15" t="s">
        <v>73</v>
      </c>
      <c r="O691" s="15"/>
      <c r="P691" s="16" t="s">
        <v>1148</v>
      </c>
      <c r="Q691" s="17">
        <v>5599</v>
      </c>
      <c r="R691" s="18">
        <v>33</v>
      </c>
      <c r="S691" s="19">
        <v>4314.0294999999996</v>
      </c>
      <c r="T691" s="20" t="s">
        <v>99</v>
      </c>
      <c r="U691" s="21" t="s">
        <v>1088</v>
      </c>
      <c r="V691" s="61">
        <v>5</v>
      </c>
      <c r="W691" s="23">
        <v>8</v>
      </c>
      <c r="X691" s="24"/>
    </row>
    <row r="692" spans="1:24" s="1" customFormat="1" ht="108" customHeight="1" x14ac:dyDescent="0.3">
      <c r="A692" s="11" t="s">
        <v>607</v>
      </c>
      <c r="B692" s="11" t="s">
        <v>1167</v>
      </c>
      <c r="C692" s="12" t="s">
        <v>1168</v>
      </c>
      <c r="D692" s="13"/>
      <c r="E692" s="67" t="str">
        <f>HYPERLINK("https://www.google.ru/search?q=232115S20&amp;newwindow=1&amp;tbm=isch","Еще фото")</f>
        <v>Еще фото</v>
      </c>
      <c r="F692" s="14"/>
      <c r="G692" s="11" t="s">
        <v>1142</v>
      </c>
      <c r="H692" s="11" t="s">
        <v>669</v>
      </c>
      <c r="I692" s="15" t="s">
        <v>1086</v>
      </c>
      <c r="J692" s="15" t="s">
        <v>360</v>
      </c>
      <c r="K692" s="16" t="s">
        <v>71</v>
      </c>
      <c r="L692" s="15" t="s">
        <v>1169</v>
      </c>
      <c r="M692" s="15"/>
      <c r="N692" s="15" t="s">
        <v>55</v>
      </c>
      <c r="O692" s="15"/>
      <c r="P692" s="16" t="s">
        <v>1099</v>
      </c>
      <c r="Q692" s="17">
        <v>16699</v>
      </c>
      <c r="R692" s="18">
        <v>33</v>
      </c>
      <c r="S692" s="19">
        <v>12866.5795</v>
      </c>
      <c r="T692" s="20" t="s">
        <v>99</v>
      </c>
      <c r="U692" s="21" t="s">
        <v>1144</v>
      </c>
      <c r="V692" s="23">
        <v>20</v>
      </c>
      <c r="W692" s="23">
        <v>7</v>
      </c>
      <c r="X692" s="24"/>
    </row>
    <row r="693" spans="1:24" s="1" customFormat="1" ht="108" customHeight="1" x14ac:dyDescent="0.3">
      <c r="A693" s="11" t="s">
        <v>607</v>
      </c>
      <c r="B693" s="11" t="s">
        <v>1170</v>
      </c>
      <c r="C693" s="12" t="s">
        <v>1171</v>
      </c>
      <c r="D693" s="13"/>
      <c r="E693" s="67" t="str">
        <f>HYPERLINK("https://www.google.ru/search?q=222056&amp;newwindow=1&amp;tbm=isch","Еще фото")</f>
        <v>Еще фото</v>
      </c>
      <c r="F693" s="14"/>
      <c r="G693" s="11" t="s">
        <v>1172</v>
      </c>
      <c r="H693" s="11" t="s">
        <v>669</v>
      </c>
      <c r="I693" s="15" t="s">
        <v>1086</v>
      </c>
      <c r="J693" s="15" t="s">
        <v>768</v>
      </c>
      <c r="K693" s="16" t="s">
        <v>71</v>
      </c>
      <c r="L693" s="15" t="s">
        <v>1173</v>
      </c>
      <c r="M693" s="15"/>
      <c r="N693" s="15" t="s">
        <v>73</v>
      </c>
      <c r="O693" s="15"/>
      <c r="P693" s="16" t="s">
        <v>1174</v>
      </c>
      <c r="Q693" s="17">
        <v>24999</v>
      </c>
      <c r="R693" s="18">
        <v>30</v>
      </c>
      <c r="S693" s="19">
        <v>20124.194999999996</v>
      </c>
      <c r="T693" s="20" t="s">
        <v>75</v>
      </c>
      <c r="U693" s="21" t="s">
        <v>430</v>
      </c>
      <c r="V693" s="22" t="s">
        <v>77</v>
      </c>
      <c r="W693" s="23">
        <v>1</v>
      </c>
      <c r="X693" s="24"/>
    </row>
    <row r="694" spans="1:24" s="1" customFormat="1" ht="108" customHeight="1" x14ac:dyDescent="0.3">
      <c r="A694" s="11" t="s">
        <v>607</v>
      </c>
      <c r="B694" s="11" t="s">
        <v>1175</v>
      </c>
      <c r="C694" s="12" t="s">
        <v>1176</v>
      </c>
      <c r="D694" s="13"/>
      <c r="E694" s="67" t="str">
        <f>HYPERLINK("https://www.google.ru/search?q=223145&amp;newwindow=1&amp;tbm=isch","Еще фото")</f>
        <v>Еще фото</v>
      </c>
      <c r="F694" s="14"/>
      <c r="G694" s="11" t="s">
        <v>1172</v>
      </c>
      <c r="H694" s="11" t="s">
        <v>669</v>
      </c>
      <c r="I694" s="15" t="s">
        <v>1086</v>
      </c>
      <c r="J694" s="15" t="s">
        <v>768</v>
      </c>
      <c r="K694" s="16" t="s">
        <v>71</v>
      </c>
      <c r="L694" s="15"/>
      <c r="M694" s="15"/>
      <c r="N694" s="15" t="s">
        <v>55</v>
      </c>
      <c r="O694" s="15"/>
      <c r="P694" s="16" t="s">
        <v>1177</v>
      </c>
      <c r="Q694" s="17">
        <v>22499</v>
      </c>
      <c r="R694" s="18">
        <v>30</v>
      </c>
      <c r="S694" s="19">
        <v>18111.694999999996</v>
      </c>
      <c r="T694" s="20" t="s">
        <v>75</v>
      </c>
      <c r="U694" s="21" t="s">
        <v>430</v>
      </c>
      <c r="V694" s="22" t="s">
        <v>77</v>
      </c>
      <c r="W694" s="23">
        <v>1</v>
      </c>
      <c r="X694" s="24"/>
    </row>
    <row r="695" spans="1:24" s="1" customFormat="1" ht="108" customHeight="1" x14ac:dyDescent="0.3">
      <c r="A695" s="11" t="s">
        <v>607</v>
      </c>
      <c r="B695" s="11" t="s">
        <v>1178</v>
      </c>
      <c r="C695" s="12" t="s">
        <v>1179</v>
      </c>
      <c r="D695" s="13"/>
      <c r="E695" s="67" t="str">
        <f>HYPERLINK("https://www.google.ru/search?q=230004SC00&amp;newwindow=1&amp;tbm=isch","Еще фото")</f>
        <v>Еще фото</v>
      </c>
      <c r="F695" s="55" t="s">
        <v>688</v>
      </c>
      <c r="G695" s="11" t="s">
        <v>1102</v>
      </c>
      <c r="H695" s="11" t="s">
        <v>669</v>
      </c>
      <c r="I695" s="15" t="s">
        <v>1086</v>
      </c>
      <c r="J695" s="15" t="s">
        <v>360</v>
      </c>
      <c r="K695" s="16" t="s">
        <v>71</v>
      </c>
      <c r="L695" s="15" t="s">
        <v>1180</v>
      </c>
      <c r="M695" s="15"/>
      <c r="N695" s="15" t="s">
        <v>38</v>
      </c>
      <c r="O695" s="15"/>
      <c r="P695" s="16" t="s">
        <v>1181</v>
      </c>
      <c r="Q695" s="17">
        <v>8999</v>
      </c>
      <c r="R695" s="18">
        <v>30</v>
      </c>
      <c r="S695" s="19">
        <v>7244.1949999999997</v>
      </c>
      <c r="T695" s="20" t="s">
        <v>99</v>
      </c>
      <c r="U695" s="21" t="s">
        <v>1113</v>
      </c>
      <c r="V695" s="61">
        <v>0</v>
      </c>
      <c r="W695" s="23">
        <v>3</v>
      </c>
      <c r="X695" s="24"/>
    </row>
    <row r="696" spans="1:24" s="1" customFormat="1" ht="108" customHeight="1" x14ac:dyDescent="0.3">
      <c r="A696" s="11" t="s">
        <v>607</v>
      </c>
      <c r="B696" s="11" t="s">
        <v>1182</v>
      </c>
      <c r="C696" s="12" t="s">
        <v>1183</v>
      </c>
      <c r="D696" s="13"/>
      <c r="E696" s="67" t="str">
        <f>HYPERLINK("https://www.google.ru/search?q=230014SC07&amp;newwindow=1&amp;tbm=isch","Еще фото")</f>
        <v>Еще фото</v>
      </c>
      <c r="F696" s="14"/>
      <c r="G696" s="11" t="s">
        <v>1085</v>
      </c>
      <c r="H696" s="11" t="s">
        <v>669</v>
      </c>
      <c r="I696" s="15" t="s">
        <v>1086</v>
      </c>
      <c r="J696" s="15" t="s">
        <v>360</v>
      </c>
      <c r="K696" s="16" t="s">
        <v>59</v>
      </c>
      <c r="L696" s="15" t="s">
        <v>1184</v>
      </c>
      <c r="M696" s="15"/>
      <c r="N696" s="15" t="s">
        <v>38</v>
      </c>
      <c r="O696" s="15"/>
      <c r="P696" s="16" t="s">
        <v>1185</v>
      </c>
      <c r="Q696" s="17">
        <v>8499</v>
      </c>
      <c r="R696" s="18">
        <v>30</v>
      </c>
      <c r="S696" s="19">
        <v>6841.6949999999997</v>
      </c>
      <c r="T696" s="20" t="s">
        <v>99</v>
      </c>
      <c r="U696" s="21" t="s">
        <v>1149</v>
      </c>
      <c r="V696" s="61">
        <v>7</v>
      </c>
      <c r="W696" s="23">
        <v>6</v>
      </c>
      <c r="X696" s="24"/>
    </row>
    <row r="697" spans="1:24" s="1" customFormat="1" ht="108" customHeight="1" x14ac:dyDescent="0.3">
      <c r="A697" s="11" t="s">
        <v>607</v>
      </c>
      <c r="B697" s="11" t="s">
        <v>1186</v>
      </c>
      <c r="C697" s="12" t="s">
        <v>1187</v>
      </c>
      <c r="D697" s="13"/>
      <c r="E697" s="67" t="str">
        <f>HYPERLINK("https://www.google.ru/search?q=230024SC06&amp;newwindow=1&amp;tbm=isch","Еще фото")</f>
        <v>Еще фото</v>
      </c>
      <c r="F697" s="55" t="s">
        <v>688</v>
      </c>
      <c r="G697" s="11" t="s">
        <v>1102</v>
      </c>
      <c r="H697" s="11" t="s">
        <v>669</v>
      </c>
      <c r="I697" s="15" t="s">
        <v>1086</v>
      </c>
      <c r="J697" s="15" t="s">
        <v>360</v>
      </c>
      <c r="K697" s="16" t="s">
        <v>71</v>
      </c>
      <c r="L697" s="15" t="s">
        <v>1188</v>
      </c>
      <c r="M697" s="15"/>
      <c r="N697" s="15" t="s">
        <v>38</v>
      </c>
      <c r="O697" s="15"/>
      <c r="P697" s="16" t="s">
        <v>1099</v>
      </c>
      <c r="Q697" s="17">
        <v>7499</v>
      </c>
      <c r="R697" s="18">
        <v>30</v>
      </c>
      <c r="S697" s="19">
        <v>6036.6949999999997</v>
      </c>
      <c r="T697" s="20" t="s">
        <v>63</v>
      </c>
      <c r="U697" s="21" t="s">
        <v>1104</v>
      </c>
      <c r="V697" s="61">
        <v>6</v>
      </c>
      <c r="W697" s="23">
        <v>18</v>
      </c>
      <c r="X697" s="24"/>
    </row>
    <row r="698" spans="1:24" s="1" customFormat="1" ht="108" customHeight="1" x14ac:dyDescent="0.3">
      <c r="A698" s="11" t="s">
        <v>607</v>
      </c>
      <c r="B698" s="11" t="s">
        <v>1189</v>
      </c>
      <c r="C698" s="12" t="s">
        <v>1190</v>
      </c>
      <c r="D698" s="13"/>
      <c r="E698" s="67" t="str">
        <f>HYPERLINK("https://www.google.ru/search?q=230104U30&amp;newwindow=1&amp;tbm=isch","Еще фото")</f>
        <v>Еще фото</v>
      </c>
      <c r="F698" s="14"/>
      <c r="G698" s="11" t="s">
        <v>1085</v>
      </c>
      <c r="H698" s="11" t="s">
        <v>669</v>
      </c>
      <c r="I698" s="15" t="s">
        <v>1086</v>
      </c>
      <c r="J698" s="15" t="s">
        <v>360</v>
      </c>
      <c r="K698" s="16" t="s">
        <v>71</v>
      </c>
      <c r="L698" s="15" t="s">
        <v>1191</v>
      </c>
      <c r="M698" s="15"/>
      <c r="N698" s="15" t="s">
        <v>1192</v>
      </c>
      <c r="O698" s="15"/>
      <c r="P698" s="16" t="s">
        <v>1099</v>
      </c>
      <c r="Q698" s="17">
        <v>32399</v>
      </c>
      <c r="R698" s="18">
        <v>30</v>
      </c>
      <c r="S698" s="19">
        <v>26081.194999999996</v>
      </c>
      <c r="T698" s="20" t="s">
        <v>99</v>
      </c>
      <c r="U698" s="21" t="s">
        <v>1193</v>
      </c>
      <c r="V698" s="23">
        <v>30</v>
      </c>
      <c r="W698" s="23">
        <v>3</v>
      </c>
      <c r="X698" s="24"/>
    </row>
    <row r="699" spans="1:24" s="1" customFormat="1" ht="108" customHeight="1" x14ac:dyDescent="0.3">
      <c r="A699" s="11" t="s">
        <v>607</v>
      </c>
      <c r="B699" s="11" t="s">
        <v>1194</v>
      </c>
      <c r="C699" s="12" t="s">
        <v>1195</v>
      </c>
      <c r="D699" s="13"/>
      <c r="E699" s="67" t="str">
        <f>HYPERLINK("https://www.google.ru/search?q=230114U30&amp;newwindow=1&amp;tbm=isch","Еще фото")</f>
        <v>Еще фото</v>
      </c>
      <c r="F699" s="14"/>
      <c r="G699" s="11" t="s">
        <v>1085</v>
      </c>
      <c r="H699" s="11" t="s">
        <v>669</v>
      </c>
      <c r="I699" s="15" t="s">
        <v>1086</v>
      </c>
      <c r="J699" s="15" t="s">
        <v>360</v>
      </c>
      <c r="K699" s="16" t="s">
        <v>71</v>
      </c>
      <c r="L699" s="15" t="s">
        <v>1196</v>
      </c>
      <c r="M699" s="15"/>
      <c r="N699" s="15" t="s">
        <v>1192</v>
      </c>
      <c r="O699" s="15"/>
      <c r="P699" s="16" t="s">
        <v>1099</v>
      </c>
      <c r="Q699" s="17">
        <v>31199</v>
      </c>
      <c r="R699" s="18">
        <v>30</v>
      </c>
      <c r="S699" s="19">
        <v>25115.194999999996</v>
      </c>
      <c r="T699" s="20" t="s">
        <v>99</v>
      </c>
      <c r="U699" s="21" t="s">
        <v>1193</v>
      </c>
      <c r="V699" s="23">
        <v>30</v>
      </c>
      <c r="W699" s="23">
        <v>9</v>
      </c>
      <c r="X699" s="24"/>
    </row>
    <row r="700" spans="1:24" s="1" customFormat="1" ht="108" customHeight="1" x14ac:dyDescent="0.3">
      <c r="A700" s="11" t="s">
        <v>607</v>
      </c>
      <c r="B700" s="11" t="s">
        <v>1194</v>
      </c>
      <c r="C700" s="12" t="s">
        <v>1197</v>
      </c>
      <c r="D700" s="13"/>
      <c r="E700" s="67" t="str">
        <f>HYPERLINK("https://www.google.ru/search?q=230114U40&amp;newwindow=1&amp;tbm=isch","Еще фото")</f>
        <v>Еще фото</v>
      </c>
      <c r="F700" s="14"/>
      <c r="G700" s="11" t="s">
        <v>1085</v>
      </c>
      <c r="H700" s="11" t="s">
        <v>669</v>
      </c>
      <c r="I700" s="15" t="s">
        <v>1086</v>
      </c>
      <c r="J700" s="15" t="s">
        <v>360</v>
      </c>
      <c r="K700" s="16" t="s">
        <v>71</v>
      </c>
      <c r="L700" s="15" t="s">
        <v>1196</v>
      </c>
      <c r="M700" s="15"/>
      <c r="N700" s="15" t="s">
        <v>1192</v>
      </c>
      <c r="O700" s="15"/>
      <c r="P700" s="16" t="s">
        <v>1099</v>
      </c>
      <c r="Q700" s="17">
        <v>31199</v>
      </c>
      <c r="R700" s="18">
        <v>30</v>
      </c>
      <c r="S700" s="19">
        <v>25115.194999999996</v>
      </c>
      <c r="T700" s="20" t="s">
        <v>333</v>
      </c>
      <c r="U700" s="21" t="s">
        <v>1198</v>
      </c>
      <c r="V700" s="23">
        <v>40</v>
      </c>
      <c r="W700" s="23">
        <v>3</v>
      </c>
      <c r="X700" s="24"/>
    </row>
    <row r="701" spans="1:24" s="1" customFormat="1" ht="108" customHeight="1" x14ac:dyDescent="0.3">
      <c r="A701" s="11" t="s">
        <v>607</v>
      </c>
      <c r="B701" s="11" t="s">
        <v>1199</v>
      </c>
      <c r="C701" s="12" t="s">
        <v>1200</v>
      </c>
      <c r="D701" s="13"/>
      <c r="E701" s="67" t="str">
        <f>HYPERLINK("https://www.google.ru/search?q=230134U20&amp;newwindow=1&amp;tbm=isch","Еще фото")</f>
        <v>Еще фото</v>
      </c>
      <c r="F701" s="14"/>
      <c r="G701" s="11" t="s">
        <v>1085</v>
      </c>
      <c r="H701" s="11" t="s">
        <v>669</v>
      </c>
      <c r="I701" s="15" t="s">
        <v>1086</v>
      </c>
      <c r="J701" s="15" t="s">
        <v>360</v>
      </c>
      <c r="K701" s="16" t="s">
        <v>71</v>
      </c>
      <c r="L701" s="15" t="s">
        <v>1201</v>
      </c>
      <c r="M701" s="15"/>
      <c r="N701" s="15" t="s">
        <v>1192</v>
      </c>
      <c r="O701" s="15"/>
      <c r="P701" s="16" t="s">
        <v>1099</v>
      </c>
      <c r="Q701" s="17">
        <v>29199</v>
      </c>
      <c r="R701" s="18">
        <v>30</v>
      </c>
      <c r="S701" s="19">
        <v>23505.194999999996</v>
      </c>
      <c r="T701" s="20" t="s">
        <v>63</v>
      </c>
      <c r="U701" s="21" t="s">
        <v>1202</v>
      </c>
      <c r="V701" s="23">
        <v>20</v>
      </c>
      <c r="W701" s="23">
        <v>6</v>
      </c>
      <c r="X701" s="24"/>
    </row>
    <row r="702" spans="1:24" s="1" customFormat="1" ht="108" customHeight="1" x14ac:dyDescent="0.3">
      <c r="A702" s="11" t="s">
        <v>607</v>
      </c>
      <c r="B702" s="11" t="s">
        <v>1203</v>
      </c>
      <c r="C702" s="12" t="s">
        <v>1204</v>
      </c>
      <c r="D702" s="13"/>
      <c r="E702" s="67" t="str">
        <f>HYPERLINK("https://www.google.ru/search?q=230144U20&amp;newwindow=1&amp;tbm=isch","Еще фото")</f>
        <v>Еще фото</v>
      </c>
      <c r="F702" s="14"/>
      <c r="G702" s="11" t="s">
        <v>1085</v>
      </c>
      <c r="H702" s="11" t="s">
        <v>669</v>
      </c>
      <c r="I702" s="15" t="s">
        <v>1086</v>
      </c>
      <c r="J702" s="15" t="s">
        <v>360</v>
      </c>
      <c r="K702" s="16" t="s">
        <v>71</v>
      </c>
      <c r="L702" s="15" t="s">
        <v>1205</v>
      </c>
      <c r="M702" s="15"/>
      <c r="N702" s="15" t="s">
        <v>1192</v>
      </c>
      <c r="O702" s="15"/>
      <c r="P702" s="16" t="s">
        <v>1099</v>
      </c>
      <c r="Q702" s="17">
        <v>27599</v>
      </c>
      <c r="R702" s="18">
        <v>30</v>
      </c>
      <c r="S702" s="19">
        <v>22217.194999999996</v>
      </c>
      <c r="T702" s="20" t="s">
        <v>63</v>
      </c>
      <c r="U702" s="21" t="s">
        <v>1202</v>
      </c>
      <c r="V702" s="23">
        <v>20</v>
      </c>
      <c r="W702" s="23">
        <v>5</v>
      </c>
      <c r="X702" s="24"/>
    </row>
    <row r="703" spans="1:24" s="1" customFormat="1" ht="108" customHeight="1" x14ac:dyDescent="0.3">
      <c r="A703" s="11" t="s">
        <v>607</v>
      </c>
      <c r="B703" s="11" t="s">
        <v>1114</v>
      </c>
      <c r="C703" s="12" t="s">
        <v>1206</v>
      </c>
      <c r="D703" s="13"/>
      <c r="E703" s="67" t="str">
        <f>HYPERLINK("https://www.google.ru/search?q=230164SC10&amp;newwindow=1&amp;tbm=isch","Еще фото")</f>
        <v>Еще фото</v>
      </c>
      <c r="F703" s="14"/>
      <c r="G703" s="11" t="s">
        <v>1102</v>
      </c>
      <c r="H703" s="11" t="s">
        <v>669</v>
      </c>
      <c r="I703" s="15" t="s">
        <v>1086</v>
      </c>
      <c r="J703" s="15" t="s">
        <v>360</v>
      </c>
      <c r="K703" s="16" t="s">
        <v>71</v>
      </c>
      <c r="L703" s="15" t="s">
        <v>1116</v>
      </c>
      <c r="M703" s="15"/>
      <c r="N703" s="15" t="s">
        <v>122</v>
      </c>
      <c r="O703" s="15"/>
      <c r="P703" s="16" t="s">
        <v>1099</v>
      </c>
      <c r="Q703" s="17">
        <v>17999</v>
      </c>
      <c r="R703" s="18">
        <v>30</v>
      </c>
      <c r="S703" s="19">
        <v>14489.194999999998</v>
      </c>
      <c r="T703" s="20" t="s">
        <v>63</v>
      </c>
      <c r="U703" s="21" t="s">
        <v>1109</v>
      </c>
      <c r="V703" s="23">
        <v>10</v>
      </c>
      <c r="W703" s="23">
        <v>12</v>
      </c>
      <c r="X703" s="24"/>
    </row>
    <row r="704" spans="1:24" s="1" customFormat="1" ht="108" customHeight="1" x14ac:dyDescent="0.3">
      <c r="A704" s="11" t="s">
        <v>607</v>
      </c>
      <c r="B704" s="11" t="s">
        <v>1207</v>
      </c>
      <c r="C704" s="12" t="s">
        <v>1208</v>
      </c>
      <c r="D704" s="13"/>
      <c r="E704" s="67" t="str">
        <f>HYPERLINK("https://www.google.ru/search?q=230174SC00&amp;newwindow=1&amp;tbm=isch","Еще фото")</f>
        <v>Еще фото</v>
      </c>
      <c r="F704" s="14"/>
      <c r="G704" s="11" t="s">
        <v>1102</v>
      </c>
      <c r="H704" s="11" t="s">
        <v>669</v>
      </c>
      <c r="I704" s="15" t="s">
        <v>1086</v>
      </c>
      <c r="J704" s="15" t="s">
        <v>360</v>
      </c>
      <c r="K704" s="16" t="s">
        <v>71</v>
      </c>
      <c r="L704" s="15" t="s">
        <v>1209</v>
      </c>
      <c r="M704" s="15"/>
      <c r="N704" s="15" t="s">
        <v>122</v>
      </c>
      <c r="O704" s="15"/>
      <c r="P704" s="16" t="s">
        <v>1099</v>
      </c>
      <c r="Q704" s="17">
        <v>17999</v>
      </c>
      <c r="R704" s="18">
        <v>30</v>
      </c>
      <c r="S704" s="19">
        <v>14489.194999999998</v>
      </c>
      <c r="T704" s="20" t="s">
        <v>99</v>
      </c>
      <c r="U704" s="21" t="s">
        <v>1113</v>
      </c>
      <c r="V704" s="61">
        <v>0</v>
      </c>
      <c r="W704" s="23">
        <v>10</v>
      </c>
      <c r="X704" s="24"/>
    </row>
    <row r="705" spans="1:24" s="1" customFormat="1" ht="108" customHeight="1" x14ac:dyDescent="0.3">
      <c r="A705" s="11" t="s">
        <v>607</v>
      </c>
      <c r="B705" s="11" t="s">
        <v>1207</v>
      </c>
      <c r="C705" s="12" t="s">
        <v>1210</v>
      </c>
      <c r="D705" s="13"/>
      <c r="E705" s="67" t="str">
        <f>HYPERLINK("https://www.google.ru/search?q=230174SC07&amp;newwindow=1&amp;tbm=isch","Еще фото")</f>
        <v>Еще фото</v>
      </c>
      <c r="F705" s="14"/>
      <c r="G705" s="11" t="s">
        <v>1085</v>
      </c>
      <c r="H705" s="11" t="s">
        <v>669</v>
      </c>
      <c r="I705" s="15" t="s">
        <v>1086</v>
      </c>
      <c r="J705" s="15" t="s">
        <v>360</v>
      </c>
      <c r="K705" s="16" t="s">
        <v>59</v>
      </c>
      <c r="L705" s="15" t="s">
        <v>1209</v>
      </c>
      <c r="M705" s="15"/>
      <c r="N705" s="15" t="s">
        <v>122</v>
      </c>
      <c r="O705" s="15"/>
      <c r="P705" s="16" t="s">
        <v>1099</v>
      </c>
      <c r="Q705" s="17">
        <v>13499</v>
      </c>
      <c r="R705" s="18">
        <v>30</v>
      </c>
      <c r="S705" s="19">
        <v>10866.694999999998</v>
      </c>
      <c r="T705" s="20" t="s">
        <v>99</v>
      </c>
      <c r="U705" s="21" t="s">
        <v>1149</v>
      </c>
      <c r="V705" s="61">
        <v>7</v>
      </c>
      <c r="W705" s="23">
        <v>3</v>
      </c>
      <c r="X705" s="24"/>
    </row>
    <row r="706" spans="1:24" s="1" customFormat="1" ht="108" customHeight="1" x14ac:dyDescent="0.3">
      <c r="A706" s="11" t="s">
        <v>607</v>
      </c>
      <c r="B706" s="11" t="s">
        <v>1211</v>
      </c>
      <c r="C706" s="12" t="s">
        <v>1212</v>
      </c>
      <c r="D706" s="13"/>
      <c r="E706" s="67" t="str">
        <f>HYPERLINK("https://www.google.ru/search?q=230184SC00&amp;newwindow=1&amp;tbm=isch","Еще фото")</f>
        <v>Еще фото</v>
      </c>
      <c r="F706" s="14"/>
      <c r="G706" s="11" t="s">
        <v>1102</v>
      </c>
      <c r="H706" s="11" t="s">
        <v>669</v>
      </c>
      <c r="I706" s="15" t="s">
        <v>1086</v>
      </c>
      <c r="J706" s="15" t="s">
        <v>360</v>
      </c>
      <c r="K706" s="16" t="s">
        <v>71</v>
      </c>
      <c r="L706" s="15" t="s">
        <v>1213</v>
      </c>
      <c r="M706" s="15"/>
      <c r="N706" s="15" t="s">
        <v>122</v>
      </c>
      <c r="O706" s="15"/>
      <c r="P706" s="16" t="s">
        <v>1099</v>
      </c>
      <c r="Q706" s="17">
        <v>17099</v>
      </c>
      <c r="R706" s="18">
        <v>30</v>
      </c>
      <c r="S706" s="19">
        <v>13764.694999999998</v>
      </c>
      <c r="T706" s="20" t="s">
        <v>99</v>
      </c>
      <c r="U706" s="21" t="s">
        <v>1113</v>
      </c>
      <c r="V706" s="61">
        <v>0</v>
      </c>
      <c r="W706" s="23">
        <v>4</v>
      </c>
      <c r="X706" s="24"/>
    </row>
    <row r="707" spans="1:24" s="1" customFormat="1" ht="108" customHeight="1" x14ac:dyDescent="0.3">
      <c r="A707" s="11" t="s">
        <v>607</v>
      </c>
      <c r="B707" s="11" t="s">
        <v>1214</v>
      </c>
      <c r="C707" s="12" t="s">
        <v>1215</v>
      </c>
      <c r="D707" s="13"/>
      <c r="E707" s="67" t="str">
        <f>HYPERLINK("https://www.google.ru/search?q=230194SC00&amp;newwindow=1&amp;tbm=isch","Еще фото")</f>
        <v>Еще фото</v>
      </c>
      <c r="F707" s="14"/>
      <c r="G707" s="11" t="s">
        <v>1102</v>
      </c>
      <c r="H707" s="11" t="s">
        <v>669</v>
      </c>
      <c r="I707" s="15" t="s">
        <v>1086</v>
      </c>
      <c r="J707" s="15" t="s">
        <v>360</v>
      </c>
      <c r="K707" s="16" t="s">
        <v>71</v>
      </c>
      <c r="L707" s="15" t="s">
        <v>1209</v>
      </c>
      <c r="M707" s="15"/>
      <c r="N707" s="15" t="s">
        <v>122</v>
      </c>
      <c r="O707" s="15"/>
      <c r="P707" s="16" t="s">
        <v>1099</v>
      </c>
      <c r="Q707" s="17">
        <v>17099</v>
      </c>
      <c r="R707" s="18">
        <v>30</v>
      </c>
      <c r="S707" s="19">
        <v>13764.694999999998</v>
      </c>
      <c r="T707" s="20" t="s">
        <v>99</v>
      </c>
      <c r="U707" s="21" t="s">
        <v>1113</v>
      </c>
      <c r="V707" s="61">
        <v>0</v>
      </c>
      <c r="W707" s="23">
        <v>3</v>
      </c>
      <c r="X707" s="24"/>
    </row>
    <row r="708" spans="1:24" s="1" customFormat="1" ht="108" customHeight="1" x14ac:dyDescent="0.3">
      <c r="A708" s="11" t="s">
        <v>607</v>
      </c>
      <c r="B708" s="11" t="s">
        <v>1216</v>
      </c>
      <c r="C708" s="12" t="s">
        <v>1217</v>
      </c>
      <c r="D708" s="13"/>
      <c r="E708" s="67" t="str">
        <f>HYPERLINK("https://www.google.ru/search?q=230364SC05&amp;newwindow=1&amp;tbm=isch","Еще фото")</f>
        <v>Еще фото</v>
      </c>
      <c r="F708" s="14"/>
      <c r="G708" s="11" t="s">
        <v>1102</v>
      </c>
      <c r="H708" s="11" t="s">
        <v>669</v>
      </c>
      <c r="I708" s="15" t="s">
        <v>1086</v>
      </c>
      <c r="J708" s="15" t="s">
        <v>360</v>
      </c>
      <c r="K708" s="16" t="s">
        <v>59</v>
      </c>
      <c r="L708" s="15" t="s">
        <v>1218</v>
      </c>
      <c r="M708" s="15"/>
      <c r="N708" s="15" t="s">
        <v>31</v>
      </c>
      <c r="O708" s="15"/>
      <c r="P708" s="16" t="s">
        <v>1219</v>
      </c>
      <c r="Q708" s="17">
        <v>5499</v>
      </c>
      <c r="R708" s="18">
        <v>30</v>
      </c>
      <c r="S708" s="19">
        <v>4426.6949999999997</v>
      </c>
      <c r="T708" s="20" t="s">
        <v>99</v>
      </c>
      <c r="U708" s="21" t="s">
        <v>1088</v>
      </c>
      <c r="V708" s="61">
        <v>5</v>
      </c>
      <c r="W708" s="23">
        <v>39</v>
      </c>
      <c r="X708" s="24"/>
    </row>
    <row r="709" spans="1:24" s="1" customFormat="1" ht="108" customHeight="1" x14ac:dyDescent="0.3">
      <c r="A709" s="11" t="s">
        <v>607</v>
      </c>
      <c r="B709" s="11" t="s">
        <v>1220</v>
      </c>
      <c r="C709" s="12" t="s">
        <v>1221</v>
      </c>
      <c r="D709" s="13"/>
      <c r="E709" s="67" t="str">
        <f>HYPERLINK("https://www.google.ru/search?q=230414U30&amp;newwindow=1&amp;tbm=isch","Еще фото")</f>
        <v>Еще фото</v>
      </c>
      <c r="F709" s="14"/>
      <c r="G709" s="11" t="s">
        <v>1085</v>
      </c>
      <c r="H709" s="11" t="s">
        <v>669</v>
      </c>
      <c r="I709" s="15" t="s">
        <v>1086</v>
      </c>
      <c r="J709" s="15" t="s">
        <v>360</v>
      </c>
      <c r="K709" s="16" t="s">
        <v>71</v>
      </c>
      <c r="L709" s="15" t="s">
        <v>1222</v>
      </c>
      <c r="M709" s="15"/>
      <c r="N709" s="15" t="s">
        <v>122</v>
      </c>
      <c r="O709" s="15"/>
      <c r="P709" s="16" t="s">
        <v>1099</v>
      </c>
      <c r="Q709" s="17">
        <v>31199</v>
      </c>
      <c r="R709" s="18">
        <v>30</v>
      </c>
      <c r="S709" s="19">
        <v>25115.194999999996</v>
      </c>
      <c r="T709" s="20" t="s">
        <v>99</v>
      </c>
      <c r="U709" s="21" t="s">
        <v>1193</v>
      </c>
      <c r="V709" s="23">
        <v>30</v>
      </c>
      <c r="W709" s="23">
        <v>3</v>
      </c>
      <c r="X709" s="24"/>
    </row>
    <row r="710" spans="1:24" s="1" customFormat="1" ht="108" customHeight="1" x14ac:dyDescent="0.3">
      <c r="A710" s="11" t="s">
        <v>607</v>
      </c>
      <c r="B710" s="11" t="s">
        <v>1223</v>
      </c>
      <c r="C710" s="12" t="s">
        <v>1224</v>
      </c>
      <c r="D710" s="13"/>
      <c r="E710" s="67" t="str">
        <f>HYPERLINK("https://www.google.ru/search?q=231045SC10&amp;newwindow=1&amp;tbm=isch","Еще фото")</f>
        <v>Еще фото</v>
      </c>
      <c r="F710" s="14"/>
      <c r="G710" s="11" t="s">
        <v>1102</v>
      </c>
      <c r="H710" s="11" t="s">
        <v>669</v>
      </c>
      <c r="I710" s="15" t="s">
        <v>1086</v>
      </c>
      <c r="J710" s="15" t="s">
        <v>360</v>
      </c>
      <c r="K710" s="16" t="s">
        <v>59</v>
      </c>
      <c r="L710" s="15"/>
      <c r="M710" s="15"/>
      <c r="N710" s="15" t="s">
        <v>73</v>
      </c>
      <c r="O710" s="15"/>
      <c r="P710" s="16" t="s">
        <v>1181</v>
      </c>
      <c r="Q710" s="17">
        <v>16599</v>
      </c>
      <c r="R710" s="18">
        <v>30</v>
      </c>
      <c r="S710" s="19">
        <v>13362.194999999998</v>
      </c>
      <c r="T710" s="20" t="s">
        <v>99</v>
      </c>
      <c r="U710" s="21" t="s">
        <v>1109</v>
      </c>
      <c r="V710" s="23">
        <v>10</v>
      </c>
      <c r="W710" s="23">
        <v>2</v>
      </c>
      <c r="X710" s="24"/>
    </row>
    <row r="711" spans="1:24" s="1" customFormat="1" ht="108" customHeight="1" x14ac:dyDescent="0.3">
      <c r="A711" s="11" t="s">
        <v>607</v>
      </c>
      <c r="B711" s="11" t="s">
        <v>1225</v>
      </c>
      <c r="C711" s="12" t="s">
        <v>1226</v>
      </c>
      <c r="D711" s="13"/>
      <c r="E711" s="67" t="str">
        <f>HYPERLINK("https://www.google.ru/search?q=231114U30&amp;newwindow=1&amp;tbm=isch","Еще фото")</f>
        <v>Еще фото</v>
      </c>
      <c r="F711" s="14"/>
      <c r="G711" s="11" t="s">
        <v>1085</v>
      </c>
      <c r="H711" s="11" t="s">
        <v>669</v>
      </c>
      <c r="I711" s="15" t="s">
        <v>1086</v>
      </c>
      <c r="J711" s="15" t="s">
        <v>360</v>
      </c>
      <c r="K711" s="16" t="s">
        <v>71</v>
      </c>
      <c r="L711" s="15" t="s">
        <v>1227</v>
      </c>
      <c r="M711" s="15"/>
      <c r="N711" s="15" t="s">
        <v>55</v>
      </c>
      <c r="O711" s="15"/>
      <c r="P711" s="16" t="s">
        <v>1099</v>
      </c>
      <c r="Q711" s="17">
        <v>29999</v>
      </c>
      <c r="R711" s="18">
        <v>30</v>
      </c>
      <c r="S711" s="19">
        <v>24149.194999999996</v>
      </c>
      <c r="T711" s="20" t="s">
        <v>99</v>
      </c>
      <c r="U711" s="21" t="s">
        <v>1193</v>
      </c>
      <c r="V711" s="23">
        <v>30</v>
      </c>
      <c r="W711" s="23">
        <v>6</v>
      </c>
      <c r="X711" s="24"/>
    </row>
    <row r="712" spans="1:24" s="1" customFormat="1" ht="108" customHeight="1" x14ac:dyDescent="0.3">
      <c r="A712" s="11" t="s">
        <v>607</v>
      </c>
      <c r="B712" s="11" t="s">
        <v>1228</v>
      </c>
      <c r="C712" s="12" t="s">
        <v>1229</v>
      </c>
      <c r="D712" s="13"/>
      <c r="E712" s="67" t="str">
        <f>HYPERLINK("https://www.google.ru/search?q=231125U30&amp;newwindow=1&amp;tbm=isch","Еще фото")</f>
        <v>Еще фото</v>
      </c>
      <c r="F712" s="14"/>
      <c r="G712" s="11" t="s">
        <v>1085</v>
      </c>
      <c r="H712" s="11" t="s">
        <v>669</v>
      </c>
      <c r="I712" s="15" t="s">
        <v>1086</v>
      </c>
      <c r="J712" s="15" t="s">
        <v>360</v>
      </c>
      <c r="K712" s="16" t="s">
        <v>71</v>
      </c>
      <c r="L712" s="15" t="s">
        <v>1230</v>
      </c>
      <c r="M712" s="15"/>
      <c r="N712" s="15" t="s">
        <v>31</v>
      </c>
      <c r="O712" s="15"/>
      <c r="P712" s="16" t="s">
        <v>1099</v>
      </c>
      <c r="Q712" s="17">
        <v>32499</v>
      </c>
      <c r="R712" s="18">
        <v>30</v>
      </c>
      <c r="S712" s="19">
        <v>26161.694999999996</v>
      </c>
      <c r="T712" s="20" t="s">
        <v>99</v>
      </c>
      <c r="U712" s="21" t="s">
        <v>1193</v>
      </c>
      <c r="V712" s="23">
        <v>30</v>
      </c>
      <c r="W712" s="23">
        <v>5</v>
      </c>
      <c r="X712" s="24"/>
    </row>
    <row r="713" spans="1:24" s="1" customFormat="1" ht="108" customHeight="1" x14ac:dyDescent="0.3">
      <c r="A713" s="11" t="s">
        <v>607</v>
      </c>
      <c r="B713" s="11" t="s">
        <v>1231</v>
      </c>
      <c r="C713" s="12" t="s">
        <v>1232</v>
      </c>
      <c r="D713" s="13"/>
      <c r="E713" s="67" t="str">
        <f>HYPERLINK("https://www.google.ru/search?q=231134U20&amp;newwindow=1&amp;tbm=isch","Еще фото")</f>
        <v>Еще фото</v>
      </c>
      <c r="F713" s="14"/>
      <c r="G713" s="11" t="s">
        <v>1085</v>
      </c>
      <c r="H713" s="11" t="s">
        <v>669</v>
      </c>
      <c r="I713" s="15" t="s">
        <v>1086</v>
      </c>
      <c r="J713" s="15" t="s">
        <v>360</v>
      </c>
      <c r="K713" s="16" t="s">
        <v>71</v>
      </c>
      <c r="L713" s="15" t="s">
        <v>1233</v>
      </c>
      <c r="M713" s="15"/>
      <c r="N713" s="15" t="s">
        <v>225</v>
      </c>
      <c r="O713" s="15"/>
      <c r="P713" s="16" t="s">
        <v>1099</v>
      </c>
      <c r="Q713" s="17">
        <v>28799</v>
      </c>
      <c r="R713" s="18">
        <v>30</v>
      </c>
      <c r="S713" s="19">
        <v>23183.194999999996</v>
      </c>
      <c r="T713" s="20" t="s">
        <v>63</v>
      </c>
      <c r="U713" s="21" t="s">
        <v>1202</v>
      </c>
      <c r="V713" s="23">
        <v>20</v>
      </c>
      <c r="W713" s="23">
        <v>2</v>
      </c>
      <c r="X713" s="24"/>
    </row>
    <row r="714" spans="1:24" s="1" customFormat="1" ht="108" customHeight="1" x14ac:dyDescent="0.3">
      <c r="A714" s="11" t="s">
        <v>607</v>
      </c>
      <c r="B714" s="11" t="s">
        <v>1234</v>
      </c>
      <c r="C714" s="12" t="s">
        <v>1235</v>
      </c>
      <c r="D714" s="13"/>
      <c r="E714" s="67" t="str">
        <f>HYPERLINK("https://www.google.ru/search?q=231144U10&amp;newwindow=1&amp;tbm=isch","Еще фото")</f>
        <v>Еще фото</v>
      </c>
      <c r="F714" s="14"/>
      <c r="G714" s="11" t="s">
        <v>1236</v>
      </c>
      <c r="H714" s="11" t="s">
        <v>669</v>
      </c>
      <c r="I714" s="15" t="s">
        <v>1086</v>
      </c>
      <c r="J714" s="15" t="s">
        <v>360</v>
      </c>
      <c r="K714" s="16" t="s">
        <v>71</v>
      </c>
      <c r="L714" s="15" t="s">
        <v>1237</v>
      </c>
      <c r="M714" s="15"/>
      <c r="N714" s="15" t="s">
        <v>55</v>
      </c>
      <c r="O714" s="15"/>
      <c r="P714" s="16" t="s">
        <v>1108</v>
      </c>
      <c r="Q714" s="17">
        <v>19399</v>
      </c>
      <c r="R714" s="18">
        <v>30</v>
      </c>
      <c r="S714" s="19">
        <v>15616.194999999998</v>
      </c>
      <c r="T714" s="20" t="s">
        <v>333</v>
      </c>
      <c r="U714" s="21" t="s">
        <v>1238</v>
      </c>
      <c r="V714" s="23">
        <v>10</v>
      </c>
      <c r="W714" s="23">
        <v>1</v>
      </c>
      <c r="X714" s="24"/>
    </row>
    <row r="715" spans="1:24" s="1" customFormat="1" ht="108" customHeight="1" x14ac:dyDescent="0.3">
      <c r="A715" s="11" t="s">
        <v>607</v>
      </c>
      <c r="B715" s="11" t="s">
        <v>1239</v>
      </c>
      <c r="C715" s="12" t="s">
        <v>1240</v>
      </c>
      <c r="D715" s="13"/>
      <c r="E715" s="67" t="str">
        <f>HYPERLINK("https://www.google.ru/search?q=231144U20&amp;newwindow=1&amp;tbm=isch","Еще фото")</f>
        <v>Еще фото</v>
      </c>
      <c r="F715" s="14"/>
      <c r="G715" s="11" t="s">
        <v>1085</v>
      </c>
      <c r="H715" s="11" t="s">
        <v>669</v>
      </c>
      <c r="I715" s="15" t="s">
        <v>1086</v>
      </c>
      <c r="J715" s="15" t="s">
        <v>360</v>
      </c>
      <c r="K715" s="16" t="s">
        <v>71</v>
      </c>
      <c r="L715" s="15" t="s">
        <v>1241</v>
      </c>
      <c r="M715" s="15"/>
      <c r="N715" s="15" t="s">
        <v>225</v>
      </c>
      <c r="O715" s="15"/>
      <c r="P715" s="16" t="s">
        <v>1099</v>
      </c>
      <c r="Q715" s="17">
        <v>20899</v>
      </c>
      <c r="R715" s="18">
        <v>30</v>
      </c>
      <c r="S715" s="19">
        <v>16823.694999999996</v>
      </c>
      <c r="T715" s="20" t="s">
        <v>63</v>
      </c>
      <c r="U715" s="21" t="s">
        <v>1202</v>
      </c>
      <c r="V715" s="23">
        <v>20</v>
      </c>
      <c r="W715" s="23">
        <v>2</v>
      </c>
      <c r="X715" s="24"/>
    </row>
    <row r="716" spans="1:24" s="1" customFormat="1" ht="108" customHeight="1" x14ac:dyDescent="0.3">
      <c r="A716" s="11" t="s">
        <v>607</v>
      </c>
      <c r="B716" s="11" t="s">
        <v>1234</v>
      </c>
      <c r="C716" s="12" t="s">
        <v>1242</v>
      </c>
      <c r="D716" s="13"/>
      <c r="E716" s="67" t="str">
        <f>HYPERLINK("https://www.google.ru/search?q=231144U30&amp;newwindow=1&amp;tbm=isch","Еще фото")</f>
        <v>Еще фото</v>
      </c>
      <c r="F716" s="55" t="s">
        <v>688</v>
      </c>
      <c r="G716" s="11" t="s">
        <v>1243</v>
      </c>
      <c r="H716" s="11" t="s">
        <v>669</v>
      </c>
      <c r="I716" s="15" t="s">
        <v>1086</v>
      </c>
      <c r="J716" s="15" t="s">
        <v>360</v>
      </c>
      <c r="K716" s="16" t="s">
        <v>71</v>
      </c>
      <c r="L716" s="15" t="s">
        <v>1244</v>
      </c>
      <c r="M716" s="15"/>
      <c r="N716" s="15" t="s">
        <v>225</v>
      </c>
      <c r="O716" s="15"/>
      <c r="P716" s="16" t="s">
        <v>1099</v>
      </c>
      <c r="Q716" s="17">
        <v>19999</v>
      </c>
      <c r="R716" s="18">
        <v>30</v>
      </c>
      <c r="S716" s="19">
        <v>16099.194999999998</v>
      </c>
      <c r="T716" s="20" t="s">
        <v>99</v>
      </c>
      <c r="U716" s="21" t="s">
        <v>1193</v>
      </c>
      <c r="V716" s="23">
        <v>30</v>
      </c>
      <c r="W716" s="23">
        <v>5</v>
      </c>
      <c r="X716" s="24"/>
    </row>
    <row r="717" spans="1:24" s="1" customFormat="1" ht="108" customHeight="1" x14ac:dyDescent="0.3">
      <c r="A717" s="11" t="s">
        <v>607</v>
      </c>
      <c r="B717" s="11" t="s">
        <v>1245</v>
      </c>
      <c r="C717" s="12" t="s">
        <v>1246</v>
      </c>
      <c r="D717" s="13"/>
      <c r="E717" s="67" t="str">
        <f>HYPERLINK("https://www.google.ru/search?q=231145U20&amp;newwindow=1&amp;tbm=isch","Еще фото")</f>
        <v>Еще фото</v>
      </c>
      <c r="F717" s="14"/>
      <c r="G717" s="11" t="s">
        <v>1085</v>
      </c>
      <c r="H717" s="11" t="s">
        <v>669</v>
      </c>
      <c r="I717" s="15" t="s">
        <v>1086</v>
      </c>
      <c r="J717" s="15" t="s">
        <v>360</v>
      </c>
      <c r="K717" s="16" t="s">
        <v>71</v>
      </c>
      <c r="L717" s="15" t="s">
        <v>1247</v>
      </c>
      <c r="M717" s="15"/>
      <c r="N717" s="15" t="s">
        <v>31</v>
      </c>
      <c r="O717" s="15"/>
      <c r="P717" s="16" t="s">
        <v>1099</v>
      </c>
      <c r="Q717" s="17">
        <v>29999</v>
      </c>
      <c r="R717" s="18">
        <v>30</v>
      </c>
      <c r="S717" s="19">
        <v>24149.194999999996</v>
      </c>
      <c r="T717" s="20" t="s">
        <v>63</v>
      </c>
      <c r="U717" s="21" t="s">
        <v>1202</v>
      </c>
      <c r="V717" s="23">
        <v>20</v>
      </c>
      <c r="W717" s="23">
        <v>2</v>
      </c>
      <c r="X717" s="24"/>
    </row>
    <row r="718" spans="1:24" s="1" customFormat="1" ht="108" customHeight="1" x14ac:dyDescent="0.3">
      <c r="A718" s="11" t="s">
        <v>607</v>
      </c>
      <c r="B718" s="11" t="s">
        <v>1248</v>
      </c>
      <c r="C718" s="12" t="s">
        <v>1249</v>
      </c>
      <c r="D718" s="13"/>
      <c r="E718" s="67" t="str">
        <f>HYPERLINK("https://www.google.ru/search?q=231165SC00&amp;newwindow=1&amp;tbm=isch","Еще фото")</f>
        <v>Еще фото</v>
      </c>
      <c r="F718" s="14"/>
      <c r="G718" s="11" t="s">
        <v>1102</v>
      </c>
      <c r="H718" s="11" t="s">
        <v>669</v>
      </c>
      <c r="I718" s="15" t="s">
        <v>1086</v>
      </c>
      <c r="J718" s="15" t="s">
        <v>360</v>
      </c>
      <c r="K718" s="16" t="s">
        <v>59</v>
      </c>
      <c r="L718" s="15" t="s">
        <v>1250</v>
      </c>
      <c r="M718" s="15"/>
      <c r="N718" s="15" t="s">
        <v>31</v>
      </c>
      <c r="O718" s="15"/>
      <c r="P718" s="16" t="s">
        <v>1108</v>
      </c>
      <c r="Q718" s="17">
        <v>16499</v>
      </c>
      <c r="R718" s="18">
        <v>30</v>
      </c>
      <c r="S718" s="19">
        <v>13281.694999999998</v>
      </c>
      <c r="T718" s="20" t="s">
        <v>99</v>
      </c>
      <c r="U718" s="21" t="s">
        <v>1113</v>
      </c>
      <c r="V718" s="61">
        <v>0</v>
      </c>
      <c r="W718" s="23">
        <v>2</v>
      </c>
      <c r="X718" s="24"/>
    </row>
    <row r="719" spans="1:24" s="1" customFormat="1" ht="108" customHeight="1" x14ac:dyDescent="0.3">
      <c r="A719" s="11" t="s">
        <v>607</v>
      </c>
      <c r="B719" s="11" t="s">
        <v>1251</v>
      </c>
      <c r="C719" s="12" t="s">
        <v>1252</v>
      </c>
      <c r="D719" s="13"/>
      <c r="E719" s="67" t="str">
        <f>HYPERLINK("https://www.google.ru/search?q=231175SC07&amp;newwindow=1&amp;tbm=isch","Еще фото")</f>
        <v>Еще фото</v>
      </c>
      <c r="F719" s="55" t="s">
        <v>688</v>
      </c>
      <c r="G719" s="11" t="s">
        <v>1102</v>
      </c>
      <c r="H719" s="11" t="s">
        <v>669</v>
      </c>
      <c r="I719" s="15" t="s">
        <v>1086</v>
      </c>
      <c r="J719" s="15" t="s">
        <v>360</v>
      </c>
      <c r="K719" s="16" t="s">
        <v>59</v>
      </c>
      <c r="L719" s="15" t="s">
        <v>1253</v>
      </c>
      <c r="M719" s="15"/>
      <c r="N719" s="15" t="s">
        <v>31</v>
      </c>
      <c r="O719" s="15"/>
      <c r="P719" s="16" t="s">
        <v>1099</v>
      </c>
      <c r="Q719" s="17">
        <v>16499</v>
      </c>
      <c r="R719" s="18">
        <v>30</v>
      </c>
      <c r="S719" s="19">
        <v>13281.694999999998</v>
      </c>
      <c r="T719" s="20" t="s">
        <v>99</v>
      </c>
      <c r="U719" s="21" t="s">
        <v>1149</v>
      </c>
      <c r="V719" s="61">
        <v>7</v>
      </c>
      <c r="W719" s="23">
        <v>6</v>
      </c>
      <c r="X719" s="24"/>
    </row>
    <row r="720" spans="1:24" s="1" customFormat="1" ht="108" customHeight="1" x14ac:dyDescent="0.3">
      <c r="A720" s="11" t="s">
        <v>607</v>
      </c>
      <c r="B720" s="11" t="s">
        <v>1254</v>
      </c>
      <c r="C720" s="12" t="s">
        <v>1255</v>
      </c>
      <c r="D720" s="13"/>
      <c r="E720" s="67" t="str">
        <f>HYPERLINK("https://www.google.ru/search?q=231205SC00&amp;newwindow=1&amp;tbm=isch","Еще фото")</f>
        <v>Еще фото</v>
      </c>
      <c r="F720" s="55" t="s">
        <v>688</v>
      </c>
      <c r="G720" s="11" t="s">
        <v>1102</v>
      </c>
      <c r="H720" s="11" t="s">
        <v>669</v>
      </c>
      <c r="I720" s="15" t="s">
        <v>1086</v>
      </c>
      <c r="J720" s="15" t="s">
        <v>360</v>
      </c>
      <c r="K720" s="16" t="s">
        <v>59</v>
      </c>
      <c r="L720" s="15" t="s">
        <v>1250</v>
      </c>
      <c r="M720" s="15"/>
      <c r="N720" s="15" t="s">
        <v>38</v>
      </c>
      <c r="O720" s="15"/>
      <c r="P720" s="16" t="s">
        <v>1108</v>
      </c>
      <c r="Q720" s="17">
        <v>9199</v>
      </c>
      <c r="R720" s="18">
        <v>30</v>
      </c>
      <c r="S720" s="19">
        <v>7405.1949999999997</v>
      </c>
      <c r="T720" s="20" t="s">
        <v>99</v>
      </c>
      <c r="U720" s="21" t="s">
        <v>1113</v>
      </c>
      <c r="V720" s="61">
        <v>0</v>
      </c>
      <c r="W720" s="23">
        <v>4</v>
      </c>
      <c r="X720" s="24"/>
    </row>
    <row r="721" spans="1:24" s="1" customFormat="1" ht="108" customHeight="1" x14ac:dyDescent="0.3">
      <c r="A721" s="11" t="s">
        <v>607</v>
      </c>
      <c r="B721" s="11" t="s">
        <v>1256</v>
      </c>
      <c r="C721" s="12" t="s">
        <v>1257</v>
      </c>
      <c r="D721" s="13"/>
      <c r="E721" s="67" t="str">
        <f>HYPERLINK("https://www.google.ru/search?q=231215SC07&amp;newwindow=1&amp;tbm=isch","Еще фото")</f>
        <v>Еще фото</v>
      </c>
      <c r="F721" s="14"/>
      <c r="G721" s="11" t="s">
        <v>1102</v>
      </c>
      <c r="H721" s="11" t="s">
        <v>669</v>
      </c>
      <c r="I721" s="15" t="s">
        <v>1086</v>
      </c>
      <c r="J721" s="15" t="s">
        <v>360</v>
      </c>
      <c r="K721" s="16" t="s">
        <v>59</v>
      </c>
      <c r="L721" s="15" t="s">
        <v>1258</v>
      </c>
      <c r="M721" s="15"/>
      <c r="N721" s="15" t="s">
        <v>38</v>
      </c>
      <c r="O721" s="15"/>
      <c r="P721" s="16" t="s">
        <v>1108</v>
      </c>
      <c r="Q721" s="17">
        <v>8499</v>
      </c>
      <c r="R721" s="18">
        <v>30</v>
      </c>
      <c r="S721" s="19">
        <v>6841.6949999999997</v>
      </c>
      <c r="T721" s="20" t="s">
        <v>99</v>
      </c>
      <c r="U721" s="21" t="s">
        <v>1149</v>
      </c>
      <c r="V721" s="61">
        <v>7</v>
      </c>
      <c r="W721" s="23">
        <v>10</v>
      </c>
      <c r="X721" s="24"/>
    </row>
    <row r="722" spans="1:24" s="1" customFormat="1" ht="108" customHeight="1" x14ac:dyDescent="0.3">
      <c r="A722" s="11" t="s">
        <v>607</v>
      </c>
      <c r="B722" s="11" t="s">
        <v>1259</v>
      </c>
      <c r="C722" s="12" t="s">
        <v>1260</v>
      </c>
      <c r="D722" s="13"/>
      <c r="E722" s="67" t="str">
        <f>HYPERLINK("https://www.google.ru/search?q=231225SC06&amp;newwindow=1&amp;tbm=isch","Еще фото")</f>
        <v>Еще фото</v>
      </c>
      <c r="F722" s="55" t="s">
        <v>688</v>
      </c>
      <c r="G722" s="11" t="s">
        <v>1102</v>
      </c>
      <c r="H722" s="11" t="s">
        <v>669</v>
      </c>
      <c r="I722" s="15" t="s">
        <v>1086</v>
      </c>
      <c r="J722" s="15" t="s">
        <v>360</v>
      </c>
      <c r="K722" s="16" t="s">
        <v>59</v>
      </c>
      <c r="L722" s="15" t="s">
        <v>1261</v>
      </c>
      <c r="M722" s="15"/>
      <c r="N722" s="15" t="s">
        <v>38</v>
      </c>
      <c r="O722" s="15"/>
      <c r="P722" s="16" t="s">
        <v>1108</v>
      </c>
      <c r="Q722" s="17">
        <v>7799</v>
      </c>
      <c r="R722" s="18">
        <v>30</v>
      </c>
      <c r="S722" s="19">
        <v>6278.1949999999997</v>
      </c>
      <c r="T722" s="20" t="s">
        <v>99</v>
      </c>
      <c r="U722" s="21" t="s">
        <v>1104</v>
      </c>
      <c r="V722" s="61">
        <v>6</v>
      </c>
      <c r="W722" s="23">
        <v>26</v>
      </c>
      <c r="X722" s="24"/>
    </row>
    <row r="723" spans="1:24" s="1" customFormat="1" ht="108" customHeight="1" x14ac:dyDescent="0.3">
      <c r="A723" s="11" t="s">
        <v>607</v>
      </c>
      <c r="B723" s="11" t="s">
        <v>1262</v>
      </c>
      <c r="C723" s="12" t="s">
        <v>1263</v>
      </c>
      <c r="D723" s="13"/>
      <c r="E723" s="67" t="str">
        <f>HYPERLINK("https://www.google.ru/search?q=231244S30&amp;newwindow=1&amp;tbm=isch","Еще фото")</f>
        <v>Еще фото</v>
      </c>
      <c r="F723" s="14"/>
      <c r="G723" s="11" t="s">
        <v>1264</v>
      </c>
      <c r="H723" s="11" t="s">
        <v>669</v>
      </c>
      <c r="I723" s="15" t="s">
        <v>1086</v>
      </c>
      <c r="J723" s="15" t="s">
        <v>360</v>
      </c>
      <c r="K723" s="16" t="s">
        <v>71</v>
      </c>
      <c r="L723" s="15" t="s">
        <v>1265</v>
      </c>
      <c r="M723" s="15"/>
      <c r="N723" s="15" t="s">
        <v>38</v>
      </c>
      <c r="O723" s="15"/>
      <c r="P723" s="16" t="s">
        <v>1108</v>
      </c>
      <c r="Q723" s="17">
        <v>19199</v>
      </c>
      <c r="R723" s="18">
        <v>30</v>
      </c>
      <c r="S723" s="19">
        <v>15455.194999999998</v>
      </c>
      <c r="T723" s="20" t="s">
        <v>99</v>
      </c>
      <c r="U723" s="21" t="s">
        <v>1266</v>
      </c>
      <c r="V723" s="23">
        <v>30</v>
      </c>
      <c r="W723" s="23">
        <v>1</v>
      </c>
      <c r="X723" s="24"/>
    </row>
    <row r="724" spans="1:24" s="1" customFormat="1" ht="108" customHeight="1" x14ac:dyDescent="0.3">
      <c r="A724" s="11" t="s">
        <v>607</v>
      </c>
      <c r="B724" s="11" t="s">
        <v>1267</v>
      </c>
      <c r="C724" s="12" t="s">
        <v>1268</v>
      </c>
      <c r="D724" s="13"/>
      <c r="E724" s="67" t="str">
        <f>HYPERLINK("https://www.google.ru/search?q=231254S20&amp;newwindow=1&amp;tbm=isch","Еще фото")</f>
        <v>Еще фото</v>
      </c>
      <c r="F724" s="14"/>
      <c r="G724" s="11" t="s">
        <v>1269</v>
      </c>
      <c r="H724" s="11" t="s">
        <v>669</v>
      </c>
      <c r="I724" s="15" t="s">
        <v>1086</v>
      </c>
      <c r="J724" s="15" t="s">
        <v>360</v>
      </c>
      <c r="K724" s="16" t="s">
        <v>71</v>
      </c>
      <c r="L724" s="15" t="s">
        <v>1270</v>
      </c>
      <c r="M724" s="15"/>
      <c r="N724" s="15" t="s">
        <v>1271</v>
      </c>
      <c r="O724" s="15"/>
      <c r="P724" s="16" t="s">
        <v>1108</v>
      </c>
      <c r="Q724" s="17">
        <v>13499</v>
      </c>
      <c r="R724" s="18">
        <v>30</v>
      </c>
      <c r="S724" s="19">
        <v>10866.694999999998</v>
      </c>
      <c r="T724" s="20" t="s">
        <v>99</v>
      </c>
      <c r="U724" s="21" t="s">
        <v>1144</v>
      </c>
      <c r="V724" s="23">
        <v>20</v>
      </c>
      <c r="W724" s="23">
        <v>4</v>
      </c>
      <c r="X724" s="24"/>
    </row>
    <row r="725" spans="1:24" s="1" customFormat="1" ht="108" customHeight="1" x14ac:dyDescent="0.3">
      <c r="A725" s="11" t="s">
        <v>607</v>
      </c>
      <c r="B725" s="11" t="s">
        <v>1272</v>
      </c>
      <c r="C725" s="12" t="s">
        <v>1273</v>
      </c>
      <c r="D725" s="13"/>
      <c r="E725" s="67" t="str">
        <f>HYPERLINK("https://www.google.ru/search?q=231264S20&amp;newwindow=1&amp;tbm=isch","Еще фото")</f>
        <v>Еще фото</v>
      </c>
      <c r="F725" s="14"/>
      <c r="G725" s="11" t="s">
        <v>1269</v>
      </c>
      <c r="H725" s="11" t="s">
        <v>669</v>
      </c>
      <c r="I725" s="15" t="s">
        <v>1086</v>
      </c>
      <c r="J725" s="15" t="s">
        <v>360</v>
      </c>
      <c r="K725" s="16" t="s">
        <v>71</v>
      </c>
      <c r="L725" s="15" t="s">
        <v>1274</v>
      </c>
      <c r="M725" s="15"/>
      <c r="N725" s="15" t="s">
        <v>73</v>
      </c>
      <c r="O725" s="15"/>
      <c r="P725" s="16" t="s">
        <v>1108</v>
      </c>
      <c r="Q725" s="17">
        <v>13499</v>
      </c>
      <c r="R725" s="18">
        <v>30</v>
      </c>
      <c r="S725" s="19">
        <v>10866.694999999998</v>
      </c>
      <c r="T725" s="20" t="s">
        <v>99</v>
      </c>
      <c r="U725" s="21" t="s">
        <v>1144</v>
      </c>
      <c r="V725" s="23">
        <v>20</v>
      </c>
      <c r="W725" s="23">
        <v>4</v>
      </c>
      <c r="X725" s="24"/>
    </row>
    <row r="726" spans="1:24" s="1" customFormat="1" ht="108" customHeight="1" x14ac:dyDescent="0.3">
      <c r="A726" s="11" t="s">
        <v>607</v>
      </c>
      <c r="B726" s="11" t="s">
        <v>1275</v>
      </c>
      <c r="C726" s="12" t="s">
        <v>1276</v>
      </c>
      <c r="D726" s="13"/>
      <c r="E726" s="67" t="str">
        <f>HYPERLINK("https://www.google.ru/search?q=231325SC20&amp;newwindow=1&amp;tbm=isch","Еще фото")</f>
        <v>Еще фото</v>
      </c>
      <c r="F726" s="14"/>
      <c r="G726" s="11" t="s">
        <v>1102</v>
      </c>
      <c r="H726" s="11" t="s">
        <v>669</v>
      </c>
      <c r="I726" s="15" t="s">
        <v>1086</v>
      </c>
      <c r="J726" s="15" t="s">
        <v>360</v>
      </c>
      <c r="K726" s="16" t="s">
        <v>71</v>
      </c>
      <c r="L726" s="15" t="s">
        <v>1277</v>
      </c>
      <c r="M726" s="15"/>
      <c r="N726" s="15" t="s">
        <v>31</v>
      </c>
      <c r="O726" s="15"/>
      <c r="P726" s="16" t="s">
        <v>1108</v>
      </c>
      <c r="Q726" s="17">
        <v>9999</v>
      </c>
      <c r="R726" s="18">
        <v>30</v>
      </c>
      <c r="S726" s="19">
        <v>8049.1949999999997</v>
      </c>
      <c r="T726" s="20" t="s">
        <v>63</v>
      </c>
      <c r="U726" s="21" t="s">
        <v>1139</v>
      </c>
      <c r="V726" s="23">
        <v>20</v>
      </c>
      <c r="W726" s="23">
        <v>15</v>
      </c>
      <c r="X726" s="24"/>
    </row>
    <row r="727" spans="1:24" s="1" customFormat="1" ht="108" customHeight="1" x14ac:dyDescent="0.3">
      <c r="A727" s="11" t="s">
        <v>607</v>
      </c>
      <c r="B727" s="11" t="s">
        <v>1275</v>
      </c>
      <c r="C727" s="12" t="s">
        <v>1278</v>
      </c>
      <c r="D727" s="13"/>
      <c r="E727" s="67" t="str">
        <f>HYPERLINK("https://www.google.ru/search?q=231325SC30&amp;newwindow=1&amp;tbm=isch","Еще фото")</f>
        <v>Еще фото</v>
      </c>
      <c r="F727" s="55" t="s">
        <v>688</v>
      </c>
      <c r="G727" s="11" t="s">
        <v>1102</v>
      </c>
      <c r="H727" s="11" t="s">
        <v>669</v>
      </c>
      <c r="I727" s="15" t="s">
        <v>1086</v>
      </c>
      <c r="J727" s="15" t="s">
        <v>360</v>
      </c>
      <c r="K727" s="16" t="s">
        <v>71</v>
      </c>
      <c r="L727" s="15" t="s">
        <v>1277</v>
      </c>
      <c r="M727" s="15"/>
      <c r="N727" s="15" t="s">
        <v>31</v>
      </c>
      <c r="O727" s="15"/>
      <c r="P727" s="16" t="s">
        <v>1108</v>
      </c>
      <c r="Q727" s="17">
        <v>9999</v>
      </c>
      <c r="R727" s="18">
        <v>30</v>
      </c>
      <c r="S727" s="19">
        <v>8049.1949999999997</v>
      </c>
      <c r="T727" s="20" t="s">
        <v>63</v>
      </c>
      <c r="U727" s="21" t="s">
        <v>1094</v>
      </c>
      <c r="V727" s="23">
        <v>30</v>
      </c>
      <c r="W727" s="23">
        <v>23</v>
      </c>
      <c r="X727" s="24"/>
    </row>
    <row r="728" spans="1:24" s="1" customFormat="1" ht="108" customHeight="1" x14ac:dyDescent="0.3">
      <c r="A728" s="11" t="s">
        <v>607</v>
      </c>
      <c r="B728" s="11" t="s">
        <v>1279</v>
      </c>
      <c r="C728" s="12" t="s">
        <v>1280</v>
      </c>
      <c r="D728" s="13"/>
      <c r="E728" s="67" t="str">
        <f>HYPERLINK("https://www.google.ru/search?q=231345SC20&amp;newwindow=1&amp;tbm=isch","Еще фото")</f>
        <v>Еще фото</v>
      </c>
      <c r="F728" s="14"/>
      <c r="G728" s="11" t="s">
        <v>1102</v>
      </c>
      <c r="H728" s="11" t="s">
        <v>669</v>
      </c>
      <c r="I728" s="15" t="s">
        <v>1086</v>
      </c>
      <c r="J728" s="15" t="s">
        <v>360</v>
      </c>
      <c r="K728" s="16" t="s">
        <v>71</v>
      </c>
      <c r="L728" s="15" t="s">
        <v>1159</v>
      </c>
      <c r="M728" s="15"/>
      <c r="N728" s="15" t="s">
        <v>55</v>
      </c>
      <c r="O728" s="15"/>
      <c r="P728" s="16" t="s">
        <v>1108</v>
      </c>
      <c r="Q728" s="17">
        <v>9599</v>
      </c>
      <c r="R728" s="18">
        <v>30</v>
      </c>
      <c r="S728" s="19">
        <v>7727.1949999999997</v>
      </c>
      <c r="T728" s="20" t="s">
        <v>63</v>
      </c>
      <c r="U728" s="21" t="s">
        <v>1139</v>
      </c>
      <c r="V728" s="23">
        <v>20</v>
      </c>
      <c r="W728" s="23">
        <v>9</v>
      </c>
      <c r="X728" s="24"/>
    </row>
    <row r="729" spans="1:24" s="1" customFormat="1" ht="108" customHeight="1" x14ac:dyDescent="0.3">
      <c r="A729" s="11" t="s">
        <v>607</v>
      </c>
      <c r="B729" s="11" t="s">
        <v>1279</v>
      </c>
      <c r="C729" s="12" t="s">
        <v>1281</v>
      </c>
      <c r="D729" s="13"/>
      <c r="E729" s="67" t="str">
        <f>HYPERLINK("https://www.google.ru/search?q=231345SC30&amp;newwindow=1&amp;tbm=isch","Еще фото")</f>
        <v>Еще фото</v>
      </c>
      <c r="F729" s="14"/>
      <c r="G729" s="11" t="s">
        <v>1102</v>
      </c>
      <c r="H729" s="11" t="s">
        <v>669</v>
      </c>
      <c r="I729" s="15" t="s">
        <v>1086</v>
      </c>
      <c r="J729" s="15" t="s">
        <v>360</v>
      </c>
      <c r="K729" s="16" t="s">
        <v>71</v>
      </c>
      <c r="L729" s="15" t="s">
        <v>1159</v>
      </c>
      <c r="M729" s="15"/>
      <c r="N729" s="15" t="s">
        <v>225</v>
      </c>
      <c r="O729" s="15"/>
      <c r="P729" s="16" t="s">
        <v>1108</v>
      </c>
      <c r="Q729" s="17">
        <v>8999</v>
      </c>
      <c r="R729" s="18">
        <v>30</v>
      </c>
      <c r="S729" s="19">
        <v>7244.1949999999997</v>
      </c>
      <c r="T729" s="20" t="s">
        <v>63</v>
      </c>
      <c r="U729" s="21" t="s">
        <v>1094</v>
      </c>
      <c r="V729" s="23">
        <v>30</v>
      </c>
      <c r="W729" s="23">
        <v>6</v>
      </c>
      <c r="X729" s="24"/>
    </row>
    <row r="730" spans="1:24" s="1" customFormat="1" ht="108" customHeight="1" x14ac:dyDescent="0.3">
      <c r="A730" s="11" t="s">
        <v>607</v>
      </c>
      <c r="B730" s="11" t="s">
        <v>1282</v>
      </c>
      <c r="C730" s="12" t="s">
        <v>1283</v>
      </c>
      <c r="D730" s="13"/>
      <c r="E730" s="67" t="str">
        <f>HYPERLINK("https://www.google.ru/search?q=231404SC07&amp;newwindow=1&amp;tbm=isch","Еще фото")</f>
        <v>Еще фото</v>
      </c>
      <c r="F730" s="14"/>
      <c r="G730" s="11" t="s">
        <v>1085</v>
      </c>
      <c r="H730" s="11" t="s">
        <v>669</v>
      </c>
      <c r="I730" s="15" t="s">
        <v>1086</v>
      </c>
      <c r="J730" s="15" t="s">
        <v>360</v>
      </c>
      <c r="K730" s="16" t="s">
        <v>59</v>
      </c>
      <c r="L730" s="15" t="s">
        <v>1284</v>
      </c>
      <c r="M730" s="15"/>
      <c r="N730" s="15" t="s">
        <v>55</v>
      </c>
      <c r="O730" s="15"/>
      <c r="P730" s="16" t="s">
        <v>1134</v>
      </c>
      <c r="Q730" s="17">
        <v>5499</v>
      </c>
      <c r="R730" s="18">
        <v>30</v>
      </c>
      <c r="S730" s="19">
        <v>4426.6949999999997</v>
      </c>
      <c r="T730" s="20" t="s">
        <v>99</v>
      </c>
      <c r="U730" s="21" t="s">
        <v>1149</v>
      </c>
      <c r="V730" s="61">
        <v>7</v>
      </c>
      <c r="W730" s="23">
        <v>3</v>
      </c>
      <c r="X730" s="24"/>
    </row>
    <row r="731" spans="1:24" s="1" customFormat="1" ht="108" customHeight="1" x14ac:dyDescent="0.3">
      <c r="A731" s="11" t="s">
        <v>607</v>
      </c>
      <c r="B731" s="11" t="s">
        <v>1285</v>
      </c>
      <c r="C731" s="12" t="s">
        <v>1286</v>
      </c>
      <c r="D731" s="13"/>
      <c r="E731" s="67" t="str">
        <f>HYPERLINK("https://www.google.ru/search?q=231405SC00&amp;newwindow=1&amp;tbm=isch","Еще фото")</f>
        <v>Еще фото</v>
      </c>
      <c r="F731" s="55" t="s">
        <v>688</v>
      </c>
      <c r="G731" s="11" t="s">
        <v>1102</v>
      </c>
      <c r="H731" s="11" t="s">
        <v>669</v>
      </c>
      <c r="I731" s="15" t="s">
        <v>1086</v>
      </c>
      <c r="J731" s="15" t="s">
        <v>360</v>
      </c>
      <c r="K731" s="16" t="s">
        <v>59</v>
      </c>
      <c r="L731" s="15" t="s">
        <v>1287</v>
      </c>
      <c r="M731" s="15"/>
      <c r="N731" s="15" t="s">
        <v>73</v>
      </c>
      <c r="O731" s="15"/>
      <c r="P731" s="16" t="s">
        <v>1108</v>
      </c>
      <c r="Q731" s="17">
        <v>5499</v>
      </c>
      <c r="R731" s="18">
        <v>30</v>
      </c>
      <c r="S731" s="19">
        <v>4426.6949999999997</v>
      </c>
      <c r="T731" s="20" t="s">
        <v>99</v>
      </c>
      <c r="U731" s="21" t="s">
        <v>1113</v>
      </c>
      <c r="V731" s="61">
        <v>0</v>
      </c>
      <c r="W731" s="23">
        <v>7</v>
      </c>
      <c r="X731" s="24"/>
    </row>
    <row r="732" spans="1:24" s="1" customFormat="1" ht="108" customHeight="1" x14ac:dyDescent="0.3">
      <c r="A732" s="11" t="s">
        <v>607</v>
      </c>
      <c r="B732" s="11" t="s">
        <v>1288</v>
      </c>
      <c r="C732" s="12" t="s">
        <v>1289</v>
      </c>
      <c r="D732" s="13"/>
      <c r="E732" s="67" t="str">
        <f>HYPERLINK("https://www.google.ru/search?q=231414SC07&amp;newwindow=1&amp;tbm=isch","Еще фото")</f>
        <v>Еще фото</v>
      </c>
      <c r="F732" s="14"/>
      <c r="G732" s="11" t="s">
        <v>1102</v>
      </c>
      <c r="H732" s="11" t="s">
        <v>669</v>
      </c>
      <c r="I732" s="15" t="s">
        <v>1086</v>
      </c>
      <c r="J732" s="15" t="s">
        <v>360</v>
      </c>
      <c r="K732" s="16" t="s">
        <v>59</v>
      </c>
      <c r="L732" s="15" t="s">
        <v>1290</v>
      </c>
      <c r="M732" s="15"/>
      <c r="N732" s="15" t="s">
        <v>55</v>
      </c>
      <c r="O732" s="15"/>
      <c r="P732" s="16" t="s">
        <v>1134</v>
      </c>
      <c r="Q732" s="17">
        <v>5499</v>
      </c>
      <c r="R732" s="18">
        <v>30</v>
      </c>
      <c r="S732" s="19">
        <v>4426.6949999999997</v>
      </c>
      <c r="T732" s="20" t="s">
        <v>99</v>
      </c>
      <c r="U732" s="21" t="s">
        <v>1149</v>
      </c>
      <c r="V732" s="61">
        <v>7</v>
      </c>
      <c r="W732" s="23">
        <v>14</v>
      </c>
      <c r="X732" s="24"/>
    </row>
    <row r="733" spans="1:24" s="1" customFormat="1" ht="108" customHeight="1" x14ac:dyDescent="0.3">
      <c r="A733" s="11" t="s">
        <v>607</v>
      </c>
      <c r="B733" s="11" t="s">
        <v>1291</v>
      </c>
      <c r="C733" s="12" t="s">
        <v>1292</v>
      </c>
      <c r="D733" s="13"/>
      <c r="E733" s="67" t="str">
        <f>HYPERLINK("https://www.google.ru/search?q=231415SC07&amp;newwindow=1&amp;tbm=isch","Еще фото")</f>
        <v>Еще фото</v>
      </c>
      <c r="F733" s="55" t="s">
        <v>688</v>
      </c>
      <c r="G733" s="11" t="s">
        <v>1102</v>
      </c>
      <c r="H733" s="11" t="s">
        <v>669</v>
      </c>
      <c r="I733" s="15" t="s">
        <v>1086</v>
      </c>
      <c r="J733" s="15" t="s">
        <v>360</v>
      </c>
      <c r="K733" s="16" t="s">
        <v>59</v>
      </c>
      <c r="L733" s="15" t="s">
        <v>1293</v>
      </c>
      <c r="M733" s="15"/>
      <c r="N733" s="15" t="s">
        <v>73</v>
      </c>
      <c r="O733" s="15"/>
      <c r="P733" s="16" t="s">
        <v>1134</v>
      </c>
      <c r="Q733" s="17">
        <v>5499</v>
      </c>
      <c r="R733" s="18">
        <v>30</v>
      </c>
      <c r="S733" s="19">
        <v>4426.6949999999997</v>
      </c>
      <c r="T733" s="20" t="s">
        <v>99</v>
      </c>
      <c r="U733" s="21" t="s">
        <v>1149</v>
      </c>
      <c r="V733" s="61">
        <v>7</v>
      </c>
      <c r="W733" s="23">
        <v>11</v>
      </c>
      <c r="X733" s="24"/>
    </row>
    <row r="734" spans="1:24" s="1" customFormat="1" ht="108" customHeight="1" x14ac:dyDescent="0.3">
      <c r="A734" s="11" t="s">
        <v>607</v>
      </c>
      <c r="B734" s="11" t="s">
        <v>1294</v>
      </c>
      <c r="C734" s="12" t="s">
        <v>1295</v>
      </c>
      <c r="D734" s="13"/>
      <c r="E734" s="67" t="str">
        <f>HYPERLINK("https://www.google.ru/search?q=231425SC06&amp;newwindow=1&amp;tbm=isch","Еще фото")</f>
        <v>Еще фото</v>
      </c>
      <c r="F734" s="55" t="s">
        <v>688</v>
      </c>
      <c r="G734" s="11" t="s">
        <v>1102</v>
      </c>
      <c r="H734" s="11" t="s">
        <v>669</v>
      </c>
      <c r="I734" s="15" t="s">
        <v>1086</v>
      </c>
      <c r="J734" s="15" t="s">
        <v>360</v>
      </c>
      <c r="K734" s="16" t="s">
        <v>59</v>
      </c>
      <c r="L734" s="15" t="s">
        <v>1296</v>
      </c>
      <c r="M734" s="15"/>
      <c r="N734" s="15" t="s">
        <v>73</v>
      </c>
      <c r="O734" s="15"/>
      <c r="P734" s="16" t="s">
        <v>1148</v>
      </c>
      <c r="Q734" s="17">
        <v>5499</v>
      </c>
      <c r="R734" s="18">
        <v>30</v>
      </c>
      <c r="S734" s="19">
        <v>4426.6949999999997</v>
      </c>
      <c r="T734" s="20" t="s">
        <v>99</v>
      </c>
      <c r="U734" s="21" t="s">
        <v>1104</v>
      </c>
      <c r="V734" s="61">
        <v>6</v>
      </c>
      <c r="W734" s="23">
        <v>11</v>
      </c>
      <c r="X734" s="24"/>
    </row>
    <row r="735" spans="1:24" s="1" customFormat="1" ht="108" customHeight="1" x14ac:dyDescent="0.3">
      <c r="A735" s="11" t="s">
        <v>607</v>
      </c>
      <c r="B735" s="11" t="s">
        <v>1297</v>
      </c>
      <c r="C735" s="12" t="s">
        <v>1298</v>
      </c>
      <c r="D735" s="13"/>
      <c r="E735" s="67" t="str">
        <f>HYPERLINK("https://www.google.ru/search?q=231625S30&amp;newwindow=1&amp;tbm=isch","Еще фото")</f>
        <v>Еще фото</v>
      </c>
      <c r="F735" s="14"/>
      <c r="G735" s="11" t="s">
        <v>1085</v>
      </c>
      <c r="H735" s="11" t="s">
        <v>669</v>
      </c>
      <c r="I735" s="15" t="s">
        <v>1086</v>
      </c>
      <c r="J735" s="15" t="s">
        <v>360</v>
      </c>
      <c r="K735" s="16" t="s">
        <v>71</v>
      </c>
      <c r="L735" s="15" t="s">
        <v>1299</v>
      </c>
      <c r="M735" s="15"/>
      <c r="N735" s="15" t="s">
        <v>31</v>
      </c>
      <c r="O735" s="15"/>
      <c r="P735" s="16" t="s">
        <v>1099</v>
      </c>
      <c r="Q735" s="17">
        <v>32999</v>
      </c>
      <c r="R735" s="18">
        <v>30</v>
      </c>
      <c r="S735" s="19">
        <v>26564.194999999996</v>
      </c>
      <c r="T735" s="20" t="s">
        <v>99</v>
      </c>
      <c r="U735" s="21" t="s">
        <v>1266</v>
      </c>
      <c r="V735" s="23">
        <v>30</v>
      </c>
      <c r="W735" s="23">
        <v>6</v>
      </c>
      <c r="X735" s="24"/>
    </row>
    <row r="736" spans="1:24" s="1" customFormat="1" ht="108" customHeight="1" x14ac:dyDescent="0.3">
      <c r="A736" s="11" t="s">
        <v>607</v>
      </c>
      <c r="B736" s="11" t="s">
        <v>1300</v>
      </c>
      <c r="C736" s="12" t="s">
        <v>1301</v>
      </c>
      <c r="D736" s="13"/>
      <c r="E736" s="67" t="str">
        <f>HYPERLINK("https://www.google.ru/search?q=231655S20&amp;newwindow=1&amp;tbm=isch","Еще фото")</f>
        <v>Еще фото</v>
      </c>
      <c r="F736" s="14"/>
      <c r="G736" s="11" t="s">
        <v>1085</v>
      </c>
      <c r="H736" s="11" t="s">
        <v>669</v>
      </c>
      <c r="I736" s="15" t="s">
        <v>1086</v>
      </c>
      <c r="J736" s="15" t="s">
        <v>360</v>
      </c>
      <c r="K736" s="16" t="s">
        <v>71</v>
      </c>
      <c r="L736" s="15" t="s">
        <v>1302</v>
      </c>
      <c r="M736" s="15"/>
      <c r="N736" s="15" t="s">
        <v>31</v>
      </c>
      <c r="O736" s="15"/>
      <c r="P736" s="16" t="s">
        <v>1099</v>
      </c>
      <c r="Q736" s="17">
        <v>31499</v>
      </c>
      <c r="R736" s="18">
        <v>30</v>
      </c>
      <c r="S736" s="19">
        <v>25356.694999999996</v>
      </c>
      <c r="T736" s="20" t="s">
        <v>99</v>
      </c>
      <c r="U736" s="21" t="s">
        <v>1144</v>
      </c>
      <c r="V736" s="23">
        <v>20</v>
      </c>
      <c r="W736" s="23">
        <v>3</v>
      </c>
      <c r="X736" s="24"/>
    </row>
    <row r="737" spans="1:24" s="1" customFormat="1" ht="108" customHeight="1" x14ac:dyDescent="0.3">
      <c r="A737" s="11" t="s">
        <v>607</v>
      </c>
      <c r="B737" s="11" t="s">
        <v>1167</v>
      </c>
      <c r="C737" s="12" t="s">
        <v>1303</v>
      </c>
      <c r="D737" s="13"/>
      <c r="E737" s="67" t="str">
        <f>HYPERLINK("https://www.google.ru/search?q=232115S10&amp;newwindow=1&amp;tbm=isch","Еще фото")</f>
        <v>Еще фото</v>
      </c>
      <c r="F737" s="14"/>
      <c r="G737" s="11" t="s">
        <v>1236</v>
      </c>
      <c r="H737" s="11" t="s">
        <v>669</v>
      </c>
      <c r="I737" s="15" t="s">
        <v>1086</v>
      </c>
      <c r="J737" s="15" t="s">
        <v>360</v>
      </c>
      <c r="K737" s="16" t="s">
        <v>71</v>
      </c>
      <c r="L737" s="15" t="s">
        <v>1169</v>
      </c>
      <c r="M737" s="15"/>
      <c r="N737" s="15" t="s">
        <v>55</v>
      </c>
      <c r="O737" s="15"/>
      <c r="P737" s="16" t="s">
        <v>1099</v>
      </c>
      <c r="Q737" s="17">
        <v>16699</v>
      </c>
      <c r="R737" s="18">
        <v>30</v>
      </c>
      <c r="S737" s="19">
        <v>13442.694999999998</v>
      </c>
      <c r="T737" s="20" t="s">
        <v>99</v>
      </c>
      <c r="U737" s="21" t="s">
        <v>1304</v>
      </c>
      <c r="V737" s="23">
        <v>10</v>
      </c>
      <c r="W737" s="23">
        <v>2</v>
      </c>
      <c r="X737" s="24"/>
    </row>
    <row r="738" spans="1:24" s="1" customFormat="1" ht="108" customHeight="1" x14ac:dyDescent="0.3">
      <c r="A738" s="11" t="s">
        <v>607</v>
      </c>
      <c r="B738" s="11" t="s">
        <v>1305</v>
      </c>
      <c r="C738" s="12" t="s">
        <v>1306</v>
      </c>
      <c r="D738" s="13"/>
      <c r="E738" s="67" t="str">
        <f>HYPERLINK("https://www.google.ru/search?q=232205SC05&amp;newwindow=1&amp;tbm=isch","Еще фото")</f>
        <v>Еще фото</v>
      </c>
      <c r="F738" s="14"/>
      <c r="G738" s="11" t="s">
        <v>1102</v>
      </c>
      <c r="H738" s="11" t="s">
        <v>669</v>
      </c>
      <c r="I738" s="15" t="s">
        <v>1086</v>
      </c>
      <c r="J738" s="15" t="s">
        <v>360</v>
      </c>
      <c r="K738" s="16" t="s">
        <v>59</v>
      </c>
      <c r="L738" s="15" t="s">
        <v>1307</v>
      </c>
      <c r="M738" s="15"/>
      <c r="N738" s="15" t="s">
        <v>31</v>
      </c>
      <c r="O738" s="15"/>
      <c r="P738" s="16" t="s">
        <v>1099</v>
      </c>
      <c r="Q738" s="17">
        <v>5099</v>
      </c>
      <c r="R738" s="18">
        <v>30</v>
      </c>
      <c r="S738" s="19">
        <v>4104.6949999999997</v>
      </c>
      <c r="T738" s="20" t="s">
        <v>99</v>
      </c>
      <c r="U738" s="21" t="s">
        <v>1088</v>
      </c>
      <c r="V738" s="61">
        <v>5</v>
      </c>
      <c r="W738" s="23">
        <v>53</v>
      </c>
      <c r="X738" s="24"/>
    </row>
    <row r="739" spans="1:24" s="1" customFormat="1" ht="108" customHeight="1" x14ac:dyDescent="0.3">
      <c r="A739" s="11" t="s">
        <v>607</v>
      </c>
      <c r="B739" s="11" t="s">
        <v>1308</v>
      </c>
      <c r="C739" s="12" t="s">
        <v>1309</v>
      </c>
      <c r="D739" s="13"/>
      <c r="E739" s="67" t="str">
        <f>HYPERLINK("https://www.google.ru/search?q=232215SC05&amp;newwindow=1&amp;tbm=isch","Еще фото")</f>
        <v>Еще фото</v>
      </c>
      <c r="F739" s="14"/>
      <c r="G739" s="11" t="s">
        <v>1102</v>
      </c>
      <c r="H739" s="11" t="s">
        <v>669</v>
      </c>
      <c r="I739" s="15" t="s">
        <v>1086</v>
      </c>
      <c r="J739" s="15" t="s">
        <v>360</v>
      </c>
      <c r="K739" s="16" t="s">
        <v>59</v>
      </c>
      <c r="L739" s="15" t="s">
        <v>1310</v>
      </c>
      <c r="M739" s="15"/>
      <c r="N739" s="15" t="s">
        <v>31</v>
      </c>
      <c r="O739" s="15"/>
      <c r="P739" s="16" t="s">
        <v>1099</v>
      </c>
      <c r="Q739" s="17">
        <v>5099</v>
      </c>
      <c r="R739" s="18">
        <v>30</v>
      </c>
      <c r="S739" s="19">
        <v>4104.6949999999997</v>
      </c>
      <c r="T739" s="20" t="s">
        <v>99</v>
      </c>
      <c r="U739" s="21" t="s">
        <v>1088</v>
      </c>
      <c r="V739" s="61">
        <v>5</v>
      </c>
      <c r="W739" s="23">
        <v>10</v>
      </c>
      <c r="X739" s="24"/>
    </row>
    <row r="740" spans="1:24" s="1" customFormat="1" ht="108" customHeight="1" x14ac:dyDescent="0.3">
      <c r="A740" s="11" t="s">
        <v>607</v>
      </c>
      <c r="B740" s="11" t="s">
        <v>1311</v>
      </c>
      <c r="C740" s="12" t="s">
        <v>1312</v>
      </c>
      <c r="D740" s="13"/>
      <c r="E740" s="67" t="str">
        <f>HYPERLINK("https://www.google.ru/search?q=232225SC05&amp;newwindow=1&amp;tbm=isch","Еще фото")</f>
        <v>Еще фото</v>
      </c>
      <c r="F740" s="14"/>
      <c r="G740" s="11" t="s">
        <v>1102</v>
      </c>
      <c r="H740" s="11" t="s">
        <v>669</v>
      </c>
      <c r="I740" s="15" t="s">
        <v>1086</v>
      </c>
      <c r="J740" s="15" t="s">
        <v>360</v>
      </c>
      <c r="K740" s="16" t="s">
        <v>59</v>
      </c>
      <c r="L740" s="15" t="s">
        <v>1313</v>
      </c>
      <c r="M740" s="15"/>
      <c r="N740" s="15" t="s">
        <v>31</v>
      </c>
      <c r="O740" s="15"/>
      <c r="P740" s="16" t="s">
        <v>1099</v>
      </c>
      <c r="Q740" s="17">
        <v>5099</v>
      </c>
      <c r="R740" s="18">
        <v>30</v>
      </c>
      <c r="S740" s="19">
        <v>4104.6949999999997</v>
      </c>
      <c r="T740" s="20" t="s">
        <v>99</v>
      </c>
      <c r="U740" s="21" t="s">
        <v>1088</v>
      </c>
      <c r="V740" s="61">
        <v>5</v>
      </c>
      <c r="W740" s="23">
        <v>7</v>
      </c>
      <c r="X740" s="24"/>
    </row>
    <row r="741" spans="1:24" s="1" customFormat="1" ht="108" customHeight="1" x14ac:dyDescent="0.3">
      <c r="A741" s="11" t="s">
        <v>607</v>
      </c>
      <c r="B741" s="11" t="s">
        <v>1314</v>
      </c>
      <c r="C741" s="12" t="s">
        <v>1315</v>
      </c>
      <c r="D741" s="13"/>
      <c r="E741" s="67" t="str">
        <f>HYPERLINK("https://www.google.ru/search?q=232305SC05&amp;newwindow=1&amp;tbm=isch","Еще фото")</f>
        <v>Еще фото</v>
      </c>
      <c r="F741" s="14"/>
      <c r="G741" s="11" t="s">
        <v>1102</v>
      </c>
      <c r="H741" s="11" t="s">
        <v>669</v>
      </c>
      <c r="I741" s="15" t="s">
        <v>1086</v>
      </c>
      <c r="J741" s="15" t="s">
        <v>360</v>
      </c>
      <c r="K741" s="16" t="s">
        <v>59</v>
      </c>
      <c r="L741" s="15" t="s">
        <v>1307</v>
      </c>
      <c r="M741" s="15"/>
      <c r="N741" s="15" t="s">
        <v>212</v>
      </c>
      <c r="O741" s="15"/>
      <c r="P741" s="16" t="s">
        <v>1099</v>
      </c>
      <c r="Q741" s="17">
        <v>5099</v>
      </c>
      <c r="R741" s="18">
        <v>30</v>
      </c>
      <c r="S741" s="19">
        <v>4104.6949999999997</v>
      </c>
      <c r="T741" s="20" t="s">
        <v>99</v>
      </c>
      <c r="U741" s="21" t="s">
        <v>1088</v>
      </c>
      <c r="V741" s="61">
        <v>5</v>
      </c>
      <c r="W741" s="23">
        <v>30</v>
      </c>
      <c r="X741" s="24"/>
    </row>
    <row r="742" spans="1:24" s="1" customFormat="1" ht="108" customHeight="1" x14ac:dyDescent="0.3">
      <c r="A742" s="11" t="s">
        <v>607</v>
      </c>
      <c r="B742" s="11" t="s">
        <v>1316</v>
      </c>
      <c r="C742" s="12" t="s">
        <v>1317</v>
      </c>
      <c r="D742" s="13"/>
      <c r="E742" s="67" t="str">
        <f>HYPERLINK("https://www.google.ru/search?q=232315SC05&amp;newwindow=1&amp;tbm=isch","Еще фото")</f>
        <v>Еще фото</v>
      </c>
      <c r="F742" s="14"/>
      <c r="G742" s="11" t="s">
        <v>1102</v>
      </c>
      <c r="H742" s="11" t="s">
        <v>669</v>
      </c>
      <c r="I742" s="15" t="s">
        <v>1086</v>
      </c>
      <c r="J742" s="15" t="s">
        <v>360</v>
      </c>
      <c r="K742" s="16" t="s">
        <v>59</v>
      </c>
      <c r="L742" s="15" t="s">
        <v>1310</v>
      </c>
      <c r="M742" s="15"/>
      <c r="N742" s="15" t="s">
        <v>212</v>
      </c>
      <c r="O742" s="15"/>
      <c r="P742" s="16" t="s">
        <v>1099</v>
      </c>
      <c r="Q742" s="17">
        <v>5099</v>
      </c>
      <c r="R742" s="18">
        <v>30</v>
      </c>
      <c r="S742" s="19">
        <v>4104.6949999999997</v>
      </c>
      <c r="T742" s="20" t="s">
        <v>99</v>
      </c>
      <c r="U742" s="21" t="s">
        <v>1088</v>
      </c>
      <c r="V742" s="61">
        <v>5</v>
      </c>
      <c r="W742" s="23">
        <v>3</v>
      </c>
      <c r="X742" s="24"/>
    </row>
    <row r="743" spans="1:24" s="1" customFormat="1" ht="108" customHeight="1" x14ac:dyDescent="0.3">
      <c r="A743" s="11" t="s">
        <v>607</v>
      </c>
      <c r="B743" s="11" t="s">
        <v>1318</v>
      </c>
      <c r="C743" s="12" t="s">
        <v>1319</v>
      </c>
      <c r="D743" s="13"/>
      <c r="E743" s="67" t="str">
        <f>HYPERLINK("https://www.google.ru/search?q=232325SC05&amp;newwindow=1&amp;tbm=isch","Еще фото")</f>
        <v>Еще фото</v>
      </c>
      <c r="F743" s="14"/>
      <c r="G743" s="11" t="s">
        <v>1102</v>
      </c>
      <c r="H743" s="11" t="s">
        <v>669</v>
      </c>
      <c r="I743" s="15" t="s">
        <v>1086</v>
      </c>
      <c r="J743" s="15" t="s">
        <v>360</v>
      </c>
      <c r="K743" s="16" t="s">
        <v>59</v>
      </c>
      <c r="L743" s="15" t="s">
        <v>1313</v>
      </c>
      <c r="M743" s="15"/>
      <c r="N743" s="15" t="s">
        <v>212</v>
      </c>
      <c r="O743" s="15"/>
      <c r="P743" s="16" t="s">
        <v>1099</v>
      </c>
      <c r="Q743" s="17">
        <v>5099</v>
      </c>
      <c r="R743" s="18">
        <v>30</v>
      </c>
      <c r="S743" s="19">
        <v>4104.6949999999997</v>
      </c>
      <c r="T743" s="20" t="s">
        <v>99</v>
      </c>
      <c r="U743" s="21" t="s">
        <v>1088</v>
      </c>
      <c r="V743" s="61">
        <v>5</v>
      </c>
      <c r="W743" s="23">
        <v>4</v>
      </c>
      <c r="X743" s="24"/>
    </row>
    <row r="744" spans="1:24" s="1" customFormat="1" ht="108" customHeight="1" x14ac:dyDescent="0.3">
      <c r="A744" s="11" t="s">
        <v>607</v>
      </c>
      <c r="B744" s="11" t="s">
        <v>1320</v>
      </c>
      <c r="C744" s="12" t="s">
        <v>1321</v>
      </c>
      <c r="D744" s="13"/>
      <c r="E744" s="67" t="str">
        <f>HYPERLINK("https://www.google.ru/search?q=233402SC30&amp;newwindow=1&amp;tbm=isch","Еще фото")</f>
        <v>Еще фото</v>
      </c>
      <c r="F744" s="14"/>
      <c r="G744" s="11" t="s">
        <v>1102</v>
      </c>
      <c r="H744" s="11" t="s">
        <v>669</v>
      </c>
      <c r="I744" s="15" t="s">
        <v>1086</v>
      </c>
      <c r="J744" s="15" t="s">
        <v>360</v>
      </c>
      <c r="K744" s="16" t="s">
        <v>71</v>
      </c>
      <c r="L744" s="15" t="s">
        <v>1322</v>
      </c>
      <c r="M744" s="15"/>
      <c r="N744" s="15" t="s">
        <v>31</v>
      </c>
      <c r="O744" s="15"/>
      <c r="P744" s="16" t="s">
        <v>1108</v>
      </c>
      <c r="Q744" s="17">
        <v>7899</v>
      </c>
      <c r="R744" s="18">
        <v>30</v>
      </c>
      <c r="S744" s="19">
        <v>6358.6949999999997</v>
      </c>
      <c r="T744" s="20" t="s">
        <v>63</v>
      </c>
      <c r="U744" s="21" t="s">
        <v>1094</v>
      </c>
      <c r="V744" s="23">
        <v>30</v>
      </c>
      <c r="W744" s="23">
        <v>1</v>
      </c>
      <c r="X744" s="24"/>
    </row>
    <row r="745" spans="1:24" s="1" customFormat="1" ht="108" customHeight="1" x14ac:dyDescent="0.3">
      <c r="A745" s="11" t="s">
        <v>607</v>
      </c>
      <c r="B745" s="11" t="s">
        <v>1323</v>
      </c>
      <c r="C745" s="12" t="s">
        <v>1324</v>
      </c>
      <c r="D745" s="13"/>
      <c r="E745" s="67" t="str">
        <f>HYPERLINK("https://www.google.ru/search?q=234733SC30&amp;newwindow=1&amp;tbm=isch","Еще фото")</f>
        <v>Еще фото</v>
      </c>
      <c r="F745" s="14"/>
      <c r="G745" s="11" t="s">
        <v>1091</v>
      </c>
      <c r="H745" s="11" t="s">
        <v>669</v>
      </c>
      <c r="I745" s="15" t="s">
        <v>1086</v>
      </c>
      <c r="J745" s="15" t="s">
        <v>360</v>
      </c>
      <c r="K745" s="16" t="s">
        <v>71</v>
      </c>
      <c r="L745" s="15" t="s">
        <v>1325</v>
      </c>
      <c r="M745" s="15"/>
      <c r="N745" s="15" t="s">
        <v>212</v>
      </c>
      <c r="O745" s="15"/>
      <c r="P745" s="16" t="s">
        <v>1093</v>
      </c>
      <c r="Q745" s="17">
        <v>10099</v>
      </c>
      <c r="R745" s="18">
        <v>30</v>
      </c>
      <c r="S745" s="19">
        <v>8129.6949999999997</v>
      </c>
      <c r="T745" s="20" t="s">
        <v>63</v>
      </c>
      <c r="U745" s="21" t="s">
        <v>1094</v>
      </c>
      <c r="V745" s="23">
        <v>30</v>
      </c>
      <c r="W745" s="23">
        <v>6</v>
      </c>
      <c r="X745" s="24"/>
    </row>
    <row r="746" spans="1:24" s="1" customFormat="1" ht="108" customHeight="1" x14ac:dyDescent="0.3">
      <c r="A746" s="11" t="s">
        <v>607</v>
      </c>
      <c r="B746" s="11" t="s">
        <v>1326</v>
      </c>
      <c r="C746" s="12" t="s">
        <v>1327</v>
      </c>
      <c r="D746" s="13"/>
      <c r="E746" s="67" t="str">
        <f>HYPERLINK("https://www.google.ru/search?q=235004SC07&amp;newwindow=1&amp;tbm=isch","Еще фото")</f>
        <v>Еще фото</v>
      </c>
      <c r="F746" s="14"/>
      <c r="G746" s="11" t="s">
        <v>1102</v>
      </c>
      <c r="H746" s="11" t="s">
        <v>669</v>
      </c>
      <c r="I746" s="15" t="s">
        <v>1086</v>
      </c>
      <c r="J746" s="15" t="s">
        <v>360</v>
      </c>
      <c r="K746" s="16" t="s">
        <v>59</v>
      </c>
      <c r="L746" s="15" t="s">
        <v>1328</v>
      </c>
      <c r="M746" s="15"/>
      <c r="N746" s="15" t="s">
        <v>38</v>
      </c>
      <c r="O746" s="15"/>
      <c r="P746" s="16" t="s">
        <v>1099</v>
      </c>
      <c r="Q746" s="17">
        <v>4699</v>
      </c>
      <c r="R746" s="18">
        <v>30</v>
      </c>
      <c r="S746" s="19">
        <v>3782.6949999999997</v>
      </c>
      <c r="T746" s="20" t="s">
        <v>99</v>
      </c>
      <c r="U746" s="21" t="s">
        <v>1149</v>
      </c>
      <c r="V746" s="61">
        <v>7</v>
      </c>
      <c r="W746" s="23">
        <v>2</v>
      </c>
      <c r="X746" s="24"/>
    </row>
    <row r="747" spans="1:24" s="1" customFormat="1" ht="108" customHeight="1" x14ac:dyDescent="0.3">
      <c r="A747" s="11" t="s">
        <v>607</v>
      </c>
      <c r="B747" s="11" t="s">
        <v>1256</v>
      </c>
      <c r="C747" s="12" t="s">
        <v>1329</v>
      </c>
      <c r="D747" s="13"/>
      <c r="E747" s="67" t="str">
        <f>HYPERLINK("https://www.google.ru/search?q=235013SC00&amp;newwindow=1&amp;tbm=isch","Еще фото")</f>
        <v>Еще фото</v>
      </c>
      <c r="F747" s="14"/>
      <c r="G747" s="11" t="s">
        <v>1102</v>
      </c>
      <c r="H747" s="11" t="s">
        <v>669</v>
      </c>
      <c r="I747" s="15" t="s">
        <v>1086</v>
      </c>
      <c r="J747" s="15" t="s">
        <v>360</v>
      </c>
      <c r="K747" s="16" t="s">
        <v>71</v>
      </c>
      <c r="L747" s="15" t="s">
        <v>1258</v>
      </c>
      <c r="M747" s="15"/>
      <c r="N747" s="15" t="s">
        <v>38</v>
      </c>
      <c r="O747" s="15"/>
      <c r="P747" s="16" t="s">
        <v>1099</v>
      </c>
      <c r="Q747" s="17">
        <v>9399</v>
      </c>
      <c r="R747" s="18">
        <v>30</v>
      </c>
      <c r="S747" s="19">
        <v>7566.1949999999997</v>
      </c>
      <c r="T747" s="20" t="s">
        <v>99</v>
      </c>
      <c r="U747" s="21" t="s">
        <v>1113</v>
      </c>
      <c r="V747" s="61">
        <v>0</v>
      </c>
      <c r="W747" s="23">
        <v>1</v>
      </c>
      <c r="X747" s="24"/>
    </row>
    <row r="748" spans="1:24" s="1" customFormat="1" ht="108" customHeight="1" x14ac:dyDescent="0.3">
      <c r="A748" s="11" t="s">
        <v>607</v>
      </c>
      <c r="B748" s="11" t="s">
        <v>1330</v>
      </c>
      <c r="C748" s="12" t="s">
        <v>1331</v>
      </c>
      <c r="D748" s="13"/>
      <c r="E748" s="67" t="str">
        <f>HYPERLINK("https://www.google.ru/search?q=235014SC05&amp;newwindow=1&amp;tbm=isch","Еще фото")</f>
        <v>Еще фото</v>
      </c>
      <c r="F748" s="14"/>
      <c r="G748" s="11" t="s">
        <v>1102</v>
      </c>
      <c r="H748" s="11" t="s">
        <v>669</v>
      </c>
      <c r="I748" s="15" t="s">
        <v>1086</v>
      </c>
      <c r="J748" s="15" t="s">
        <v>360</v>
      </c>
      <c r="K748" s="16" t="s">
        <v>59</v>
      </c>
      <c r="L748" s="15"/>
      <c r="M748" s="15"/>
      <c r="N748" s="15" t="s">
        <v>38</v>
      </c>
      <c r="O748" s="15"/>
      <c r="P748" s="16" t="s">
        <v>1099</v>
      </c>
      <c r="Q748" s="17">
        <v>4699</v>
      </c>
      <c r="R748" s="18">
        <v>30</v>
      </c>
      <c r="S748" s="19">
        <v>3782.6949999999997</v>
      </c>
      <c r="T748" s="20" t="s">
        <v>99</v>
      </c>
      <c r="U748" s="21" t="s">
        <v>1088</v>
      </c>
      <c r="V748" s="61">
        <v>5</v>
      </c>
      <c r="W748" s="23">
        <v>19</v>
      </c>
      <c r="X748" s="24"/>
    </row>
    <row r="749" spans="1:24" s="1" customFormat="1" ht="108" customHeight="1" x14ac:dyDescent="0.3">
      <c r="A749" s="11" t="s">
        <v>607</v>
      </c>
      <c r="B749" s="11" t="s">
        <v>1332</v>
      </c>
      <c r="C749" s="12" t="s">
        <v>1333</v>
      </c>
      <c r="D749" s="13"/>
      <c r="E749" s="67" t="str">
        <f>HYPERLINK("https://www.google.ru/search?q=235014SC06&amp;newwindow=1&amp;tbm=isch","Еще фото")</f>
        <v>Еще фото</v>
      </c>
      <c r="F749" s="14"/>
      <c r="G749" s="11" t="s">
        <v>1102</v>
      </c>
      <c r="H749" s="11" t="s">
        <v>669</v>
      </c>
      <c r="I749" s="15" t="s">
        <v>1086</v>
      </c>
      <c r="J749" s="15" t="s">
        <v>360</v>
      </c>
      <c r="K749" s="16" t="s">
        <v>59</v>
      </c>
      <c r="L749" s="15" t="s">
        <v>1334</v>
      </c>
      <c r="M749" s="15"/>
      <c r="N749" s="15" t="s">
        <v>38</v>
      </c>
      <c r="O749" s="15"/>
      <c r="P749" s="16" t="s">
        <v>1099</v>
      </c>
      <c r="Q749" s="17">
        <v>4699</v>
      </c>
      <c r="R749" s="18">
        <v>30</v>
      </c>
      <c r="S749" s="19">
        <v>3782.6949999999997</v>
      </c>
      <c r="T749" s="20" t="s">
        <v>99</v>
      </c>
      <c r="U749" s="21" t="s">
        <v>1104</v>
      </c>
      <c r="V749" s="61">
        <v>6</v>
      </c>
      <c r="W749" s="23">
        <v>28</v>
      </c>
      <c r="X749" s="24"/>
    </row>
    <row r="750" spans="1:24" s="1" customFormat="1" ht="108" customHeight="1" x14ac:dyDescent="0.3">
      <c r="A750" s="11" t="s">
        <v>607</v>
      </c>
      <c r="B750" s="11" t="s">
        <v>1259</v>
      </c>
      <c r="C750" s="12" t="s">
        <v>1335</v>
      </c>
      <c r="D750" s="13"/>
      <c r="E750" s="67" t="str">
        <f>HYPERLINK("https://www.google.ru/search?q=235023SC06&amp;newwindow=1&amp;tbm=isch","Еще фото")</f>
        <v>Еще фото</v>
      </c>
      <c r="F750" s="14"/>
      <c r="G750" s="11" t="s">
        <v>1102</v>
      </c>
      <c r="H750" s="11" t="s">
        <v>669</v>
      </c>
      <c r="I750" s="15" t="s">
        <v>1086</v>
      </c>
      <c r="J750" s="15" t="s">
        <v>360</v>
      </c>
      <c r="K750" s="16" t="s">
        <v>71</v>
      </c>
      <c r="L750" s="15" t="s">
        <v>1261</v>
      </c>
      <c r="M750" s="15"/>
      <c r="N750" s="15" t="s">
        <v>38</v>
      </c>
      <c r="O750" s="15"/>
      <c r="P750" s="16" t="s">
        <v>1099</v>
      </c>
      <c r="Q750" s="17">
        <v>7199</v>
      </c>
      <c r="R750" s="18">
        <v>30</v>
      </c>
      <c r="S750" s="19">
        <v>5795.1949999999997</v>
      </c>
      <c r="T750" s="20" t="s">
        <v>63</v>
      </c>
      <c r="U750" s="21" t="s">
        <v>1104</v>
      </c>
      <c r="V750" s="61">
        <v>6</v>
      </c>
      <c r="W750" s="23">
        <v>11</v>
      </c>
      <c r="X750" s="24"/>
    </row>
    <row r="751" spans="1:24" s="1" customFormat="1" ht="108" customHeight="1" x14ac:dyDescent="0.3">
      <c r="A751" s="11" t="s">
        <v>607</v>
      </c>
      <c r="B751" s="11" t="s">
        <v>1129</v>
      </c>
      <c r="C751" s="12" t="s">
        <v>1336</v>
      </c>
      <c r="D751" s="13"/>
      <c r="E751" s="67" t="str">
        <f>HYPERLINK("https://www.google.ru/search?q=235024SC06&amp;newwindow=1&amp;tbm=isch","Еще фото")</f>
        <v>Еще фото</v>
      </c>
      <c r="F751" s="14"/>
      <c r="G751" s="11" t="s">
        <v>1102</v>
      </c>
      <c r="H751" s="11" t="s">
        <v>669</v>
      </c>
      <c r="I751" s="15" t="s">
        <v>1086</v>
      </c>
      <c r="J751" s="15" t="s">
        <v>360</v>
      </c>
      <c r="K751" s="16" t="s">
        <v>59</v>
      </c>
      <c r="L751" s="15" t="s">
        <v>1131</v>
      </c>
      <c r="M751" s="15"/>
      <c r="N751" s="15" t="s">
        <v>31</v>
      </c>
      <c r="O751" s="15"/>
      <c r="P751" s="16" t="s">
        <v>1099</v>
      </c>
      <c r="Q751" s="17">
        <v>4699</v>
      </c>
      <c r="R751" s="18">
        <v>30</v>
      </c>
      <c r="S751" s="19">
        <v>3782.6949999999997</v>
      </c>
      <c r="T751" s="20" t="s">
        <v>99</v>
      </c>
      <c r="U751" s="21" t="s">
        <v>1104</v>
      </c>
      <c r="V751" s="61">
        <v>6</v>
      </c>
      <c r="W751" s="23">
        <v>31</v>
      </c>
      <c r="X751" s="24"/>
    </row>
    <row r="752" spans="1:24" s="1" customFormat="1" ht="108" customHeight="1" x14ac:dyDescent="0.3">
      <c r="A752" s="11" t="s">
        <v>607</v>
      </c>
      <c r="B752" s="11" t="s">
        <v>1337</v>
      </c>
      <c r="C752" s="12" t="s">
        <v>1338</v>
      </c>
      <c r="D752" s="13"/>
      <c r="E752" s="67" t="str">
        <f>HYPERLINK("https://www.google.ru/search?q=235034SC05&amp;newwindow=1&amp;tbm=isch","Еще фото")</f>
        <v>Еще фото</v>
      </c>
      <c r="F752" s="14"/>
      <c r="G752" s="11" t="s">
        <v>1102</v>
      </c>
      <c r="H752" s="11" t="s">
        <v>669</v>
      </c>
      <c r="I752" s="15" t="s">
        <v>1086</v>
      </c>
      <c r="J752" s="15" t="s">
        <v>360</v>
      </c>
      <c r="K752" s="16" t="s">
        <v>59</v>
      </c>
      <c r="L752" s="15" t="s">
        <v>1339</v>
      </c>
      <c r="M752" s="15"/>
      <c r="N752" s="15" t="s">
        <v>38</v>
      </c>
      <c r="O752" s="15"/>
      <c r="P752" s="16" t="s">
        <v>1099</v>
      </c>
      <c r="Q752" s="17">
        <v>4699</v>
      </c>
      <c r="R752" s="18">
        <v>30</v>
      </c>
      <c r="S752" s="19">
        <v>3782.6949999999997</v>
      </c>
      <c r="T752" s="20" t="s">
        <v>99</v>
      </c>
      <c r="U752" s="21" t="s">
        <v>1088</v>
      </c>
      <c r="V752" s="61">
        <v>5</v>
      </c>
      <c r="W752" s="23">
        <v>14</v>
      </c>
      <c r="X752" s="24"/>
    </row>
    <row r="753" spans="1:24" s="1" customFormat="1" ht="108" customHeight="1" x14ac:dyDescent="0.3">
      <c r="A753" s="11" t="s">
        <v>607</v>
      </c>
      <c r="B753" s="11" t="s">
        <v>1340</v>
      </c>
      <c r="C753" s="12" t="s">
        <v>1341</v>
      </c>
      <c r="D753" s="13"/>
      <c r="E753" s="67" t="str">
        <f>HYPERLINK("https://www.google.ru/search?q=235044SC05&amp;newwindow=1&amp;tbm=isch","Еще фото")</f>
        <v>Еще фото</v>
      </c>
      <c r="F753" s="14"/>
      <c r="G753" s="11" t="s">
        <v>1102</v>
      </c>
      <c r="H753" s="11" t="s">
        <v>669</v>
      </c>
      <c r="I753" s="15" t="s">
        <v>1086</v>
      </c>
      <c r="J753" s="15" t="s">
        <v>360</v>
      </c>
      <c r="K753" s="16" t="s">
        <v>59</v>
      </c>
      <c r="L753" s="15" t="s">
        <v>1342</v>
      </c>
      <c r="M753" s="15"/>
      <c r="N753" s="15" t="s">
        <v>31</v>
      </c>
      <c r="O753" s="15"/>
      <c r="P753" s="16" t="s">
        <v>1099</v>
      </c>
      <c r="Q753" s="17">
        <v>4799</v>
      </c>
      <c r="R753" s="18">
        <v>30</v>
      </c>
      <c r="S753" s="19">
        <v>3863.1949999999997</v>
      </c>
      <c r="T753" s="20" t="s">
        <v>99</v>
      </c>
      <c r="U753" s="21" t="s">
        <v>1088</v>
      </c>
      <c r="V753" s="61">
        <v>5</v>
      </c>
      <c r="W753" s="23">
        <v>3</v>
      </c>
      <c r="X753" s="24"/>
    </row>
    <row r="754" spans="1:24" s="1" customFormat="1" ht="108" customHeight="1" x14ac:dyDescent="0.3">
      <c r="A754" s="11" t="s">
        <v>607</v>
      </c>
      <c r="B754" s="11" t="s">
        <v>1343</v>
      </c>
      <c r="C754" s="12" t="s">
        <v>1344</v>
      </c>
      <c r="D754" s="13"/>
      <c r="E754" s="67" t="str">
        <f>HYPERLINK("https://www.google.ru/search?q=235324SC20&amp;newwindow=1&amp;tbm=isch","Еще фото")</f>
        <v>Еще фото</v>
      </c>
      <c r="F754" s="14"/>
      <c r="G754" s="11" t="s">
        <v>1102</v>
      </c>
      <c r="H754" s="11" t="s">
        <v>669</v>
      </c>
      <c r="I754" s="15" t="s">
        <v>1086</v>
      </c>
      <c r="J754" s="15" t="s">
        <v>360</v>
      </c>
      <c r="K754" s="16" t="s">
        <v>71</v>
      </c>
      <c r="L754" s="15" t="s">
        <v>1138</v>
      </c>
      <c r="M754" s="15"/>
      <c r="N754" s="15" t="s">
        <v>55</v>
      </c>
      <c r="O754" s="15"/>
      <c r="P754" s="16" t="s">
        <v>1099</v>
      </c>
      <c r="Q754" s="17">
        <v>10099</v>
      </c>
      <c r="R754" s="18">
        <v>30</v>
      </c>
      <c r="S754" s="19">
        <v>8129.6949999999997</v>
      </c>
      <c r="T754" s="20" t="s">
        <v>63</v>
      </c>
      <c r="U754" s="21" t="s">
        <v>1139</v>
      </c>
      <c r="V754" s="23">
        <v>20</v>
      </c>
      <c r="W754" s="23">
        <v>26</v>
      </c>
      <c r="X754" s="24"/>
    </row>
    <row r="755" spans="1:24" s="1" customFormat="1" ht="108" customHeight="1" x14ac:dyDescent="0.3">
      <c r="A755" s="11" t="s">
        <v>607</v>
      </c>
      <c r="B755" s="11" t="s">
        <v>1343</v>
      </c>
      <c r="C755" s="12" t="s">
        <v>1345</v>
      </c>
      <c r="D755" s="13"/>
      <c r="E755" s="67" t="str">
        <f>HYPERLINK("https://www.google.ru/search?q=235324SC30&amp;newwindow=1&amp;tbm=isch","Еще фото")</f>
        <v>Еще фото</v>
      </c>
      <c r="F755" s="14"/>
      <c r="G755" s="11" t="s">
        <v>1102</v>
      </c>
      <c r="H755" s="11" t="s">
        <v>669</v>
      </c>
      <c r="I755" s="15" t="s">
        <v>1086</v>
      </c>
      <c r="J755" s="15" t="s">
        <v>360</v>
      </c>
      <c r="K755" s="16" t="s">
        <v>71</v>
      </c>
      <c r="L755" s="15" t="s">
        <v>1138</v>
      </c>
      <c r="M755" s="15"/>
      <c r="N755" s="15" t="s">
        <v>55</v>
      </c>
      <c r="O755" s="15"/>
      <c r="P755" s="16" t="s">
        <v>1099</v>
      </c>
      <c r="Q755" s="17">
        <v>10099</v>
      </c>
      <c r="R755" s="18">
        <v>30</v>
      </c>
      <c r="S755" s="19">
        <v>8129.6949999999997</v>
      </c>
      <c r="T755" s="20" t="s">
        <v>63</v>
      </c>
      <c r="U755" s="21" t="s">
        <v>1094</v>
      </c>
      <c r="V755" s="23">
        <v>30</v>
      </c>
      <c r="W755" s="23">
        <v>14</v>
      </c>
      <c r="X755" s="24"/>
    </row>
    <row r="756" spans="1:24" s="1" customFormat="1" ht="108" customHeight="1" x14ac:dyDescent="0.3">
      <c r="A756" s="11" t="s">
        <v>607</v>
      </c>
      <c r="B756" s="11" t="s">
        <v>1136</v>
      </c>
      <c r="C756" s="12" t="s">
        <v>1346</v>
      </c>
      <c r="D756" s="13"/>
      <c r="E756" s="67" t="str">
        <f>HYPERLINK("https://www.google.ru/search?q=235334SC30&amp;newwindow=1&amp;tbm=isch","Еще фото")</f>
        <v>Еще фото</v>
      </c>
      <c r="F756" s="14"/>
      <c r="G756" s="11" t="s">
        <v>1102</v>
      </c>
      <c r="H756" s="11" t="s">
        <v>669</v>
      </c>
      <c r="I756" s="15" t="s">
        <v>1086</v>
      </c>
      <c r="J756" s="15" t="s">
        <v>360</v>
      </c>
      <c r="K756" s="16" t="s">
        <v>71</v>
      </c>
      <c r="L756" s="15" t="s">
        <v>1138</v>
      </c>
      <c r="M756" s="15"/>
      <c r="N756" s="15" t="s">
        <v>31</v>
      </c>
      <c r="O756" s="15"/>
      <c r="P756" s="16" t="s">
        <v>1099</v>
      </c>
      <c r="Q756" s="17">
        <v>10099</v>
      </c>
      <c r="R756" s="18">
        <v>30</v>
      </c>
      <c r="S756" s="19">
        <v>8129.6949999999997</v>
      </c>
      <c r="T756" s="20" t="s">
        <v>63</v>
      </c>
      <c r="U756" s="21" t="s">
        <v>1094</v>
      </c>
      <c r="V756" s="23">
        <v>30</v>
      </c>
      <c r="W756" s="23">
        <v>1</v>
      </c>
      <c r="X756" s="24"/>
    </row>
    <row r="757" spans="1:24" s="1" customFormat="1" ht="108" customHeight="1" x14ac:dyDescent="0.3">
      <c r="A757" s="11" t="s">
        <v>607</v>
      </c>
      <c r="B757" s="11" t="s">
        <v>1347</v>
      </c>
      <c r="C757" s="12" t="s">
        <v>1348</v>
      </c>
      <c r="D757" s="13"/>
      <c r="E757" s="67" t="str">
        <f>HYPERLINK("https://www.google.ru/search?q=235344SC20&amp;newwindow=1&amp;tbm=isch","Еще фото")</f>
        <v>Еще фото</v>
      </c>
      <c r="F757" s="14"/>
      <c r="G757" s="11" t="s">
        <v>1102</v>
      </c>
      <c r="H757" s="11" t="s">
        <v>669</v>
      </c>
      <c r="I757" s="15" t="s">
        <v>1086</v>
      </c>
      <c r="J757" s="15" t="s">
        <v>360</v>
      </c>
      <c r="K757" s="16" t="s">
        <v>71</v>
      </c>
      <c r="L757" s="15" t="s">
        <v>1107</v>
      </c>
      <c r="M757" s="15"/>
      <c r="N757" s="15" t="s">
        <v>436</v>
      </c>
      <c r="O757" s="15"/>
      <c r="P757" s="16" t="s">
        <v>1108</v>
      </c>
      <c r="Q757" s="17">
        <v>9499</v>
      </c>
      <c r="R757" s="18">
        <v>30</v>
      </c>
      <c r="S757" s="19">
        <v>7646.6949999999997</v>
      </c>
      <c r="T757" s="20" t="s">
        <v>63</v>
      </c>
      <c r="U757" s="21" t="s">
        <v>1139</v>
      </c>
      <c r="V757" s="23">
        <v>20</v>
      </c>
      <c r="W757" s="23">
        <v>3</v>
      </c>
      <c r="X757" s="24"/>
    </row>
    <row r="758" spans="1:24" s="1" customFormat="1" ht="108" customHeight="1" x14ac:dyDescent="0.3">
      <c r="A758" s="11" t="s">
        <v>607</v>
      </c>
      <c r="B758" s="11" t="s">
        <v>1347</v>
      </c>
      <c r="C758" s="12" t="s">
        <v>1349</v>
      </c>
      <c r="D758" s="13"/>
      <c r="E758" s="67" t="str">
        <f>HYPERLINK("https://www.google.ru/search?q=235344SC30&amp;newwindow=1&amp;tbm=isch","Еще фото")</f>
        <v>Еще фото</v>
      </c>
      <c r="F758" s="14"/>
      <c r="G758" s="11" t="s">
        <v>1102</v>
      </c>
      <c r="H758" s="11" t="s">
        <v>669</v>
      </c>
      <c r="I758" s="15" t="s">
        <v>1086</v>
      </c>
      <c r="J758" s="15" t="s">
        <v>360</v>
      </c>
      <c r="K758" s="16" t="s">
        <v>71</v>
      </c>
      <c r="L758" s="15" t="s">
        <v>1350</v>
      </c>
      <c r="M758" s="15"/>
      <c r="N758" s="15" t="s">
        <v>173</v>
      </c>
      <c r="O758" s="15"/>
      <c r="P758" s="16" t="s">
        <v>1108</v>
      </c>
      <c r="Q758" s="17">
        <v>9499</v>
      </c>
      <c r="R758" s="18">
        <v>30</v>
      </c>
      <c r="S758" s="19">
        <v>7646.6949999999997</v>
      </c>
      <c r="T758" s="20" t="s">
        <v>63</v>
      </c>
      <c r="U758" s="21" t="s">
        <v>1094</v>
      </c>
      <c r="V758" s="23">
        <v>30</v>
      </c>
      <c r="W758" s="23">
        <v>3</v>
      </c>
      <c r="X758" s="24"/>
    </row>
    <row r="759" spans="1:24" s="1" customFormat="1" ht="108" customHeight="1" x14ac:dyDescent="0.3">
      <c r="A759" s="11" t="s">
        <v>607</v>
      </c>
      <c r="B759" s="11" t="s">
        <v>1351</v>
      </c>
      <c r="C759" s="12" t="s">
        <v>1352</v>
      </c>
      <c r="D759" s="13"/>
      <c r="E759" s="67" t="str">
        <f>HYPERLINK("https://www.google.ru/search?q=235363SC00&amp;newwindow=1&amp;tbm=isch","Еще фото")</f>
        <v>Еще фото</v>
      </c>
      <c r="F759" s="14"/>
      <c r="G759" s="11" t="s">
        <v>1097</v>
      </c>
      <c r="H759" s="11" t="s">
        <v>669</v>
      </c>
      <c r="I759" s="15" t="s">
        <v>1086</v>
      </c>
      <c r="J759" s="15" t="s">
        <v>360</v>
      </c>
      <c r="K759" s="16" t="s">
        <v>59</v>
      </c>
      <c r="L759" s="15" t="s">
        <v>1353</v>
      </c>
      <c r="M759" s="15"/>
      <c r="N759" s="15" t="s">
        <v>38</v>
      </c>
      <c r="O759" s="15"/>
      <c r="P759" s="16" t="s">
        <v>1099</v>
      </c>
      <c r="Q759" s="17">
        <v>16999</v>
      </c>
      <c r="R759" s="18">
        <v>30</v>
      </c>
      <c r="S759" s="19">
        <v>13684.194999999998</v>
      </c>
      <c r="T759" s="20" t="s">
        <v>99</v>
      </c>
      <c r="U759" s="21" t="s">
        <v>1113</v>
      </c>
      <c r="V759" s="61">
        <v>0</v>
      </c>
      <c r="W759" s="23">
        <v>3</v>
      </c>
      <c r="X759" s="24"/>
    </row>
    <row r="760" spans="1:24" s="1" customFormat="1" ht="108" customHeight="1" x14ac:dyDescent="0.3">
      <c r="A760" s="11" t="s">
        <v>607</v>
      </c>
      <c r="B760" s="11" t="s">
        <v>1282</v>
      </c>
      <c r="C760" s="12" t="s">
        <v>1354</v>
      </c>
      <c r="D760" s="13"/>
      <c r="E760" s="67" t="str">
        <f>HYPERLINK("https://www.google.ru/search?q=235402SC00&amp;newwindow=1&amp;tbm=isch","Еще фото")</f>
        <v>Еще фото</v>
      </c>
      <c r="F760" s="14"/>
      <c r="G760" s="11" t="s">
        <v>1097</v>
      </c>
      <c r="H760" s="11" t="s">
        <v>669</v>
      </c>
      <c r="I760" s="15" t="s">
        <v>1086</v>
      </c>
      <c r="J760" s="15" t="s">
        <v>360</v>
      </c>
      <c r="K760" s="16" t="s">
        <v>59</v>
      </c>
      <c r="L760" s="15" t="s">
        <v>1355</v>
      </c>
      <c r="M760" s="15"/>
      <c r="N760" s="15" t="s">
        <v>55</v>
      </c>
      <c r="O760" s="15"/>
      <c r="P760" s="16" t="s">
        <v>1134</v>
      </c>
      <c r="Q760" s="17">
        <v>5799</v>
      </c>
      <c r="R760" s="18">
        <v>30</v>
      </c>
      <c r="S760" s="19">
        <v>4668.1949999999997</v>
      </c>
      <c r="T760" s="20" t="s">
        <v>99</v>
      </c>
      <c r="U760" s="21" t="s">
        <v>1113</v>
      </c>
      <c r="V760" s="61">
        <v>0</v>
      </c>
      <c r="W760" s="23">
        <v>6</v>
      </c>
      <c r="X760" s="24"/>
    </row>
    <row r="761" spans="1:24" s="1" customFormat="1" ht="108" customHeight="1" x14ac:dyDescent="0.3">
      <c r="A761" s="11" t="s">
        <v>607</v>
      </c>
      <c r="B761" s="11" t="s">
        <v>1356</v>
      </c>
      <c r="C761" s="12" t="s">
        <v>1357</v>
      </c>
      <c r="D761" s="13"/>
      <c r="E761" s="67" t="str">
        <f>HYPERLINK("https://www.google.ru/search?q=235404SC30&amp;newwindow=1&amp;tbm=isch","Еще фото")</f>
        <v>Еще фото</v>
      </c>
      <c r="F761" s="14"/>
      <c r="G761" s="11" t="s">
        <v>1102</v>
      </c>
      <c r="H761" s="11" t="s">
        <v>669</v>
      </c>
      <c r="I761" s="15" t="s">
        <v>1086</v>
      </c>
      <c r="J761" s="15" t="s">
        <v>360</v>
      </c>
      <c r="K761" s="16" t="s">
        <v>71</v>
      </c>
      <c r="L761" s="15"/>
      <c r="M761" s="15"/>
      <c r="N761" s="15" t="s">
        <v>31</v>
      </c>
      <c r="O761" s="15"/>
      <c r="P761" s="16" t="s">
        <v>1108</v>
      </c>
      <c r="Q761" s="17">
        <v>17099</v>
      </c>
      <c r="R761" s="18">
        <v>30</v>
      </c>
      <c r="S761" s="19">
        <v>13764.694999999998</v>
      </c>
      <c r="T761" s="20" t="s">
        <v>63</v>
      </c>
      <c r="U761" s="21" t="s">
        <v>1094</v>
      </c>
      <c r="V761" s="23">
        <v>30</v>
      </c>
      <c r="W761" s="23">
        <v>8</v>
      </c>
      <c r="X761" s="24"/>
    </row>
    <row r="762" spans="1:24" s="1" customFormat="1" ht="108" customHeight="1" x14ac:dyDescent="0.3">
      <c r="A762" s="11" t="s">
        <v>607</v>
      </c>
      <c r="B762" s="11" t="s">
        <v>1356</v>
      </c>
      <c r="C762" s="12" t="s">
        <v>1358</v>
      </c>
      <c r="D762" s="13"/>
      <c r="E762" s="67" t="str">
        <f>HYPERLINK("https://www.google.ru/search?q=235404SC40&amp;newwindow=1&amp;tbm=isch","Еще фото")</f>
        <v>Еще фото</v>
      </c>
      <c r="F762" s="14"/>
      <c r="G762" s="11" t="s">
        <v>1102</v>
      </c>
      <c r="H762" s="11" t="s">
        <v>669</v>
      </c>
      <c r="I762" s="15" t="s">
        <v>1086</v>
      </c>
      <c r="J762" s="15" t="s">
        <v>360</v>
      </c>
      <c r="K762" s="16" t="s">
        <v>71</v>
      </c>
      <c r="L762" s="15" t="s">
        <v>1359</v>
      </c>
      <c r="M762" s="15"/>
      <c r="N762" s="15" t="s">
        <v>31</v>
      </c>
      <c r="O762" s="15"/>
      <c r="P762" s="16" t="s">
        <v>1163</v>
      </c>
      <c r="Q762" s="17">
        <v>17099</v>
      </c>
      <c r="R762" s="18">
        <v>30</v>
      </c>
      <c r="S762" s="19">
        <v>13764.694999999998</v>
      </c>
      <c r="T762" s="20" t="s">
        <v>63</v>
      </c>
      <c r="U762" s="21" t="s">
        <v>1360</v>
      </c>
      <c r="V762" s="23">
        <v>40</v>
      </c>
      <c r="W762" s="23">
        <v>2</v>
      </c>
      <c r="X762" s="24"/>
    </row>
    <row r="763" spans="1:24" s="1" customFormat="1" ht="108" customHeight="1" x14ac:dyDescent="0.3">
      <c r="A763" s="11" t="s">
        <v>607</v>
      </c>
      <c r="B763" s="11" t="s">
        <v>1361</v>
      </c>
      <c r="C763" s="12" t="s">
        <v>1362</v>
      </c>
      <c r="D763" s="13"/>
      <c r="E763" s="67" t="str">
        <f>HYPERLINK("https://www.google.ru/search?q=235412SC07&amp;newwindow=1&amp;tbm=isch","Еще фото")</f>
        <v>Еще фото</v>
      </c>
      <c r="F763" s="14"/>
      <c r="G763" s="11" t="s">
        <v>1102</v>
      </c>
      <c r="H763" s="11" t="s">
        <v>669</v>
      </c>
      <c r="I763" s="15" t="s">
        <v>1086</v>
      </c>
      <c r="J763" s="15" t="s">
        <v>360</v>
      </c>
      <c r="K763" s="16" t="s">
        <v>59</v>
      </c>
      <c r="L763" s="15" t="s">
        <v>1290</v>
      </c>
      <c r="M763" s="15"/>
      <c r="N763" s="15" t="s">
        <v>55</v>
      </c>
      <c r="O763" s="15"/>
      <c r="P763" s="16" t="s">
        <v>1099</v>
      </c>
      <c r="Q763" s="17">
        <v>5799</v>
      </c>
      <c r="R763" s="18">
        <v>30</v>
      </c>
      <c r="S763" s="19">
        <v>4668.1949999999997</v>
      </c>
      <c r="T763" s="20" t="s">
        <v>99</v>
      </c>
      <c r="U763" s="21" t="s">
        <v>1149</v>
      </c>
      <c r="V763" s="61">
        <v>7</v>
      </c>
      <c r="W763" s="23">
        <v>16</v>
      </c>
      <c r="X763" s="24"/>
    </row>
    <row r="764" spans="1:24" s="1" customFormat="1" ht="108" customHeight="1" x14ac:dyDescent="0.3">
      <c r="A764" s="11" t="s">
        <v>607</v>
      </c>
      <c r="B764" s="11" t="s">
        <v>1363</v>
      </c>
      <c r="C764" s="12" t="s">
        <v>1364</v>
      </c>
      <c r="D764" s="13"/>
      <c r="E764" s="67" t="str">
        <f>HYPERLINK("https://www.google.ru/search?q=235414SC30&amp;newwindow=1&amp;tbm=isch","Еще фото")</f>
        <v>Еще фото</v>
      </c>
      <c r="F764" s="14"/>
      <c r="G764" s="11" t="s">
        <v>1102</v>
      </c>
      <c r="H764" s="11" t="s">
        <v>669</v>
      </c>
      <c r="I764" s="15" t="s">
        <v>1086</v>
      </c>
      <c r="J764" s="15" t="s">
        <v>360</v>
      </c>
      <c r="K764" s="16" t="s">
        <v>71</v>
      </c>
      <c r="L764" s="15"/>
      <c r="M764" s="15"/>
      <c r="N764" s="15" t="s">
        <v>73</v>
      </c>
      <c r="O764" s="15"/>
      <c r="P764" s="16" t="s">
        <v>1108</v>
      </c>
      <c r="Q764" s="17">
        <v>17099</v>
      </c>
      <c r="R764" s="18">
        <v>30</v>
      </c>
      <c r="S764" s="19">
        <v>13764.694999999998</v>
      </c>
      <c r="T764" s="20" t="s">
        <v>63</v>
      </c>
      <c r="U764" s="21" t="s">
        <v>1094</v>
      </c>
      <c r="V764" s="23">
        <v>30</v>
      </c>
      <c r="W764" s="23">
        <v>3</v>
      </c>
      <c r="X764" s="24"/>
    </row>
    <row r="765" spans="1:24" s="1" customFormat="1" ht="108" customHeight="1" x14ac:dyDescent="0.3">
      <c r="A765" s="11" t="s">
        <v>607</v>
      </c>
      <c r="B765" s="11" t="s">
        <v>1363</v>
      </c>
      <c r="C765" s="12" t="s">
        <v>1365</v>
      </c>
      <c r="D765" s="13"/>
      <c r="E765" s="67" t="str">
        <f>HYPERLINK("https://www.google.ru/search?q=235414SC40&amp;newwindow=1&amp;tbm=isch","Еще фото")</f>
        <v>Еще фото</v>
      </c>
      <c r="F765" s="14"/>
      <c r="G765" s="11" t="s">
        <v>1102</v>
      </c>
      <c r="H765" s="11" t="s">
        <v>669</v>
      </c>
      <c r="I765" s="15" t="s">
        <v>1086</v>
      </c>
      <c r="J765" s="15" t="s">
        <v>360</v>
      </c>
      <c r="K765" s="16" t="s">
        <v>71</v>
      </c>
      <c r="L765" s="15" t="s">
        <v>1359</v>
      </c>
      <c r="M765" s="15"/>
      <c r="N765" s="15" t="s">
        <v>73</v>
      </c>
      <c r="O765" s="15"/>
      <c r="P765" s="16" t="s">
        <v>1163</v>
      </c>
      <c r="Q765" s="17">
        <v>17099</v>
      </c>
      <c r="R765" s="18">
        <v>30</v>
      </c>
      <c r="S765" s="19">
        <v>13764.694999999998</v>
      </c>
      <c r="T765" s="20" t="s">
        <v>63</v>
      </c>
      <c r="U765" s="21" t="s">
        <v>1360</v>
      </c>
      <c r="V765" s="23">
        <v>40</v>
      </c>
      <c r="W765" s="23">
        <v>3</v>
      </c>
      <c r="X765" s="24"/>
    </row>
    <row r="766" spans="1:24" s="1" customFormat="1" ht="108" customHeight="1" x14ac:dyDescent="0.3">
      <c r="A766" s="11" t="s">
        <v>607</v>
      </c>
      <c r="B766" s="11" t="s">
        <v>1366</v>
      </c>
      <c r="C766" s="12" t="s">
        <v>1367</v>
      </c>
      <c r="D766" s="13"/>
      <c r="E766" s="67" t="str">
        <f>HYPERLINK("https://www.google.ru/search?q=235424SC30&amp;newwindow=1&amp;tbm=isch","Еще фото")</f>
        <v>Еще фото</v>
      </c>
      <c r="F766" s="14"/>
      <c r="G766" s="11" t="s">
        <v>1102</v>
      </c>
      <c r="H766" s="11" t="s">
        <v>669</v>
      </c>
      <c r="I766" s="15" t="s">
        <v>1086</v>
      </c>
      <c r="J766" s="15" t="s">
        <v>360</v>
      </c>
      <c r="K766" s="16" t="s">
        <v>71</v>
      </c>
      <c r="L766" s="15"/>
      <c r="M766" s="15"/>
      <c r="N766" s="15" t="s">
        <v>413</v>
      </c>
      <c r="O766" s="15"/>
      <c r="P766" s="16" t="s">
        <v>1108</v>
      </c>
      <c r="Q766" s="17">
        <v>16599</v>
      </c>
      <c r="R766" s="18">
        <v>30</v>
      </c>
      <c r="S766" s="19">
        <v>13362.194999999998</v>
      </c>
      <c r="T766" s="20" t="s">
        <v>63</v>
      </c>
      <c r="U766" s="21" t="s">
        <v>1094</v>
      </c>
      <c r="V766" s="23">
        <v>30</v>
      </c>
      <c r="W766" s="23">
        <v>5</v>
      </c>
      <c r="X766" s="24"/>
    </row>
    <row r="767" spans="1:24" s="1" customFormat="1" ht="108" customHeight="1" x14ac:dyDescent="0.3">
      <c r="A767" s="11" t="s">
        <v>607</v>
      </c>
      <c r="B767" s="11" t="s">
        <v>1368</v>
      </c>
      <c r="C767" s="12" t="s">
        <v>1369</v>
      </c>
      <c r="D767" s="13"/>
      <c r="E767" s="67" t="str">
        <f>HYPERLINK("https://www.google.ru/search?q=235434SC10&amp;newwindow=1&amp;tbm=isch","Еще фото")</f>
        <v>Еще фото</v>
      </c>
      <c r="F767" s="14"/>
      <c r="G767" s="11" t="s">
        <v>1085</v>
      </c>
      <c r="H767" s="11" t="s">
        <v>669</v>
      </c>
      <c r="I767" s="15" t="s">
        <v>1086</v>
      </c>
      <c r="J767" s="15" t="s">
        <v>360</v>
      </c>
      <c r="K767" s="16" t="s">
        <v>71</v>
      </c>
      <c r="L767" s="15" t="s">
        <v>1370</v>
      </c>
      <c r="M767" s="15"/>
      <c r="N767" s="15" t="s">
        <v>31</v>
      </c>
      <c r="O767" s="15"/>
      <c r="P767" s="16" t="s">
        <v>1108</v>
      </c>
      <c r="Q767" s="17">
        <v>16599</v>
      </c>
      <c r="R767" s="18">
        <v>30</v>
      </c>
      <c r="S767" s="19">
        <v>13362.194999999998</v>
      </c>
      <c r="T767" s="20" t="s">
        <v>63</v>
      </c>
      <c r="U767" s="21" t="s">
        <v>1109</v>
      </c>
      <c r="V767" s="23">
        <v>10</v>
      </c>
      <c r="W767" s="23">
        <v>1</v>
      </c>
      <c r="X767" s="24"/>
    </row>
    <row r="768" spans="1:24" s="1" customFormat="1" ht="108" customHeight="1" x14ac:dyDescent="0.3">
      <c r="A768" s="11" t="s">
        <v>607</v>
      </c>
      <c r="B768" s="11" t="s">
        <v>1368</v>
      </c>
      <c r="C768" s="12" t="s">
        <v>1371</v>
      </c>
      <c r="D768" s="13"/>
      <c r="E768" s="67" t="str">
        <f>HYPERLINK("https://www.google.ru/search?q=235434SC30&amp;newwindow=1&amp;tbm=isch","Еще фото")</f>
        <v>Еще фото</v>
      </c>
      <c r="F768" s="14"/>
      <c r="G768" s="11" t="s">
        <v>1085</v>
      </c>
      <c r="H768" s="11" t="s">
        <v>669</v>
      </c>
      <c r="I768" s="15" t="s">
        <v>1086</v>
      </c>
      <c r="J768" s="15" t="s">
        <v>360</v>
      </c>
      <c r="K768" s="16" t="s">
        <v>71</v>
      </c>
      <c r="L768" s="15"/>
      <c r="M768" s="15"/>
      <c r="N768" s="15" t="s">
        <v>55</v>
      </c>
      <c r="O768" s="15"/>
      <c r="P768" s="16" t="s">
        <v>1108</v>
      </c>
      <c r="Q768" s="17">
        <v>16599</v>
      </c>
      <c r="R768" s="18">
        <v>30</v>
      </c>
      <c r="S768" s="19">
        <v>13362.194999999998</v>
      </c>
      <c r="T768" s="20" t="s">
        <v>63</v>
      </c>
      <c r="U768" s="21" t="s">
        <v>1094</v>
      </c>
      <c r="V768" s="23">
        <v>30</v>
      </c>
      <c r="W768" s="23">
        <v>4</v>
      </c>
      <c r="X768" s="24"/>
    </row>
    <row r="769" spans="1:24" s="1" customFormat="1" ht="108" customHeight="1" x14ac:dyDescent="0.3">
      <c r="A769" s="11" t="s">
        <v>607</v>
      </c>
      <c r="B769" s="11" t="s">
        <v>1372</v>
      </c>
      <c r="C769" s="12" t="s">
        <v>1373</v>
      </c>
      <c r="D769" s="13"/>
      <c r="E769" s="67" t="str">
        <f>HYPERLINK("https://www.google.ru/search?q=235804SC07&amp;newwindow=1&amp;tbm=isch","Еще фото")</f>
        <v>Еще фото</v>
      </c>
      <c r="F769" s="55" t="s">
        <v>688</v>
      </c>
      <c r="G769" s="11" t="s">
        <v>1102</v>
      </c>
      <c r="H769" s="11" t="s">
        <v>669</v>
      </c>
      <c r="I769" s="15" t="s">
        <v>1086</v>
      </c>
      <c r="J769" s="15" t="s">
        <v>360</v>
      </c>
      <c r="K769" s="16" t="s">
        <v>71</v>
      </c>
      <c r="L769" s="15" t="s">
        <v>1374</v>
      </c>
      <c r="M769" s="15"/>
      <c r="N769" s="15" t="s">
        <v>55</v>
      </c>
      <c r="O769" s="15"/>
      <c r="P769" s="16" t="s">
        <v>1099</v>
      </c>
      <c r="Q769" s="17">
        <v>4699</v>
      </c>
      <c r="R769" s="18">
        <v>30</v>
      </c>
      <c r="S769" s="19">
        <v>3782.6949999999997</v>
      </c>
      <c r="T769" s="20" t="s">
        <v>63</v>
      </c>
      <c r="U769" s="21" t="s">
        <v>1149</v>
      </c>
      <c r="V769" s="61">
        <v>7</v>
      </c>
      <c r="W769" s="23">
        <v>37</v>
      </c>
      <c r="X769" s="24"/>
    </row>
    <row r="770" spans="1:24" s="1" customFormat="1" ht="108" customHeight="1" x14ac:dyDescent="0.3">
      <c r="A770" s="11" t="s">
        <v>607</v>
      </c>
      <c r="B770" s="11" t="s">
        <v>1375</v>
      </c>
      <c r="C770" s="12" t="s">
        <v>1376</v>
      </c>
      <c r="D770" s="13"/>
      <c r="E770" s="67" t="str">
        <f>HYPERLINK("https://www.google.ru/search?q=235824SC05&amp;newwindow=1&amp;tbm=isch","Еще фото")</f>
        <v>Еще фото</v>
      </c>
      <c r="F770" s="14"/>
      <c r="G770" s="11" t="s">
        <v>1085</v>
      </c>
      <c r="H770" s="11" t="s">
        <v>669</v>
      </c>
      <c r="I770" s="15" t="s">
        <v>1086</v>
      </c>
      <c r="J770" s="15" t="s">
        <v>360</v>
      </c>
      <c r="K770" s="16" t="s">
        <v>59</v>
      </c>
      <c r="L770" s="15" t="s">
        <v>1377</v>
      </c>
      <c r="M770" s="15"/>
      <c r="N770" s="15" t="s">
        <v>122</v>
      </c>
      <c r="O770" s="15"/>
      <c r="P770" s="16" t="s">
        <v>1148</v>
      </c>
      <c r="Q770" s="17">
        <v>4699</v>
      </c>
      <c r="R770" s="18">
        <v>30</v>
      </c>
      <c r="S770" s="19">
        <v>3782.6949999999997</v>
      </c>
      <c r="T770" s="20" t="s">
        <v>99</v>
      </c>
      <c r="U770" s="21" t="s">
        <v>1088</v>
      </c>
      <c r="V770" s="61">
        <v>5</v>
      </c>
      <c r="W770" s="23">
        <v>34</v>
      </c>
      <c r="X770" s="24"/>
    </row>
    <row r="771" spans="1:24" s="1" customFormat="1" ht="108" customHeight="1" x14ac:dyDescent="0.3">
      <c r="A771" s="11" t="s">
        <v>607</v>
      </c>
      <c r="B771" s="11" t="s">
        <v>1378</v>
      </c>
      <c r="C771" s="12" t="s">
        <v>1379</v>
      </c>
      <c r="D771" s="13"/>
      <c r="E771" s="67" t="str">
        <f>HYPERLINK("https://www.google.ru/search?q=235834SC05&amp;newwindow=1&amp;tbm=isch","Еще фото")</f>
        <v>Еще фото</v>
      </c>
      <c r="F771" s="55" t="s">
        <v>688</v>
      </c>
      <c r="G771" s="11" t="s">
        <v>1102</v>
      </c>
      <c r="H771" s="11" t="s">
        <v>669</v>
      </c>
      <c r="I771" s="15" t="s">
        <v>1086</v>
      </c>
      <c r="J771" s="15" t="s">
        <v>360</v>
      </c>
      <c r="K771" s="16" t="s">
        <v>71</v>
      </c>
      <c r="L771" s="15" t="s">
        <v>1380</v>
      </c>
      <c r="M771" s="15"/>
      <c r="N771" s="15" t="s">
        <v>122</v>
      </c>
      <c r="O771" s="15"/>
      <c r="P771" s="16" t="s">
        <v>1148</v>
      </c>
      <c r="Q771" s="17">
        <v>4699</v>
      </c>
      <c r="R771" s="18">
        <v>30</v>
      </c>
      <c r="S771" s="19">
        <v>3782.6949999999997</v>
      </c>
      <c r="T771" s="20" t="s">
        <v>99</v>
      </c>
      <c r="U771" s="21" t="s">
        <v>1088</v>
      </c>
      <c r="V771" s="61">
        <v>5</v>
      </c>
      <c r="W771" s="23">
        <v>7</v>
      </c>
      <c r="X771" s="24"/>
    </row>
    <row r="772" spans="1:24" s="1" customFormat="1" ht="108" customHeight="1" x14ac:dyDescent="0.3">
      <c r="A772" s="11" t="s">
        <v>607</v>
      </c>
      <c r="B772" s="11" t="s">
        <v>1381</v>
      </c>
      <c r="C772" s="12" t="s">
        <v>1382</v>
      </c>
      <c r="D772" s="13"/>
      <c r="E772" s="67" t="str">
        <f>HYPERLINK("https://www.google.ru/search?q=235844SC05&amp;newwindow=1&amp;tbm=isch","Еще фото")</f>
        <v>Еще фото</v>
      </c>
      <c r="F772" s="14"/>
      <c r="G772" s="11" t="s">
        <v>1102</v>
      </c>
      <c r="H772" s="11" t="s">
        <v>669</v>
      </c>
      <c r="I772" s="15" t="s">
        <v>1086</v>
      </c>
      <c r="J772" s="15" t="s">
        <v>360</v>
      </c>
      <c r="K772" s="16" t="s">
        <v>71</v>
      </c>
      <c r="L772" s="15" t="s">
        <v>1383</v>
      </c>
      <c r="M772" s="15"/>
      <c r="N772" s="15" t="s">
        <v>55</v>
      </c>
      <c r="O772" s="15"/>
      <c r="P772" s="16" t="s">
        <v>1099</v>
      </c>
      <c r="Q772" s="17">
        <v>4799</v>
      </c>
      <c r="R772" s="18">
        <v>30</v>
      </c>
      <c r="S772" s="19">
        <v>3863.1949999999997</v>
      </c>
      <c r="T772" s="20" t="s">
        <v>99</v>
      </c>
      <c r="U772" s="21" t="s">
        <v>1088</v>
      </c>
      <c r="V772" s="61">
        <v>5</v>
      </c>
      <c r="W772" s="23">
        <v>3</v>
      </c>
      <c r="X772" s="24"/>
    </row>
    <row r="773" spans="1:24" s="1" customFormat="1" ht="108" customHeight="1" x14ac:dyDescent="0.3">
      <c r="A773" s="11" t="s">
        <v>607</v>
      </c>
      <c r="B773" s="11" t="s">
        <v>1384</v>
      </c>
      <c r="C773" s="12" t="s">
        <v>1385</v>
      </c>
      <c r="D773" s="13"/>
      <c r="E773" s="67" t="str">
        <f>HYPERLINK("https://www.google.ru/search?q=236034U30&amp;newwindow=1&amp;tbm=isch","Еще фото")</f>
        <v>Еще фото</v>
      </c>
      <c r="F773" s="14"/>
      <c r="G773" s="11" t="s">
        <v>1085</v>
      </c>
      <c r="H773" s="11" t="s">
        <v>669</v>
      </c>
      <c r="I773" s="15" t="s">
        <v>1086</v>
      </c>
      <c r="J773" s="15" t="s">
        <v>360</v>
      </c>
      <c r="K773" s="16" t="s">
        <v>71</v>
      </c>
      <c r="L773" s="15" t="s">
        <v>1386</v>
      </c>
      <c r="M773" s="15"/>
      <c r="N773" s="15" t="s">
        <v>1387</v>
      </c>
      <c r="O773" s="15"/>
      <c r="P773" s="16" t="s">
        <v>1099</v>
      </c>
      <c r="Q773" s="17">
        <v>19599</v>
      </c>
      <c r="R773" s="18">
        <v>30</v>
      </c>
      <c r="S773" s="19">
        <v>15777.194999999998</v>
      </c>
      <c r="T773" s="20" t="s">
        <v>99</v>
      </c>
      <c r="U773" s="21" t="s">
        <v>1193</v>
      </c>
      <c r="V773" s="23">
        <v>30</v>
      </c>
      <c r="W773" s="23">
        <v>1</v>
      </c>
      <c r="X773" s="24"/>
    </row>
    <row r="774" spans="1:24" s="1" customFormat="1" ht="108" customHeight="1" x14ac:dyDescent="0.3">
      <c r="A774" s="11" t="s">
        <v>607</v>
      </c>
      <c r="B774" s="11" t="s">
        <v>1126</v>
      </c>
      <c r="C774" s="12" t="s">
        <v>1388</v>
      </c>
      <c r="D774" s="13"/>
      <c r="E774" s="67" t="str">
        <f>HYPERLINK("https://www.google.ru/search?q=236054SC00&amp;newwindow=1&amp;tbm=isch","Еще фото")</f>
        <v>Еще фото</v>
      </c>
      <c r="F774" s="14"/>
      <c r="G774" s="11" t="s">
        <v>1102</v>
      </c>
      <c r="H774" s="11" t="s">
        <v>669</v>
      </c>
      <c r="I774" s="15" t="s">
        <v>1086</v>
      </c>
      <c r="J774" s="15" t="s">
        <v>360</v>
      </c>
      <c r="K774" s="16" t="s">
        <v>71</v>
      </c>
      <c r="L774" s="15" t="s">
        <v>1128</v>
      </c>
      <c r="M774" s="15"/>
      <c r="N774" s="15" t="s">
        <v>38</v>
      </c>
      <c r="O774" s="15"/>
      <c r="P774" s="16" t="s">
        <v>1108</v>
      </c>
      <c r="Q774" s="17">
        <v>14199</v>
      </c>
      <c r="R774" s="18">
        <v>30</v>
      </c>
      <c r="S774" s="19">
        <v>11430.194999999998</v>
      </c>
      <c r="T774" s="20" t="s">
        <v>99</v>
      </c>
      <c r="U774" s="21" t="s">
        <v>1113</v>
      </c>
      <c r="V774" s="61">
        <v>0</v>
      </c>
      <c r="W774" s="23">
        <v>2</v>
      </c>
      <c r="X774" s="24"/>
    </row>
    <row r="775" spans="1:24" s="1" customFormat="1" ht="108" customHeight="1" x14ac:dyDescent="0.3">
      <c r="A775" s="11" t="s">
        <v>607</v>
      </c>
      <c r="B775" s="11" t="s">
        <v>1389</v>
      </c>
      <c r="C775" s="12" t="s">
        <v>1390</v>
      </c>
      <c r="D775" s="13"/>
      <c r="E775" s="67" t="str">
        <f>HYPERLINK("https://www.google.ru/search?q=236064SC07&amp;newwindow=1&amp;tbm=isch","Еще фото")</f>
        <v>Еще фото</v>
      </c>
      <c r="F775" s="14"/>
      <c r="G775" s="11" t="s">
        <v>1085</v>
      </c>
      <c r="H775" s="11" t="s">
        <v>669</v>
      </c>
      <c r="I775" s="15" t="s">
        <v>1086</v>
      </c>
      <c r="J775" s="15" t="s">
        <v>360</v>
      </c>
      <c r="K775" s="16" t="s">
        <v>59</v>
      </c>
      <c r="L775" s="15" t="s">
        <v>1147</v>
      </c>
      <c r="M775" s="15"/>
      <c r="N775" s="15" t="s">
        <v>341</v>
      </c>
      <c r="O775" s="15"/>
      <c r="P775" s="16" t="s">
        <v>1099</v>
      </c>
      <c r="Q775" s="17">
        <v>16499</v>
      </c>
      <c r="R775" s="18">
        <v>30</v>
      </c>
      <c r="S775" s="19">
        <v>13281.694999999998</v>
      </c>
      <c r="T775" s="20" t="s">
        <v>99</v>
      </c>
      <c r="U775" s="21" t="s">
        <v>1149</v>
      </c>
      <c r="V775" s="61">
        <v>7</v>
      </c>
      <c r="W775" s="23">
        <v>2</v>
      </c>
      <c r="X775" s="24"/>
    </row>
    <row r="776" spans="1:24" s="1" customFormat="1" ht="108" customHeight="1" x14ac:dyDescent="0.3">
      <c r="A776" s="11" t="s">
        <v>607</v>
      </c>
      <c r="B776" s="11" t="s">
        <v>1391</v>
      </c>
      <c r="C776" s="12" t="s">
        <v>1392</v>
      </c>
      <c r="D776" s="13"/>
      <c r="E776" s="67" t="str">
        <f>HYPERLINK("https://www.google.ru/search?q=236123U30&amp;newwindow=1&amp;tbm=isch","Еще фото")</f>
        <v>Еще фото</v>
      </c>
      <c r="F776" s="14"/>
      <c r="G776" s="11" t="s">
        <v>1085</v>
      </c>
      <c r="H776" s="11" t="s">
        <v>669</v>
      </c>
      <c r="I776" s="15" t="s">
        <v>1086</v>
      </c>
      <c r="J776" s="15" t="s">
        <v>360</v>
      </c>
      <c r="K776" s="16" t="s">
        <v>71</v>
      </c>
      <c r="L776" s="15" t="s">
        <v>1393</v>
      </c>
      <c r="M776" s="15"/>
      <c r="N776" s="15" t="s">
        <v>38</v>
      </c>
      <c r="O776" s="15"/>
      <c r="P776" s="16" t="s">
        <v>1099</v>
      </c>
      <c r="Q776" s="17">
        <v>32999</v>
      </c>
      <c r="R776" s="18">
        <v>30</v>
      </c>
      <c r="S776" s="19">
        <v>26564.194999999996</v>
      </c>
      <c r="T776" s="20" t="s">
        <v>99</v>
      </c>
      <c r="U776" s="21" t="s">
        <v>1193</v>
      </c>
      <c r="V776" s="23">
        <v>30</v>
      </c>
      <c r="W776" s="23">
        <v>2</v>
      </c>
      <c r="X776" s="24"/>
    </row>
    <row r="777" spans="1:24" s="1" customFormat="1" ht="108" customHeight="1" x14ac:dyDescent="0.3">
      <c r="A777" s="11" t="s">
        <v>607</v>
      </c>
      <c r="B777" s="11" t="s">
        <v>1394</v>
      </c>
      <c r="C777" s="12" t="s">
        <v>1395</v>
      </c>
      <c r="D777" s="13"/>
      <c r="E777" s="67" t="str">
        <f>HYPERLINK("https://www.google.ru/search?q=281790-16GR&amp;newwindow=1&amp;tbm=isch","Еще фото")</f>
        <v>Еще фото</v>
      </c>
      <c r="F777" s="55" t="s">
        <v>688</v>
      </c>
      <c r="G777" s="11" t="s">
        <v>1396</v>
      </c>
      <c r="H777" s="11" t="s">
        <v>669</v>
      </c>
      <c r="I777" s="15" t="s">
        <v>1086</v>
      </c>
      <c r="J777" s="15" t="s">
        <v>360</v>
      </c>
      <c r="K777" s="16" t="s">
        <v>71</v>
      </c>
      <c r="L777" s="15" t="s">
        <v>1397</v>
      </c>
      <c r="M777" s="15"/>
      <c r="N777" s="15" t="s">
        <v>218</v>
      </c>
      <c r="O777" s="15"/>
      <c r="P777" s="16" t="s">
        <v>500</v>
      </c>
      <c r="Q777" s="17">
        <v>1699</v>
      </c>
      <c r="R777" s="18">
        <v>30</v>
      </c>
      <c r="S777" s="19">
        <v>1367.6949999999999</v>
      </c>
      <c r="T777" s="20" t="s">
        <v>75</v>
      </c>
      <c r="U777" s="21" t="s">
        <v>1398</v>
      </c>
      <c r="V777" s="22" t="s">
        <v>1046</v>
      </c>
      <c r="W777" s="23">
        <v>14</v>
      </c>
      <c r="X777" s="24"/>
    </row>
    <row r="778" spans="1:24" s="1" customFormat="1" ht="108" customHeight="1" x14ac:dyDescent="0.3">
      <c r="A778" s="11" t="s">
        <v>607</v>
      </c>
      <c r="B778" s="11" t="s">
        <v>1399</v>
      </c>
      <c r="C778" s="12" t="s">
        <v>1400</v>
      </c>
      <c r="D778" s="13"/>
      <c r="E778" s="67" t="str">
        <f>HYPERLINK("https://www.google.ru/search?q=261335-NV&amp;newwindow=1&amp;tbm=isch","Еще фото")</f>
        <v>Еще фото</v>
      </c>
      <c r="F778" s="14"/>
      <c r="G778" s="11" t="s">
        <v>290</v>
      </c>
      <c r="H778" s="11" t="s">
        <v>291</v>
      </c>
      <c r="I778" s="15" t="s">
        <v>292</v>
      </c>
      <c r="J778" s="15" t="s">
        <v>360</v>
      </c>
      <c r="K778" s="16" t="s">
        <v>71</v>
      </c>
      <c r="L778" s="15" t="s">
        <v>1401</v>
      </c>
      <c r="M778" s="15"/>
      <c r="N778" s="15" t="s">
        <v>31</v>
      </c>
      <c r="O778" s="15"/>
      <c r="P778" s="16" t="s">
        <v>106</v>
      </c>
      <c r="Q778" s="17">
        <v>4799</v>
      </c>
      <c r="R778" s="18">
        <v>54.2</v>
      </c>
      <c r="S778" s="19">
        <v>2527.4354999999996</v>
      </c>
      <c r="T778" s="20" t="s">
        <v>75</v>
      </c>
      <c r="U778" s="21" t="s">
        <v>430</v>
      </c>
      <c r="V778" s="22" t="s">
        <v>77</v>
      </c>
      <c r="W778" s="23">
        <v>47</v>
      </c>
      <c r="X778" s="24"/>
    </row>
    <row r="779" spans="1:24" s="1" customFormat="1" ht="108" customHeight="1" x14ac:dyDescent="0.3">
      <c r="A779" s="11" t="s">
        <v>607</v>
      </c>
      <c r="B779" s="11" t="s">
        <v>1402</v>
      </c>
      <c r="C779" s="12" t="s">
        <v>1403</v>
      </c>
      <c r="D779" s="13"/>
      <c r="E779" s="67" t="str">
        <f>HYPERLINK("https://www.google.ru/search?q=260035-BK&amp;newwindow=1&amp;tbm=isch","Еще фото")</f>
        <v>Еще фото</v>
      </c>
      <c r="F779" s="14"/>
      <c r="G779" s="11" t="s">
        <v>290</v>
      </c>
      <c r="H779" s="11" t="s">
        <v>291</v>
      </c>
      <c r="I779" s="15" t="s">
        <v>292</v>
      </c>
      <c r="J779" s="15" t="s">
        <v>360</v>
      </c>
      <c r="K779" s="16" t="s">
        <v>71</v>
      </c>
      <c r="L779" s="15" t="s">
        <v>1404</v>
      </c>
      <c r="M779" s="15"/>
      <c r="N779" s="15" t="s">
        <v>38</v>
      </c>
      <c r="O779" s="15"/>
      <c r="P779" s="16" t="s">
        <v>106</v>
      </c>
      <c r="Q779" s="17">
        <v>12199</v>
      </c>
      <c r="R779" s="18">
        <v>33</v>
      </c>
      <c r="S779" s="19">
        <v>9399.3294999999998</v>
      </c>
      <c r="T779" s="20" t="s">
        <v>75</v>
      </c>
      <c r="U779" s="21" t="s">
        <v>430</v>
      </c>
      <c r="V779" s="22" t="s">
        <v>77</v>
      </c>
      <c r="W779" s="23">
        <v>5</v>
      </c>
      <c r="X779" s="24"/>
    </row>
    <row r="780" spans="1:24" s="1" customFormat="1" ht="108" customHeight="1" x14ac:dyDescent="0.3">
      <c r="A780" s="11" t="s">
        <v>607</v>
      </c>
      <c r="B780" s="11" t="s">
        <v>1405</v>
      </c>
      <c r="C780" s="12" t="s">
        <v>1406</v>
      </c>
      <c r="D780" s="13"/>
      <c r="E780" s="67" t="str">
        <f>HYPERLINK("https://www.google.ru/search?q=262605-BL&amp;newwindow=1&amp;tbm=isch","Еще фото")</f>
        <v>Еще фото</v>
      </c>
      <c r="F780" s="14"/>
      <c r="G780" s="11" t="s">
        <v>290</v>
      </c>
      <c r="H780" s="11" t="s">
        <v>291</v>
      </c>
      <c r="I780" s="15" t="s">
        <v>292</v>
      </c>
      <c r="J780" s="15" t="s">
        <v>360</v>
      </c>
      <c r="K780" s="16" t="s">
        <v>59</v>
      </c>
      <c r="L780" s="15" t="s">
        <v>1407</v>
      </c>
      <c r="M780" s="15"/>
      <c r="N780" s="15" t="s">
        <v>31</v>
      </c>
      <c r="O780" s="15"/>
      <c r="P780" s="16" t="s">
        <v>106</v>
      </c>
      <c r="Q780" s="17">
        <v>5899</v>
      </c>
      <c r="R780" s="18">
        <v>33</v>
      </c>
      <c r="S780" s="19">
        <v>4545.1794999999993</v>
      </c>
      <c r="T780" s="20" t="s">
        <v>75</v>
      </c>
      <c r="U780" s="21" t="s">
        <v>430</v>
      </c>
      <c r="V780" s="22" t="s">
        <v>77</v>
      </c>
      <c r="W780" s="23">
        <v>26</v>
      </c>
      <c r="X780" s="24"/>
    </row>
    <row r="781" spans="1:24" s="1" customFormat="1" ht="108" customHeight="1" x14ac:dyDescent="0.3">
      <c r="A781" s="11" t="s">
        <v>607</v>
      </c>
      <c r="B781" s="11" t="s">
        <v>1408</v>
      </c>
      <c r="C781" s="12" t="s">
        <v>1409</v>
      </c>
      <c r="D781" s="13"/>
      <c r="E781" s="67" t="str">
        <f>HYPERLINK("https://www.google.ru/search?q=262615-PU&amp;newwindow=1&amp;tbm=isch","Еще фото")</f>
        <v>Еще фото</v>
      </c>
      <c r="F781" s="14"/>
      <c r="G781" s="11" t="s">
        <v>290</v>
      </c>
      <c r="H781" s="11" t="s">
        <v>291</v>
      </c>
      <c r="I781" s="15" t="s">
        <v>292</v>
      </c>
      <c r="J781" s="15" t="s">
        <v>360</v>
      </c>
      <c r="K781" s="16" t="s">
        <v>59</v>
      </c>
      <c r="L781" s="15" t="s">
        <v>1407</v>
      </c>
      <c r="M781" s="15"/>
      <c r="N781" s="15" t="s">
        <v>413</v>
      </c>
      <c r="O781" s="15"/>
      <c r="P781" s="16" t="s">
        <v>106</v>
      </c>
      <c r="Q781" s="17">
        <v>6899</v>
      </c>
      <c r="R781" s="18">
        <v>33</v>
      </c>
      <c r="S781" s="19">
        <v>5315.6794999999993</v>
      </c>
      <c r="T781" s="20" t="s">
        <v>75</v>
      </c>
      <c r="U781" s="21" t="s">
        <v>430</v>
      </c>
      <c r="V781" s="22" t="s">
        <v>77</v>
      </c>
      <c r="W781" s="23">
        <v>60</v>
      </c>
      <c r="X781" s="24"/>
    </row>
    <row r="782" spans="1:24" s="1" customFormat="1" ht="108" customHeight="1" x14ac:dyDescent="0.3">
      <c r="A782" s="11" t="s">
        <v>607</v>
      </c>
      <c r="B782" s="11" t="s">
        <v>1410</v>
      </c>
      <c r="C782" s="12" t="s">
        <v>1411</v>
      </c>
      <c r="D782" s="13"/>
      <c r="E782" s="67" t="str">
        <f>HYPERLINK("https://www.google.ru/search?q=260064-TYBK&amp;newwindow=1&amp;tbm=isch","Еще фото")</f>
        <v>Еще фото</v>
      </c>
      <c r="F782" s="14"/>
      <c r="G782" s="11" t="s">
        <v>290</v>
      </c>
      <c r="H782" s="11" t="s">
        <v>291</v>
      </c>
      <c r="I782" s="15" t="s">
        <v>292</v>
      </c>
      <c r="J782" s="15" t="s">
        <v>360</v>
      </c>
      <c r="K782" s="16" t="s">
        <v>71</v>
      </c>
      <c r="L782" s="15" t="s">
        <v>1412</v>
      </c>
      <c r="M782" s="15"/>
      <c r="N782" s="15" t="s">
        <v>218</v>
      </c>
      <c r="O782" s="15"/>
      <c r="P782" s="16" t="s">
        <v>106</v>
      </c>
      <c r="Q782" s="17">
        <v>11799</v>
      </c>
      <c r="R782" s="18">
        <v>30</v>
      </c>
      <c r="S782" s="19">
        <v>9498.1949999999979</v>
      </c>
      <c r="T782" s="20" t="s">
        <v>75</v>
      </c>
      <c r="U782" s="21" t="s">
        <v>430</v>
      </c>
      <c r="V782" s="22" t="s">
        <v>77</v>
      </c>
      <c r="W782" s="23">
        <v>4</v>
      </c>
      <c r="X782" s="24"/>
    </row>
    <row r="783" spans="1:24" s="1" customFormat="1" ht="108" customHeight="1" x14ac:dyDescent="0.3">
      <c r="A783" s="11" t="s">
        <v>607</v>
      </c>
      <c r="B783" s="11" t="s">
        <v>1413</v>
      </c>
      <c r="C783" s="12" t="s">
        <v>1414</v>
      </c>
      <c r="D783" s="13"/>
      <c r="E783" s="67" t="str">
        <f>HYPERLINK("https://www.google.ru/search?q=260845-NV&amp;newwindow=1&amp;tbm=isch","Еще фото")</f>
        <v>Еще фото</v>
      </c>
      <c r="F783" s="14"/>
      <c r="G783" s="11" t="s">
        <v>290</v>
      </c>
      <c r="H783" s="11" t="s">
        <v>291</v>
      </c>
      <c r="I783" s="15" t="s">
        <v>292</v>
      </c>
      <c r="J783" s="15" t="s">
        <v>360</v>
      </c>
      <c r="K783" s="16" t="s">
        <v>71</v>
      </c>
      <c r="L783" s="15" t="s">
        <v>1415</v>
      </c>
      <c r="M783" s="15"/>
      <c r="N783" s="15" t="s">
        <v>31</v>
      </c>
      <c r="O783" s="15"/>
      <c r="P783" s="16" t="s">
        <v>106</v>
      </c>
      <c r="Q783" s="17">
        <v>10099</v>
      </c>
      <c r="R783" s="18">
        <v>30</v>
      </c>
      <c r="S783" s="19">
        <v>8129.6949999999997</v>
      </c>
      <c r="T783" s="20" t="s">
        <v>75</v>
      </c>
      <c r="U783" s="21" t="s">
        <v>430</v>
      </c>
      <c r="V783" s="22" t="s">
        <v>77</v>
      </c>
      <c r="W783" s="23">
        <v>22</v>
      </c>
      <c r="X783" s="24"/>
    </row>
    <row r="784" spans="1:24" s="1" customFormat="1" ht="108" customHeight="1" x14ac:dyDescent="0.3">
      <c r="A784" s="11" t="s">
        <v>607</v>
      </c>
      <c r="B784" s="11" t="s">
        <v>1413</v>
      </c>
      <c r="C784" s="12" t="s">
        <v>1416</v>
      </c>
      <c r="D784" s="13"/>
      <c r="E784" s="67" t="str">
        <f>HYPERLINK("https://www.google.ru/search?q=260945-SG&amp;newwindow=1&amp;tbm=isch","Еще фото")</f>
        <v>Еще фото</v>
      </c>
      <c r="F784" s="14"/>
      <c r="G784" s="11" t="s">
        <v>290</v>
      </c>
      <c r="H784" s="11" t="s">
        <v>291</v>
      </c>
      <c r="I784" s="15" t="s">
        <v>292</v>
      </c>
      <c r="J784" s="15" t="s">
        <v>360</v>
      </c>
      <c r="K784" s="16" t="s">
        <v>71</v>
      </c>
      <c r="L784" s="15" t="s">
        <v>1415</v>
      </c>
      <c r="M784" s="15"/>
      <c r="N784" s="15" t="s">
        <v>55</v>
      </c>
      <c r="O784" s="15"/>
      <c r="P784" s="16" t="s">
        <v>106</v>
      </c>
      <c r="Q784" s="17">
        <v>8999</v>
      </c>
      <c r="R784" s="18">
        <v>30</v>
      </c>
      <c r="S784" s="19">
        <v>7244.1949999999997</v>
      </c>
      <c r="T784" s="20" t="s">
        <v>75</v>
      </c>
      <c r="U784" s="21" t="s">
        <v>430</v>
      </c>
      <c r="V784" s="22" t="s">
        <v>77</v>
      </c>
      <c r="W784" s="23">
        <v>13</v>
      </c>
      <c r="X784" s="24"/>
    </row>
    <row r="785" spans="1:24" s="1" customFormat="1" ht="108" customHeight="1" x14ac:dyDescent="0.3">
      <c r="A785" s="11" t="s">
        <v>607</v>
      </c>
      <c r="B785" s="11" t="s">
        <v>1417</v>
      </c>
      <c r="C785" s="12" t="s">
        <v>1418</v>
      </c>
      <c r="D785" s="13"/>
      <c r="E785" s="67" t="str">
        <f>HYPERLINK("https://www.google.ru/search?q=261433-BKNY&amp;newwindow=1&amp;tbm=isch","Еще фото")</f>
        <v>Еще фото</v>
      </c>
      <c r="F785" s="14"/>
      <c r="G785" s="11" t="s">
        <v>290</v>
      </c>
      <c r="H785" s="11" t="s">
        <v>291</v>
      </c>
      <c r="I785" s="15" t="s">
        <v>292</v>
      </c>
      <c r="J785" s="15" t="s">
        <v>360</v>
      </c>
      <c r="K785" s="16" t="s">
        <v>71</v>
      </c>
      <c r="L785" s="15" t="s">
        <v>1401</v>
      </c>
      <c r="M785" s="15"/>
      <c r="N785" s="15" t="s">
        <v>38</v>
      </c>
      <c r="O785" s="15"/>
      <c r="P785" s="16" t="s">
        <v>106</v>
      </c>
      <c r="Q785" s="17">
        <v>3799</v>
      </c>
      <c r="R785" s="18">
        <v>30</v>
      </c>
      <c r="S785" s="19">
        <v>3058.1950000000002</v>
      </c>
      <c r="T785" s="20" t="s">
        <v>75</v>
      </c>
      <c r="U785" s="21" t="s">
        <v>430</v>
      </c>
      <c r="V785" s="22" t="s">
        <v>77</v>
      </c>
      <c r="W785" s="23">
        <v>9</v>
      </c>
      <c r="X785" s="24"/>
    </row>
    <row r="786" spans="1:24" s="1" customFormat="1" ht="108" customHeight="1" x14ac:dyDescent="0.3">
      <c r="A786" s="11" t="s">
        <v>607</v>
      </c>
      <c r="B786" s="11" t="s">
        <v>1417</v>
      </c>
      <c r="C786" s="12" t="s">
        <v>1419</v>
      </c>
      <c r="D786" s="13"/>
      <c r="E786" s="67" t="str">
        <f>HYPERLINK("https://www.google.ru/search?q=261435-SG&amp;newwindow=1&amp;tbm=isch","Еще фото")</f>
        <v>Еще фото</v>
      </c>
      <c r="F786" s="14"/>
      <c r="G786" s="11" t="s">
        <v>290</v>
      </c>
      <c r="H786" s="11" t="s">
        <v>291</v>
      </c>
      <c r="I786" s="15" t="s">
        <v>292</v>
      </c>
      <c r="J786" s="15" t="s">
        <v>360</v>
      </c>
      <c r="K786" s="16" t="s">
        <v>71</v>
      </c>
      <c r="L786" s="15" t="s">
        <v>1401</v>
      </c>
      <c r="M786" s="15"/>
      <c r="N786" s="15" t="s">
        <v>55</v>
      </c>
      <c r="O786" s="15"/>
      <c r="P786" s="16" t="s">
        <v>106</v>
      </c>
      <c r="Q786" s="17">
        <v>3999</v>
      </c>
      <c r="R786" s="18">
        <v>30</v>
      </c>
      <c r="S786" s="19">
        <v>3219.1950000000002</v>
      </c>
      <c r="T786" s="20" t="s">
        <v>75</v>
      </c>
      <c r="U786" s="21" t="s">
        <v>430</v>
      </c>
      <c r="V786" s="22" t="s">
        <v>77</v>
      </c>
      <c r="W786" s="23">
        <v>16</v>
      </c>
      <c r="X786" s="24"/>
    </row>
    <row r="787" spans="1:24" s="1" customFormat="1" ht="108" customHeight="1" x14ac:dyDescent="0.3">
      <c r="A787" s="11" t="s">
        <v>607</v>
      </c>
      <c r="B787" s="11" t="s">
        <v>1420</v>
      </c>
      <c r="C787" s="12" t="s">
        <v>1421</v>
      </c>
      <c r="D787" s="13"/>
      <c r="E787" s="67" t="str">
        <f>HYPERLINK("https://www.google.ru/search?q=261965-BK&amp;newwindow=1&amp;tbm=isch","Еще фото")</f>
        <v>Еще фото</v>
      </c>
      <c r="F787" s="14"/>
      <c r="G787" s="11" t="s">
        <v>290</v>
      </c>
      <c r="H787" s="11" t="s">
        <v>291</v>
      </c>
      <c r="I787" s="15" t="s">
        <v>292</v>
      </c>
      <c r="J787" s="15" t="s">
        <v>360</v>
      </c>
      <c r="K787" s="16" t="s">
        <v>71</v>
      </c>
      <c r="L787" s="15" t="s">
        <v>1415</v>
      </c>
      <c r="M787" s="15"/>
      <c r="N787" s="15" t="s">
        <v>38</v>
      </c>
      <c r="O787" s="15"/>
      <c r="P787" s="16" t="s">
        <v>106</v>
      </c>
      <c r="Q787" s="17">
        <v>10999</v>
      </c>
      <c r="R787" s="18">
        <v>30</v>
      </c>
      <c r="S787" s="19">
        <v>8854.1949999999997</v>
      </c>
      <c r="T787" s="20" t="s">
        <v>75</v>
      </c>
      <c r="U787" s="21" t="s">
        <v>430</v>
      </c>
      <c r="V787" s="22" t="s">
        <v>77</v>
      </c>
      <c r="W787" s="23">
        <v>6</v>
      </c>
      <c r="X787" s="24"/>
    </row>
    <row r="788" spans="1:24" s="1" customFormat="1" ht="108" customHeight="1" x14ac:dyDescent="0.3">
      <c r="A788" s="11" t="s">
        <v>607</v>
      </c>
      <c r="B788" s="11" t="s">
        <v>1422</v>
      </c>
      <c r="C788" s="12" t="s">
        <v>1423</v>
      </c>
      <c r="D788" s="13"/>
      <c r="E788" s="67" t="str">
        <f>HYPERLINK("https://www.google.ru/search?q=262244-BKCC&amp;newwindow=1&amp;tbm=isch","Еще фото")</f>
        <v>Еще фото</v>
      </c>
      <c r="F788" s="14"/>
      <c r="G788" s="11" t="s">
        <v>290</v>
      </c>
      <c r="H788" s="11" t="s">
        <v>291</v>
      </c>
      <c r="I788" s="15" t="s">
        <v>292</v>
      </c>
      <c r="J788" s="15" t="s">
        <v>360</v>
      </c>
      <c r="K788" s="16" t="s">
        <v>71</v>
      </c>
      <c r="L788" s="15" t="s">
        <v>1424</v>
      </c>
      <c r="M788" s="15"/>
      <c r="N788" s="15" t="s">
        <v>38</v>
      </c>
      <c r="O788" s="15"/>
      <c r="P788" s="16" t="s">
        <v>106</v>
      </c>
      <c r="Q788" s="17">
        <v>5299</v>
      </c>
      <c r="R788" s="18">
        <v>30</v>
      </c>
      <c r="S788" s="19">
        <v>4265.6949999999997</v>
      </c>
      <c r="T788" s="20" t="s">
        <v>75</v>
      </c>
      <c r="U788" s="21" t="s">
        <v>430</v>
      </c>
      <c r="V788" s="22" t="s">
        <v>77</v>
      </c>
      <c r="W788" s="23">
        <v>4</v>
      </c>
      <c r="X788" s="24"/>
    </row>
    <row r="789" spans="1:24" s="1" customFormat="1" ht="108" customHeight="1" x14ac:dyDescent="0.3">
      <c r="A789" s="11" t="s">
        <v>607</v>
      </c>
      <c r="B789" s="11" t="s">
        <v>1425</v>
      </c>
      <c r="C789" s="12" t="s">
        <v>1426</v>
      </c>
      <c r="D789" s="13"/>
      <c r="E789" s="67" t="str">
        <f>HYPERLINK("https://www.google.ru/search?q=262344-BLBK&amp;newwindow=1&amp;tbm=isch","Еще фото")</f>
        <v>Еще фото</v>
      </c>
      <c r="F789" s="14"/>
      <c r="G789" s="11" t="s">
        <v>290</v>
      </c>
      <c r="H789" s="11" t="s">
        <v>291</v>
      </c>
      <c r="I789" s="15" t="s">
        <v>292</v>
      </c>
      <c r="J789" s="15" t="s">
        <v>360</v>
      </c>
      <c r="K789" s="16" t="s">
        <v>71</v>
      </c>
      <c r="L789" s="15" t="s">
        <v>1424</v>
      </c>
      <c r="M789" s="15"/>
      <c r="N789" s="15" t="s">
        <v>31</v>
      </c>
      <c r="O789" s="15"/>
      <c r="P789" s="16" t="s">
        <v>106</v>
      </c>
      <c r="Q789" s="17">
        <v>5299</v>
      </c>
      <c r="R789" s="18">
        <v>30</v>
      </c>
      <c r="S789" s="19">
        <v>4265.6949999999997</v>
      </c>
      <c r="T789" s="20" t="s">
        <v>75</v>
      </c>
      <c r="U789" s="21" t="s">
        <v>430</v>
      </c>
      <c r="V789" s="22" t="s">
        <v>77</v>
      </c>
      <c r="W789" s="23">
        <v>7</v>
      </c>
      <c r="X789" s="24"/>
    </row>
    <row r="790" spans="1:24" s="1" customFormat="1" ht="108" customHeight="1" x14ac:dyDescent="0.3">
      <c r="A790" s="11" t="s">
        <v>607</v>
      </c>
      <c r="B790" s="11" t="s">
        <v>1427</v>
      </c>
      <c r="C790" s="12" t="s">
        <v>1428</v>
      </c>
      <c r="D790" s="13"/>
      <c r="E790" s="67" t="str">
        <f>HYPERLINK("https://www.google.ru/search?q=281103-16GR&amp;newwindow=1&amp;tbm=isch","Еще фото")</f>
        <v>Еще фото</v>
      </c>
      <c r="F790" s="14"/>
      <c r="G790" s="11" t="s">
        <v>1429</v>
      </c>
      <c r="H790" s="11" t="s">
        <v>669</v>
      </c>
      <c r="I790" s="15" t="s">
        <v>1396</v>
      </c>
      <c r="J790" s="15" t="s">
        <v>360</v>
      </c>
      <c r="K790" s="16" t="s">
        <v>71</v>
      </c>
      <c r="L790" s="15" t="s">
        <v>1430</v>
      </c>
      <c r="M790" s="15"/>
      <c r="N790" s="15" t="s">
        <v>218</v>
      </c>
      <c r="O790" s="15"/>
      <c r="P790" s="16" t="s">
        <v>401</v>
      </c>
      <c r="Q790" s="17">
        <v>2149</v>
      </c>
      <c r="R790" s="18">
        <v>56.83</v>
      </c>
      <c r="S790" s="26">
        <v>1066.9354999999998</v>
      </c>
      <c r="T790" s="20" t="s">
        <v>75</v>
      </c>
      <c r="U790" s="21" t="s">
        <v>1398</v>
      </c>
      <c r="V790" s="22" t="s">
        <v>1046</v>
      </c>
      <c r="W790" s="23">
        <v>24</v>
      </c>
      <c r="X790" s="24"/>
    </row>
    <row r="791" spans="1:24" s="1" customFormat="1" ht="108" customHeight="1" x14ac:dyDescent="0.3">
      <c r="A791" s="11" t="s">
        <v>607</v>
      </c>
      <c r="B791" s="11" t="s">
        <v>1431</v>
      </c>
      <c r="C791" s="12" t="s">
        <v>1432</v>
      </c>
      <c r="D791" s="13"/>
      <c r="E791" s="67" t="str">
        <f>HYPERLINK("https://www.google.ru/search?q=281784-17YW&amp;newwindow=1&amp;tbm=isch","Еще фото")</f>
        <v>Еще фото</v>
      </c>
      <c r="F791" s="14"/>
      <c r="G791" s="11" t="s">
        <v>1429</v>
      </c>
      <c r="H791" s="11" t="s">
        <v>669</v>
      </c>
      <c r="I791" s="15" t="s">
        <v>1396</v>
      </c>
      <c r="J791" s="15" t="s">
        <v>360</v>
      </c>
      <c r="K791" s="16" t="s">
        <v>71</v>
      </c>
      <c r="L791" s="15" t="s">
        <v>1433</v>
      </c>
      <c r="M791" s="15"/>
      <c r="N791" s="15" t="s">
        <v>225</v>
      </c>
      <c r="O791" s="15"/>
      <c r="P791" s="16" t="s">
        <v>500</v>
      </c>
      <c r="Q791" s="17">
        <v>1699</v>
      </c>
      <c r="R791" s="18">
        <v>55.4</v>
      </c>
      <c r="S791" s="26">
        <v>871.43549999999993</v>
      </c>
      <c r="T791" s="20" t="s">
        <v>75</v>
      </c>
      <c r="U791" s="21" t="s">
        <v>1434</v>
      </c>
      <c r="V791" s="22" t="s">
        <v>77</v>
      </c>
      <c r="W791" s="23">
        <v>16</v>
      </c>
      <c r="X791" s="24"/>
    </row>
    <row r="792" spans="1:24" s="1" customFormat="1" ht="108" customHeight="1" x14ac:dyDescent="0.3">
      <c r="A792" s="11" t="s">
        <v>607</v>
      </c>
      <c r="B792" s="11" t="s">
        <v>1435</v>
      </c>
      <c r="C792" s="12" t="s">
        <v>1436</v>
      </c>
      <c r="D792" s="13"/>
      <c r="E792" s="67" t="str">
        <f>HYPERLINK("https://www.google.ru/search?q=281111-17BK&amp;newwindow=1&amp;tbm=isch","Еще фото")</f>
        <v>Еще фото</v>
      </c>
      <c r="F792" s="14"/>
      <c r="G792" s="11" t="s">
        <v>1429</v>
      </c>
      <c r="H792" s="11" t="s">
        <v>669</v>
      </c>
      <c r="I792" s="15" t="s">
        <v>1396</v>
      </c>
      <c r="J792" s="15" t="s">
        <v>360</v>
      </c>
      <c r="K792" s="16" t="s">
        <v>71</v>
      </c>
      <c r="L792" s="15"/>
      <c r="M792" s="15"/>
      <c r="N792" s="15" t="s">
        <v>38</v>
      </c>
      <c r="O792" s="15"/>
      <c r="P792" s="16" t="s">
        <v>401</v>
      </c>
      <c r="Q792" s="53">
        <v>899</v>
      </c>
      <c r="R792" s="18">
        <v>49.08</v>
      </c>
      <c r="S792" s="26">
        <v>526.43549999999993</v>
      </c>
      <c r="T792" s="20" t="s">
        <v>75</v>
      </c>
      <c r="U792" s="21" t="s">
        <v>1437</v>
      </c>
      <c r="V792" s="22" t="s">
        <v>77</v>
      </c>
      <c r="W792" s="23">
        <v>48</v>
      </c>
      <c r="X792" s="24"/>
    </row>
    <row r="793" spans="1:24" s="1" customFormat="1" ht="108" customHeight="1" x14ac:dyDescent="0.3">
      <c r="A793" s="11" t="s">
        <v>607</v>
      </c>
      <c r="B793" s="11" t="s">
        <v>1438</v>
      </c>
      <c r="C793" s="12" t="s">
        <v>1439</v>
      </c>
      <c r="D793" s="13"/>
      <c r="E793" s="67" t="str">
        <f>HYPERLINK("https://www.google.ru/search?q=281784-17GE&amp;newwindow=1&amp;tbm=isch","Еще фото")</f>
        <v>Еще фото</v>
      </c>
      <c r="F793" s="14"/>
      <c r="G793" s="11" t="s">
        <v>1429</v>
      </c>
      <c r="H793" s="11" t="s">
        <v>669</v>
      </c>
      <c r="I793" s="15" t="s">
        <v>1396</v>
      </c>
      <c r="J793" s="15" t="s">
        <v>360</v>
      </c>
      <c r="K793" s="16" t="s">
        <v>71</v>
      </c>
      <c r="L793" s="15"/>
      <c r="M793" s="15"/>
      <c r="N793" s="15" t="s">
        <v>218</v>
      </c>
      <c r="O793" s="15"/>
      <c r="P793" s="16" t="s">
        <v>500</v>
      </c>
      <c r="Q793" s="17">
        <v>1699</v>
      </c>
      <c r="R793" s="18">
        <v>48.92</v>
      </c>
      <c r="S793" s="26">
        <v>997.93549999999993</v>
      </c>
      <c r="T793" s="20" t="s">
        <v>75</v>
      </c>
      <c r="U793" s="21" t="s">
        <v>1440</v>
      </c>
      <c r="V793" s="22" t="s">
        <v>77</v>
      </c>
      <c r="W793" s="23">
        <v>17</v>
      </c>
      <c r="X793" s="24"/>
    </row>
    <row r="794" spans="1:24" s="1" customFormat="1" ht="108" customHeight="1" x14ac:dyDescent="0.3">
      <c r="A794" s="11" t="s">
        <v>607</v>
      </c>
      <c r="B794" s="11" t="s">
        <v>1435</v>
      </c>
      <c r="C794" s="12" t="s">
        <v>1441</v>
      </c>
      <c r="D794" s="13"/>
      <c r="E794" s="67" t="str">
        <f>HYPERLINK("https://www.google.ru/search?q=281111-16WH&amp;newwindow=1&amp;tbm=isch","Еще фото")</f>
        <v>Еще фото</v>
      </c>
      <c r="F794" s="14"/>
      <c r="G794" s="11" t="s">
        <v>1429</v>
      </c>
      <c r="H794" s="11" t="s">
        <v>669</v>
      </c>
      <c r="I794" s="15" t="s">
        <v>1396</v>
      </c>
      <c r="J794" s="15" t="s">
        <v>360</v>
      </c>
      <c r="K794" s="16" t="s">
        <v>71</v>
      </c>
      <c r="L794" s="15" t="s">
        <v>1442</v>
      </c>
      <c r="M794" s="15"/>
      <c r="N794" s="15" t="s">
        <v>173</v>
      </c>
      <c r="O794" s="15"/>
      <c r="P794" s="16" t="s">
        <v>401</v>
      </c>
      <c r="Q794" s="53">
        <v>899</v>
      </c>
      <c r="R794" s="18">
        <v>45.74</v>
      </c>
      <c r="S794" s="26">
        <v>560.93549999999993</v>
      </c>
      <c r="T794" s="20" t="s">
        <v>75</v>
      </c>
      <c r="U794" s="21" t="s">
        <v>1443</v>
      </c>
      <c r="V794" s="22" t="s">
        <v>77</v>
      </c>
      <c r="W794" s="23">
        <v>20</v>
      </c>
      <c r="X794" s="24"/>
    </row>
    <row r="795" spans="1:24" s="1" customFormat="1" ht="108" customHeight="1" x14ac:dyDescent="0.3">
      <c r="A795" s="11" t="s">
        <v>607</v>
      </c>
      <c r="B795" s="11" t="s">
        <v>1444</v>
      </c>
      <c r="C795" s="12" t="s">
        <v>1445</v>
      </c>
      <c r="D795" s="13"/>
      <c r="E795" s="67" t="str">
        <f>HYPERLINK("https://www.google.ru/search?q=281103-17WH&amp;newwindow=1&amp;tbm=isch","Еще фото")</f>
        <v>Еще фото</v>
      </c>
      <c r="F795" s="14"/>
      <c r="G795" s="11" t="s">
        <v>1429</v>
      </c>
      <c r="H795" s="11" t="s">
        <v>669</v>
      </c>
      <c r="I795" s="15" t="s">
        <v>1396</v>
      </c>
      <c r="J795" s="15" t="s">
        <v>360</v>
      </c>
      <c r="K795" s="16" t="s">
        <v>71</v>
      </c>
      <c r="L795" s="15" t="s">
        <v>1446</v>
      </c>
      <c r="M795" s="15"/>
      <c r="N795" s="15" t="s">
        <v>173</v>
      </c>
      <c r="O795" s="15"/>
      <c r="P795" s="16" t="s">
        <v>1447</v>
      </c>
      <c r="Q795" s="17">
        <v>2599</v>
      </c>
      <c r="R795" s="18">
        <v>45.06</v>
      </c>
      <c r="S795" s="19">
        <v>1641.9354999999998</v>
      </c>
      <c r="T795" s="20" t="s">
        <v>75</v>
      </c>
      <c r="U795" s="21" t="s">
        <v>1448</v>
      </c>
      <c r="V795" s="22" t="s">
        <v>77</v>
      </c>
      <c r="W795" s="23">
        <v>42</v>
      </c>
      <c r="X795" s="24"/>
    </row>
    <row r="796" spans="1:24" s="1" customFormat="1" ht="108" customHeight="1" x14ac:dyDescent="0.3">
      <c r="A796" s="11" t="s">
        <v>607</v>
      </c>
      <c r="B796" s="11" t="s">
        <v>1449</v>
      </c>
      <c r="C796" s="12" t="s">
        <v>1450</v>
      </c>
      <c r="D796" s="13"/>
      <c r="E796" s="67" t="str">
        <f>HYPERLINK("https://www.google.ru/search?q=281023-15LNT&amp;newwindow=1&amp;tbm=isch","Еще фото")</f>
        <v>Еще фото</v>
      </c>
      <c r="F796" s="14"/>
      <c r="G796" s="11" t="s">
        <v>1429</v>
      </c>
      <c r="H796" s="11" t="s">
        <v>669</v>
      </c>
      <c r="I796" s="15" t="s">
        <v>1396</v>
      </c>
      <c r="J796" s="15" t="s">
        <v>360</v>
      </c>
      <c r="K796" s="16" t="s">
        <v>71</v>
      </c>
      <c r="L796" s="15" t="s">
        <v>1451</v>
      </c>
      <c r="M796" s="15"/>
      <c r="N796" s="15" t="s">
        <v>218</v>
      </c>
      <c r="O796" s="15"/>
      <c r="P796" s="16" t="s">
        <v>106</v>
      </c>
      <c r="Q796" s="53">
        <v>599</v>
      </c>
      <c r="R796" s="18">
        <v>33</v>
      </c>
      <c r="S796" s="26">
        <v>461.52949999999993</v>
      </c>
      <c r="T796" s="20" t="s">
        <v>75</v>
      </c>
      <c r="U796" s="21" t="s">
        <v>1452</v>
      </c>
      <c r="V796" s="22" t="s">
        <v>1046</v>
      </c>
      <c r="W796" s="23">
        <v>10</v>
      </c>
      <c r="X796" s="24"/>
    </row>
    <row r="797" spans="1:24" s="1" customFormat="1" ht="108" customHeight="1" x14ac:dyDescent="0.3">
      <c r="A797" s="11" t="s">
        <v>607</v>
      </c>
      <c r="B797" s="11" t="s">
        <v>1444</v>
      </c>
      <c r="C797" s="12" t="s">
        <v>1453</v>
      </c>
      <c r="D797" s="13"/>
      <c r="E797" s="67" t="str">
        <f>HYPERLINK("https://www.google.ru/search?q=281103-17BK&amp;newwindow=1&amp;tbm=isch","Еще фото")</f>
        <v>Еще фото</v>
      </c>
      <c r="F797" s="14"/>
      <c r="G797" s="11" t="s">
        <v>1429</v>
      </c>
      <c r="H797" s="11" t="s">
        <v>669</v>
      </c>
      <c r="I797" s="15" t="s">
        <v>1396</v>
      </c>
      <c r="J797" s="15" t="s">
        <v>360</v>
      </c>
      <c r="K797" s="16" t="s">
        <v>71</v>
      </c>
      <c r="L797" s="15" t="s">
        <v>1430</v>
      </c>
      <c r="M797" s="15"/>
      <c r="N797" s="15" t="s">
        <v>38</v>
      </c>
      <c r="O797" s="15"/>
      <c r="P797" s="16" t="s">
        <v>401</v>
      </c>
      <c r="Q797" s="17">
        <v>2149</v>
      </c>
      <c r="R797" s="18">
        <v>33</v>
      </c>
      <c r="S797" s="19">
        <v>1655.8044999999997</v>
      </c>
      <c r="T797" s="20" t="s">
        <v>75</v>
      </c>
      <c r="U797" s="21" t="s">
        <v>1437</v>
      </c>
      <c r="V797" s="22" t="s">
        <v>77</v>
      </c>
      <c r="W797" s="23">
        <v>3</v>
      </c>
      <c r="X797" s="24"/>
    </row>
    <row r="798" spans="1:24" s="1" customFormat="1" ht="108" customHeight="1" x14ac:dyDescent="0.3">
      <c r="A798" s="11" t="s">
        <v>607</v>
      </c>
      <c r="B798" s="11" t="s">
        <v>1435</v>
      </c>
      <c r="C798" s="12" t="s">
        <v>1454</v>
      </c>
      <c r="D798" s="13"/>
      <c r="E798" s="67" t="str">
        <f>HYPERLINK("https://www.google.ru/search?q=281111-16YW&amp;newwindow=1&amp;tbm=isch","Еще фото")</f>
        <v>Еще фото</v>
      </c>
      <c r="F798" s="14"/>
      <c r="G798" s="11" t="s">
        <v>1429</v>
      </c>
      <c r="H798" s="11" t="s">
        <v>669</v>
      </c>
      <c r="I798" s="15" t="s">
        <v>1396</v>
      </c>
      <c r="J798" s="15" t="s">
        <v>360</v>
      </c>
      <c r="K798" s="16" t="s">
        <v>71</v>
      </c>
      <c r="L798" s="15" t="s">
        <v>1455</v>
      </c>
      <c r="M798" s="15"/>
      <c r="N798" s="15" t="s">
        <v>225</v>
      </c>
      <c r="O798" s="15"/>
      <c r="P798" s="16" t="s">
        <v>106</v>
      </c>
      <c r="Q798" s="53">
        <v>899</v>
      </c>
      <c r="R798" s="18">
        <v>33</v>
      </c>
      <c r="S798" s="26">
        <v>692.67949999999996</v>
      </c>
      <c r="T798" s="20" t="s">
        <v>75</v>
      </c>
      <c r="U798" s="21" t="s">
        <v>1456</v>
      </c>
      <c r="V798" s="22" t="s">
        <v>77</v>
      </c>
      <c r="W798" s="23">
        <v>7</v>
      </c>
      <c r="X798" s="24"/>
    </row>
    <row r="799" spans="1:24" s="1" customFormat="1" ht="108" customHeight="1" x14ac:dyDescent="0.3">
      <c r="A799" s="11" t="s">
        <v>607</v>
      </c>
      <c r="B799" s="11" t="s">
        <v>1435</v>
      </c>
      <c r="C799" s="12" t="s">
        <v>1457</v>
      </c>
      <c r="D799" s="13"/>
      <c r="E799" s="67" t="str">
        <f>HYPERLINK("https://www.google.ru/search?q=281111-17WH&amp;newwindow=1&amp;tbm=isch","Еще фото")</f>
        <v>Еще фото</v>
      </c>
      <c r="F799" s="14"/>
      <c r="G799" s="11" t="s">
        <v>1429</v>
      </c>
      <c r="H799" s="11" t="s">
        <v>669</v>
      </c>
      <c r="I799" s="15" t="s">
        <v>1396</v>
      </c>
      <c r="J799" s="15" t="s">
        <v>360</v>
      </c>
      <c r="K799" s="16" t="s">
        <v>71</v>
      </c>
      <c r="L799" s="15"/>
      <c r="M799" s="15"/>
      <c r="N799" s="15" t="s">
        <v>173</v>
      </c>
      <c r="O799" s="15"/>
      <c r="P799" s="16" t="s">
        <v>401</v>
      </c>
      <c r="Q799" s="53">
        <v>899</v>
      </c>
      <c r="R799" s="18">
        <v>33</v>
      </c>
      <c r="S799" s="26">
        <v>692.67949999999996</v>
      </c>
      <c r="T799" s="20" t="s">
        <v>75</v>
      </c>
      <c r="U799" s="21" t="s">
        <v>1448</v>
      </c>
      <c r="V799" s="22" t="s">
        <v>77</v>
      </c>
      <c r="W799" s="23">
        <v>54</v>
      </c>
      <c r="X799" s="24"/>
    </row>
    <row r="800" spans="1:24" s="1" customFormat="1" ht="108" customHeight="1" x14ac:dyDescent="0.3">
      <c r="A800" s="11" t="s">
        <v>607</v>
      </c>
      <c r="B800" s="11" t="s">
        <v>1458</v>
      </c>
      <c r="C800" s="12" t="s">
        <v>1459</v>
      </c>
      <c r="D800" s="13"/>
      <c r="E800" s="67" t="str">
        <f>HYPERLINK("https://www.google.ru/search?q=281404-16YW&amp;newwindow=1&amp;tbm=isch","Еще фото")</f>
        <v>Еще фото</v>
      </c>
      <c r="F800" s="14"/>
      <c r="G800" s="11" t="s">
        <v>1429</v>
      </c>
      <c r="H800" s="11" t="s">
        <v>669</v>
      </c>
      <c r="I800" s="15" t="s">
        <v>1396</v>
      </c>
      <c r="J800" s="15" t="s">
        <v>360</v>
      </c>
      <c r="K800" s="16" t="s">
        <v>71</v>
      </c>
      <c r="L800" s="15" t="s">
        <v>1460</v>
      </c>
      <c r="M800" s="15"/>
      <c r="N800" s="15" t="s">
        <v>225</v>
      </c>
      <c r="O800" s="15"/>
      <c r="P800" s="16" t="s">
        <v>106</v>
      </c>
      <c r="Q800" s="17">
        <v>1699</v>
      </c>
      <c r="R800" s="18">
        <v>33</v>
      </c>
      <c r="S800" s="19">
        <v>1309.0794999999998</v>
      </c>
      <c r="T800" s="20" t="s">
        <v>75</v>
      </c>
      <c r="U800" s="21" t="s">
        <v>1456</v>
      </c>
      <c r="V800" s="22" t="s">
        <v>77</v>
      </c>
      <c r="W800" s="23">
        <v>20</v>
      </c>
      <c r="X800" s="24"/>
    </row>
    <row r="801" spans="1:24" s="1" customFormat="1" ht="108" customHeight="1" x14ac:dyDescent="0.3">
      <c r="A801" s="11" t="s">
        <v>607</v>
      </c>
      <c r="B801" s="11" t="s">
        <v>1438</v>
      </c>
      <c r="C801" s="12" t="s">
        <v>1461</v>
      </c>
      <c r="D801" s="13"/>
      <c r="E801" s="67" t="str">
        <f>HYPERLINK("https://www.google.ru/search?q=281784-17BL&amp;newwindow=1&amp;tbm=isch","Еще фото")</f>
        <v>Еще фото</v>
      </c>
      <c r="F801" s="14"/>
      <c r="G801" s="11" t="s">
        <v>1429</v>
      </c>
      <c r="H801" s="11" t="s">
        <v>669</v>
      </c>
      <c r="I801" s="15" t="s">
        <v>1396</v>
      </c>
      <c r="J801" s="15" t="s">
        <v>360</v>
      </c>
      <c r="K801" s="16" t="s">
        <v>71</v>
      </c>
      <c r="L801" s="15" t="s">
        <v>1433</v>
      </c>
      <c r="M801" s="15"/>
      <c r="N801" s="15" t="s">
        <v>122</v>
      </c>
      <c r="O801" s="15"/>
      <c r="P801" s="16" t="s">
        <v>106</v>
      </c>
      <c r="Q801" s="17">
        <v>1999</v>
      </c>
      <c r="R801" s="18">
        <v>33</v>
      </c>
      <c r="S801" s="19">
        <v>1540.2294999999997</v>
      </c>
      <c r="T801" s="20" t="s">
        <v>75</v>
      </c>
      <c r="U801" s="21" t="s">
        <v>1462</v>
      </c>
      <c r="V801" s="22" t="s">
        <v>77</v>
      </c>
      <c r="W801" s="23">
        <v>12</v>
      </c>
      <c r="X801" s="24"/>
    </row>
    <row r="802" spans="1:24" s="1" customFormat="1" ht="108" customHeight="1" x14ac:dyDescent="0.3">
      <c r="A802" s="11" t="s">
        <v>607</v>
      </c>
      <c r="B802" s="11" t="s">
        <v>1463</v>
      </c>
      <c r="C802" s="12" t="s">
        <v>1464</v>
      </c>
      <c r="D802" s="13"/>
      <c r="E802" s="67" t="str">
        <f>HYPERLINK("https://www.google.ru/search?q=281022-16PT&amp;newwindow=1&amp;tbm=isch","Еще фото")</f>
        <v>Еще фото</v>
      </c>
      <c r="F802" s="14"/>
      <c r="G802" s="11" t="s">
        <v>1429</v>
      </c>
      <c r="H802" s="11" t="s">
        <v>669</v>
      </c>
      <c r="I802" s="15" t="s">
        <v>1396</v>
      </c>
      <c r="J802" s="15" t="s">
        <v>360</v>
      </c>
      <c r="K802" s="16" t="s">
        <v>71</v>
      </c>
      <c r="L802" s="15" t="s">
        <v>1465</v>
      </c>
      <c r="M802" s="15"/>
      <c r="N802" s="15" t="s">
        <v>122</v>
      </c>
      <c r="O802" s="15"/>
      <c r="P802" s="16" t="s">
        <v>106</v>
      </c>
      <c r="Q802" s="17">
        <v>2099</v>
      </c>
      <c r="R802" s="18">
        <v>30</v>
      </c>
      <c r="S802" s="19">
        <v>1689.6949999999997</v>
      </c>
      <c r="T802" s="20" t="s">
        <v>75</v>
      </c>
      <c r="U802" s="21" t="s">
        <v>1466</v>
      </c>
      <c r="V802" s="22" t="s">
        <v>77</v>
      </c>
      <c r="W802" s="23">
        <v>1</v>
      </c>
      <c r="X802" s="24"/>
    </row>
    <row r="803" spans="1:24" s="1" customFormat="1" ht="108" customHeight="1" x14ac:dyDescent="0.3">
      <c r="A803" s="11" t="s">
        <v>607</v>
      </c>
      <c r="B803" s="11" t="s">
        <v>1467</v>
      </c>
      <c r="C803" s="12" t="s">
        <v>1468</v>
      </c>
      <c r="D803" s="13"/>
      <c r="E803" s="67" t="str">
        <f>HYPERLINK("https://www.google.ru/search?q=281022-17PT&amp;newwindow=1&amp;tbm=isch","Еще фото")</f>
        <v>Еще фото</v>
      </c>
      <c r="F803" s="55" t="s">
        <v>688</v>
      </c>
      <c r="G803" s="11" t="s">
        <v>1429</v>
      </c>
      <c r="H803" s="11" t="s">
        <v>669</v>
      </c>
      <c r="I803" s="15" t="s">
        <v>1396</v>
      </c>
      <c r="J803" s="15" t="s">
        <v>360</v>
      </c>
      <c r="K803" s="16" t="s">
        <v>71</v>
      </c>
      <c r="L803" s="15" t="s">
        <v>1465</v>
      </c>
      <c r="M803" s="15"/>
      <c r="N803" s="15" t="s">
        <v>31</v>
      </c>
      <c r="O803" s="15"/>
      <c r="P803" s="16" t="s">
        <v>500</v>
      </c>
      <c r="Q803" s="17">
        <v>2099</v>
      </c>
      <c r="R803" s="18">
        <v>30</v>
      </c>
      <c r="S803" s="19">
        <v>1689.6949999999997</v>
      </c>
      <c r="T803" s="20" t="s">
        <v>75</v>
      </c>
      <c r="U803" s="21" t="s">
        <v>1469</v>
      </c>
      <c r="V803" s="22" t="s">
        <v>77</v>
      </c>
      <c r="W803" s="23">
        <v>33</v>
      </c>
      <c r="X803" s="24"/>
    </row>
    <row r="804" spans="1:24" s="1" customFormat="1" ht="108" customHeight="1" x14ac:dyDescent="0.3">
      <c r="A804" s="11" t="s">
        <v>607</v>
      </c>
      <c r="B804" s="11" t="s">
        <v>1449</v>
      </c>
      <c r="C804" s="12" t="s">
        <v>1470</v>
      </c>
      <c r="D804" s="13"/>
      <c r="E804" s="67" t="str">
        <f>HYPERLINK("https://www.google.ru/search?q=281023-15LWH&amp;newwindow=1&amp;tbm=isch","Еще фото")</f>
        <v>Еще фото</v>
      </c>
      <c r="F804" s="14"/>
      <c r="G804" s="11" t="s">
        <v>1429</v>
      </c>
      <c r="H804" s="11" t="s">
        <v>669</v>
      </c>
      <c r="I804" s="15" t="s">
        <v>1396</v>
      </c>
      <c r="J804" s="15" t="s">
        <v>360</v>
      </c>
      <c r="K804" s="16" t="s">
        <v>71</v>
      </c>
      <c r="L804" s="15" t="s">
        <v>1471</v>
      </c>
      <c r="M804" s="15"/>
      <c r="N804" s="15" t="s">
        <v>173</v>
      </c>
      <c r="O804" s="15"/>
      <c r="P804" s="16" t="s">
        <v>106</v>
      </c>
      <c r="Q804" s="53">
        <v>499</v>
      </c>
      <c r="R804" s="18">
        <v>30</v>
      </c>
      <c r="S804" s="26">
        <v>401.69499999999999</v>
      </c>
      <c r="T804" s="20" t="s">
        <v>75</v>
      </c>
      <c r="U804" s="21" t="s">
        <v>1472</v>
      </c>
      <c r="V804" s="22" t="s">
        <v>1046</v>
      </c>
      <c r="W804" s="23">
        <v>4</v>
      </c>
      <c r="X804" s="24"/>
    </row>
    <row r="805" spans="1:24" s="1" customFormat="1" ht="108" customHeight="1" x14ac:dyDescent="0.3">
      <c r="A805" s="11" t="s">
        <v>607</v>
      </c>
      <c r="B805" s="11" t="s">
        <v>1449</v>
      </c>
      <c r="C805" s="12" t="s">
        <v>1473</v>
      </c>
      <c r="D805" s="13"/>
      <c r="E805" s="67" t="str">
        <f>HYPERLINK("https://www.google.ru/search?q=281023-16LNT&amp;newwindow=1&amp;tbm=isch","Еще фото")</f>
        <v>Еще фото</v>
      </c>
      <c r="F805" s="14"/>
      <c r="G805" s="11" t="s">
        <v>1429</v>
      </c>
      <c r="H805" s="11" t="s">
        <v>669</v>
      </c>
      <c r="I805" s="15" t="s">
        <v>1396</v>
      </c>
      <c r="J805" s="15" t="s">
        <v>360</v>
      </c>
      <c r="K805" s="16" t="s">
        <v>71</v>
      </c>
      <c r="L805" s="15" t="s">
        <v>1471</v>
      </c>
      <c r="M805" s="15"/>
      <c r="N805" s="15" t="s">
        <v>1474</v>
      </c>
      <c r="O805" s="15"/>
      <c r="P805" s="16" t="s">
        <v>401</v>
      </c>
      <c r="Q805" s="53">
        <v>499</v>
      </c>
      <c r="R805" s="18">
        <v>30</v>
      </c>
      <c r="S805" s="26">
        <v>401.69499999999999</v>
      </c>
      <c r="T805" s="20" t="s">
        <v>75</v>
      </c>
      <c r="U805" s="21" t="s">
        <v>1475</v>
      </c>
      <c r="V805" s="22" t="s">
        <v>77</v>
      </c>
      <c r="W805" s="23">
        <v>49</v>
      </c>
      <c r="X805" s="24"/>
    </row>
    <row r="806" spans="1:24" s="1" customFormat="1" ht="108" customHeight="1" x14ac:dyDescent="0.3">
      <c r="A806" s="11" t="s">
        <v>607</v>
      </c>
      <c r="B806" s="11" t="s">
        <v>1449</v>
      </c>
      <c r="C806" s="12" t="s">
        <v>1476</v>
      </c>
      <c r="D806" s="13"/>
      <c r="E806" s="67" t="str">
        <f>HYPERLINK("https://www.google.ru/search?q=281023-16WH&amp;newwindow=1&amp;tbm=isch","Еще фото")</f>
        <v>Еще фото</v>
      </c>
      <c r="F806" s="14"/>
      <c r="G806" s="11" t="s">
        <v>1429</v>
      </c>
      <c r="H806" s="11" t="s">
        <v>669</v>
      </c>
      <c r="I806" s="15" t="s">
        <v>1396</v>
      </c>
      <c r="J806" s="15" t="s">
        <v>360</v>
      </c>
      <c r="K806" s="16" t="s">
        <v>71</v>
      </c>
      <c r="L806" s="15" t="s">
        <v>1446</v>
      </c>
      <c r="M806" s="15"/>
      <c r="N806" s="15" t="s">
        <v>173</v>
      </c>
      <c r="O806" s="15"/>
      <c r="P806" s="16" t="s">
        <v>401</v>
      </c>
      <c r="Q806" s="53">
        <v>499</v>
      </c>
      <c r="R806" s="18">
        <v>30</v>
      </c>
      <c r="S806" s="26">
        <v>401.69499999999999</v>
      </c>
      <c r="T806" s="20" t="s">
        <v>75</v>
      </c>
      <c r="U806" s="21" t="s">
        <v>1443</v>
      </c>
      <c r="V806" s="22" t="s">
        <v>77</v>
      </c>
      <c r="W806" s="23">
        <v>30</v>
      </c>
      <c r="X806" s="24"/>
    </row>
    <row r="807" spans="1:24" s="1" customFormat="1" ht="108" customHeight="1" x14ac:dyDescent="0.3">
      <c r="A807" s="11" t="s">
        <v>607</v>
      </c>
      <c r="B807" s="11" t="s">
        <v>1449</v>
      </c>
      <c r="C807" s="12" t="s">
        <v>1477</v>
      </c>
      <c r="D807" s="13"/>
      <c r="E807" s="67" t="str">
        <f>HYPERLINK("https://www.google.ru/search?q=281023-16YW&amp;newwindow=1&amp;tbm=isch","Еще фото")</f>
        <v>Еще фото</v>
      </c>
      <c r="F807" s="14"/>
      <c r="G807" s="11" t="s">
        <v>1429</v>
      </c>
      <c r="H807" s="11" t="s">
        <v>669</v>
      </c>
      <c r="I807" s="15" t="s">
        <v>1396</v>
      </c>
      <c r="J807" s="15" t="s">
        <v>360</v>
      </c>
      <c r="K807" s="16" t="s">
        <v>71</v>
      </c>
      <c r="L807" s="15" t="s">
        <v>1446</v>
      </c>
      <c r="M807" s="15"/>
      <c r="N807" s="15" t="s">
        <v>225</v>
      </c>
      <c r="O807" s="15"/>
      <c r="P807" s="16" t="s">
        <v>401</v>
      </c>
      <c r="Q807" s="53">
        <v>499</v>
      </c>
      <c r="R807" s="18">
        <v>30</v>
      </c>
      <c r="S807" s="26">
        <v>401.69499999999999</v>
      </c>
      <c r="T807" s="20" t="s">
        <v>75</v>
      </c>
      <c r="U807" s="21" t="s">
        <v>1456</v>
      </c>
      <c r="V807" s="22" t="s">
        <v>77</v>
      </c>
      <c r="W807" s="23">
        <v>18</v>
      </c>
      <c r="X807" s="24"/>
    </row>
    <row r="808" spans="1:24" s="1" customFormat="1" ht="108" customHeight="1" x14ac:dyDescent="0.3">
      <c r="A808" s="11" t="s">
        <v>607</v>
      </c>
      <c r="B808" s="11" t="s">
        <v>1478</v>
      </c>
      <c r="C808" s="12" t="s">
        <v>1479</v>
      </c>
      <c r="D808" s="13"/>
      <c r="E808" s="67" t="str">
        <f>HYPERLINK("https://www.google.ru/search?q=281028-16BK&amp;newwindow=1&amp;tbm=isch","Еще фото")</f>
        <v>Еще фото</v>
      </c>
      <c r="F808" s="14"/>
      <c r="G808" s="11" t="s">
        <v>1429</v>
      </c>
      <c r="H808" s="11" t="s">
        <v>669</v>
      </c>
      <c r="I808" s="15" t="s">
        <v>1396</v>
      </c>
      <c r="J808" s="15" t="s">
        <v>360</v>
      </c>
      <c r="K808" s="16" t="s">
        <v>71</v>
      </c>
      <c r="L808" s="15"/>
      <c r="M808" s="15"/>
      <c r="N808" s="15" t="s">
        <v>38</v>
      </c>
      <c r="O808" s="15"/>
      <c r="P808" s="16" t="s">
        <v>401</v>
      </c>
      <c r="Q808" s="17">
        <v>1249</v>
      </c>
      <c r="R808" s="18">
        <v>30</v>
      </c>
      <c r="S808" s="26">
        <v>1005.4449999999998</v>
      </c>
      <c r="T808" s="20" t="s">
        <v>75</v>
      </c>
      <c r="U808" s="21" t="s">
        <v>1480</v>
      </c>
      <c r="V808" s="22" t="s">
        <v>77</v>
      </c>
      <c r="W808" s="23">
        <v>36</v>
      </c>
      <c r="X808" s="24"/>
    </row>
    <row r="809" spans="1:24" s="1" customFormat="1" ht="108" customHeight="1" x14ac:dyDescent="0.3">
      <c r="A809" s="11" t="s">
        <v>607</v>
      </c>
      <c r="B809" s="11" t="s">
        <v>1478</v>
      </c>
      <c r="C809" s="12" t="s">
        <v>1481</v>
      </c>
      <c r="D809" s="13"/>
      <c r="E809" s="67" t="str">
        <f>HYPERLINK("https://www.google.ru/search?q=281028-16WH&amp;newwindow=1&amp;tbm=isch","Еще фото")</f>
        <v>Еще фото</v>
      </c>
      <c r="F809" s="14"/>
      <c r="G809" s="11" t="s">
        <v>1429</v>
      </c>
      <c r="H809" s="11" t="s">
        <v>669</v>
      </c>
      <c r="I809" s="15" t="s">
        <v>1396</v>
      </c>
      <c r="J809" s="15" t="s">
        <v>360</v>
      </c>
      <c r="K809" s="16" t="s">
        <v>71</v>
      </c>
      <c r="L809" s="15" t="s">
        <v>1482</v>
      </c>
      <c r="M809" s="15"/>
      <c r="N809" s="15" t="s">
        <v>173</v>
      </c>
      <c r="O809" s="15"/>
      <c r="P809" s="16" t="s">
        <v>401</v>
      </c>
      <c r="Q809" s="17">
        <v>1249</v>
      </c>
      <c r="R809" s="18">
        <v>30</v>
      </c>
      <c r="S809" s="26">
        <v>1005.4449999999998</v>
      </c>
      <c r="T809" s="20" t="s">
        <v>75</v>
      </c>
      <c r="U809" s="21" t="s">
        <v>1443</v>
      </c>
      <c r="V809" s="22" t="s">
        <v>77</v>
      </c>
      <c r="W809" s="23">
        <v>4</v>
      </c>
      <c r="X809" s="24"/>
    </row>
    <row r="810" spans="1:24" s="1" customFormat="1" ht="108" customHeight="1" x14ac:dyDescent="0.3">
      <c r="A810" s="11" t="s">
        <v>607</v>
      </c>
      <c r="B810" s="11" t="s">
        <v>1483</v>
      </c>
      <c r="C810" s="12" t="s">
        <v>1484</v>
      </c>
      <c r="D810" s="13"/>
      <c r="E810" s="67" t="str">
        <f>HYPERLINK("https://www.google.ru/search?q=281042-16TB&amp;newwindow=1&amp;tbm=isch","Еще фото")</f>
        <v>Еще фото</v>
      </c>
      <c r="F810" s="14"/>
      <c r="G810" s="11" t="s">
        <v>1485</v>
      </c>
      <c r="H810" s="11" t="s">
        <v>669</v>
      </c>
      <c r="I810" s="15" t="s">
        <v>1396</v>
      </c>
      <c r="J810" s="15" t="s">
        <v>360</v>
      </c>
      <c r="K810" s="16" t="s">
        <v>71</v>
      </c>
      <c r="L810" s="15" t="s">
        <v>1486</v>
      </c>
      <c r="M810" s="15"/>
      <c r="N810" s="15" t="s">
        <v>218</v>
      </c>
      <c r="O810" s="15"/>
      <c r="P810" s="16" t="s">
        <v>106</v>
      </c>
      <c r="Q810" s="17">
        <v>1649</v>
      </c>
      <c r="R810" s="18">
        <v>30</v>
      </c>
      <c r="S810" s="19">
        <v>1327.4449999999999</v>
      </c>
      <c r="T810" s="20" t="s">
        <v>75</v>
      </c>
      <c r="U810" s="21" t="s">
        <v>1487</v>
      </c>
      <c r="V810" s="22" t="s">
        <v>1046</v>
      </c>
      <c r="W810" s="23">
        <v>10</v>
      </c>
      <c r="X810" s="24"/>
    </row>
    <row r="811" spans="1:24" s="1" customFormat="1" ht="108" customHeight="1" x14ac:dyDescent="0.3">
      <c r="A811" s="11" t="s">
        <v>607</v>
      </c>
      <c r="B811" s="11" t="s">
        <v>1488</v>
      </c>
      <c r="C811" s="12" t="s">
        <v>1489</v>
      </c>
      <c r="D811" s="13"/>
      <c r="E811" s="67" t="str">
        <f>HYPERLINK("https://www.google.ru/search?q=281042-17TB&amp;newwindow=1&amp;tbm=isch","Еще фото")</f>
        <v>Еще фото</v>
      </c>
      <c r="F811" s="14"/>
      <c r="G811" s="11" t="s">
        <v>1485</v>
      </c>
      <c r="H811" s="11" t="s">
        <v>669</v>
      </c>
      <c r="I811" s="15" t="s">
        <v>1396</v>
      </c>
      <c r="J811" s="15" t="s">
        <v>360</v>
      </c>
      <c r="K811" s="16" t="s">
        <v>71</v>
      </c>
      <c r="L811" s="15" t="s">
        <v>1486</v>
      </c>
      <c r="M811" s="15"/>
      <c r="N811" s="15" t="s">
        <v>218</v>
      </c>
      <c r="O811" s="15"/>
      <c r="P811" s="16" t="s">
        <v>106</v>
      </c>
      <c r="Q811" s="17">
        <v>1649</v>
      </c>
      <c r="R811" s="18">
        <v>30</v>
      </c>
      <c r="S811" s="19">
        <v>1327.4449999999999</v>
      </c>
      <c r="T811" s="20" t="s">
        <v>75</v>
      </c>
      <c r="U811" s="21" t="s">
        <v>1490</v>
      </c>
      <c r="V811" s="22" t="s">
        <v>1046</v>
      </c>
      <c r="W811" s="23">
        <v>1</v>
      </c>
      <c r="X811" s="24"/>
    </row>
    <row r="812" spans="1:24" s="1" customFormat="1" ht="108" customHeight="1" x14ac:dyDescent="0.3">
      <c r="A812" s="11" t="s">
        <v>607</v>
      </c>
      <c r="B812" s="11" t="s">
        <v>1491</v>
      </c>
      <c r="C812" s="12" t="s">
        <v>1492</v>
      </c>
      <c r="D812" s="13"/>
      <c r="E812" s="67" t="str">
        <f>HYPERLINK("https://www.google.ru/search?q=281103-16BK&amp;newwindow=1&amp;tbm=isch","Еще фото")</f>
        <v>Еще фото</v>
      </c>
      <c r="F812" s="14"/>
      <c r="G812" s="11" t="s">
        <v>1429</v>
      </c>
      <c r="H812" s="11" t="s">
        <v>669</v>
      </c>
      <c r="I812" s="15" t="s">
        <v>1396</v>
      </c>
      <c r="J812" s="15" t="s">
        <v>360</v>
      </c>
      <c r="K812" s="16" t="s">
        <v>71</v>
      </c>
      <c r="L812" s="15" t="s">
        <v>1446</v>
      </c>
      <c r="M812" s="15"/>
      <c r="N812" s="15" t="s">
        <v>38</v>
      </c>
      <c r="O812" s="15"/>
      <c r="P812" s="16" t="s">
        <v>401</v>
      </c>
      <c r="Q812" s="17">
        <v>2099</v>
      </c>
      <c r="R812" s="18">
        <v>30</v>
      </c>
      <c r="S812" s="19">
        <v>1689.6949999999997</v>
      </c>
      <c r="T812" s="20" t="s">
        <v>75</v>
      </c>
      <c r="U812" s="21" t="s">
        <v>1480</v>
      </c>
      <c r="V812" s="22" t="s">
        <v>77</v>
      </c>
      <c r="W812" s="23">
        <v>9</v>
      </c>
      <c r="X812" s="24"/>
    </row>
    <row r="813" spans="1:24" s="1" customFormat="1" ht="108" customHeight="1" x14ac:dyDescent="0.3">
      <c r="A813" s="11" t="s">
        <v>607</v>
      </c>
      <c r="B813" s="11" t="s">
        <v>1493</v>
      </c>
      <c r="C813" s="12" t="s">
        <v>1494</v>
      </c>
      <c r="D813" s="13"/>
      <c r="E813" s="67" t="str">
        <f>HYPERLINK("https://www.google.ru/search?q=281103-16WH&amp;newwindow=1&amp;tbm=isch","Еще фото")</f>
        <v>Еще фото</v>
      </c>
      <c r="F813" s="55" t="s">
        <v>688</v>
      </c>
      <c r="G813" s="11" t="s">
        <v>1429</v>
      </c>
      <c r="H813" s="11" t="s">
        <v>669</v>
      </c>
      <c r="I813" s="15" t="s">
        <v>1396</v>
      </c>
      <c r="J813" s="15" t="s">
        <v>360</v>
      </c>
      <c r="K813" s="16" t="s">
        <v>71</v>
      </c>
      <c r="L813" s="15" t="s">
        <v>1446</v>
      </c>
      <c r="M813" s="15"/>
      <c r="N813" s="15" t="s">
        <v>173</v>
      </c>
      <c r="O813" s="15"/>
      <c r="P813" s="16" t="s">
        <v>401</v>
      </c>
      <c r="Q813" s="17">
        <v>2149</v>
      </c>
      <c r="R813" s="18">
        <v>30</v>
      </c>
      <c r="S813" s="19">
        <v>1729.9449999999997</v>
      </c>
      <c r="T813" s="20" t="s">
        <v>75</v>
      </c>
      <c r="U813" s="21" t="s">
        <v>1443</v>
      </c>
      <c r="V813" s="22" t="s">
        <v>77</v>
      </c>
      <c r="W813" s="23">
        <v>11</v>
      </c>
      <c r="X813" s="24"/>
    </row>
    <row r="814" spans="1:24" s="1" customFormat="1" ht="108" customHeight="1" x14ac:dyDescent="0.3">
      <c r="A814" s="11" t="s">
        <v>607</v>
      </c>
      <c r="B814" s="11" t="s">
        <v>1444</v>
      </c>
      <c r="C814" s="12" t="s">
        <v>1495</v>
      </c>
      <c r="D814" s="13"/>
      <c r="E814" s="67" t="str">
        <f>HYPERLINK("https://www.google.ru/search?q=281103-17GR&amp;newwindow=1&amp;tbm=isch","Еще фото")</f>
        <v>Еще фото</v>
      </c>
      <c r="F814" s="14"/>
      <c r="G814" s="11" t="s">
        <v>1429</v>
      </c>
      <c r="H814" s="11" t="s">
        <v>669</v>
      </c>
      <c r="I814" s="15" t="s">
        <v>1396</v>
      </c>
      <c r="J814" s="15" t="s">
        <v>360</v>
      </c>
      <c r="K814" s="16" t="s">
        <v>71</v>
      </c>
      <c r="L814" s="15" t="s">
        <v>1446</v>
      </c>
      <c r="M814" s="15"/>
      <c r="N814" s="15" t="s">
        <v>218</v>
      </c>
      <c r="O814" s="15"/>
      <c r="P814" s="16" t="s">
        <v>1447</v>
      </c>
      <c r="Q814" s="17">
        <v>2099</v>
      </c>
      <c r="R814" s="18">
        <v>30</v>
      </c>
      <c r="S814" s="19">
        <v>1689.6949999999997</v>
      </c>
      <c r="T814" s="20" t="s">
        <v>75</v>
      </c>
      <c r="U814" s="21" t="s">
        <v>1496</v>
      </c>
      <c r="V814" s="22" t="s">
        <v>77</v>
      </c>
      <c r="W814" s="23">
        <v>13</v>
      </c>
      <c r="X814" s="24"/>
    </row>
    <row r="815" spans="1:24" s="1" customFormat="1" ht="108" customHeight="1" x14ac:dyDescent="0.3">
      <c r="A815" s="11" t="s">
        <v>607</v>
      </c>
      <c r="B815" s="11" t="s">
        <v>1435</v>
      </c>
      <c r="C815" s="12" t="s">
        <v>1497</v>
      </c>
      <c r="D815" s="13"/>
      <c r="E815" s="67" t="str">
        <f>HYPERLINK("https://www.google.ru/search?q=281111-16BK&amp;newwindow=1&amp;tbm=isch","Еще фото")</f>
        <v>Еще фото</v>
      </c>
      <c r="F815" s="14"/>
      <c r="G815" s="11" t="s">
        <v>1429</v>
      </c>
      <c r="H815" s="11" t="s">
        <v>669</v>
      </c>
      <c r="I815" s="15" t="s">
        <v>1396</v>
      </c>
      <c r="J815" s="15" t="s">
        <v>360</v>
      </c>
      <c r="K815" s="16" t="s">
        <v>71</v>
      </c>
      <c r="L815" s="15" t="s">
        <v>1442</v>
      </c>
      <c r="M815" s="15"/>
      <c r="N815" s="15" t="s">
        <v>38</v>
      </c>
      <c r="O815" s="15"/>
      <c r="P815" s="16" t="s">
        <v>401</v>
      </c>
      <c r="Q815" s="53">
        <v>899</v>
      </c>
      <c r="R815" s="18">
        <v>30</v>
      </c>
      <c r="S815" s="26">
        <v>723.69499999999994</v>
      </c>
      <c r="T815" s="20" t="s">
        <v>75</v>
      </c>
      <c r="U815" s="21" t="s">
        <v>1480</v>
      </c>
      <c r="V815" s="22" t="s">
        <v>77</v>
      </c>
      <c r="W815" s="23">
        <v>7</v>
      </c>
      <c r="X815" s="24"/>
    </row>
    <row r="816" spans="1:24" s="1" customFormat="1" ht="108" customHeight="1" x14ac:dyDescent="0.3">
      <c r="A816" s="11" t="s">
        <v>607</v>
      </c>
      <c r="B816" s="11" t="s">
        <v>1435</v>
      </c>
      <c r="C816" s="12" t="s">
        <v>1498</v>
      </c>
      <c r="D816" s="13"/>
      <c r="E816" s="67" t="str">
        <f>HYPERLINK("https://www.google.ru/search?q=281111-16BL&amp;newwindow=1&amp;tbm=isch","Еще фото")</f>
        <v>Еще фото</v>
      </c>
      <c r="F816" s="14"/>
      <c r="G816" s="11" t="s">
        <v>1429</v>
      </c>
      <c r="H816" s="11" t="s">
        <v>669</v>
      </c>
      <c r="I816" s="15" t="s">
        <v>1396</v>
      </c>
      <c r="J816" s="15" t="s">
        <v>360</v>
      </c>
      <c r="K816" s="16" t="s">
        <v>71</v>
      </c>
      <c r="L816" s="15" t="s">
        <v>1499</v>
      </c>
      <c r="M816" s="15"/>
      <c r="N816" s="15" t="s">
        <v>31</v>
      </c>
      <c r="O816" s="15"/>
      <c r="P816" s="16" t="s">
        <v>106</v>
      </c>
      <c r="Q816" s="53">
        <v>899</v>
      </c>
      <c r="R816" s="18">
        <v>30</v>
      </c>
      <c r="S816" s="26">
        <v>723.69499999999994</v>
      </c>
      <c r="T816" s="20" t="s">
        <v>75</v>
      </c>
      <c r="U816" s="21" t="s">
        <v>1500</v>
      </c>
      <c r="V816" s="22" t="s">
        <v>1046</v>
      </c>
      <c r="W816" s="23">
        <v>10</v>
      </c>
      <c r="X816" s="24"/>
    </row>
    <row r="817" spans="1:24" s="1" customFormat="1" ht="108" customHeight="1" x14ac:dyDescent="0.3">
      <c r="A817" s="11" t="s">
        <v>607</v>
      </c>
      <c r="B817" s="11" t="s">
        <v>1435</v>
      </c>
      <c r="C817" s="12" t="s">
        <v>1501</v>
      </c>
      <c r="D817" s="13"/>
      <c r="E817" s="67" t="str">
        <f>HYPERLINK("https://www.google.ru/search?q=281111-16GD&amp;newwindow=1&amp;tbm=isch","Еще фото")</f>
        <v>Еще фото</v>
      </c>
      <c r="F817" s="55" t="s">
        <v>688</v>
      </c>
      <c r="G817" s="11" t="s">
        <v>1429</v>
      </c>
      <c r="H817" s="11" t="s">
        <v>669</v>
      </c>
      <c r="I817" s="15" t="s">
        <v>1396</v>
      </c>
      <c r="J817" s="15" t="s">
        <v>360</v>
      </c>
      <c r="K817" s="16" t="s">
        <v>71</v>
      </c>
      <c r="L817" s="15" t="s">
        <v>1455</v>
      </c>
      <c r="M817" s="15"/>
      <c r="N817" s="15" t="s">
        <v>1502</v>
      </c>
      <c r="O817" s="15"/>
      <c r="P817" s="16" t="s">
        <v>106</v>
      </c>
      <c r="Q817" s="53">
        <v>899</v>
      </c>
      <c r="R817" s="18">
        <v>30</v>
      </c>
      <c r="S817" s="26">
        <v>723.69499999999994</v>
      </c>
      <c r="T817" s="20" t="s">
        <v>75</v>
      </c>
      <c r="U817" s="21" t="s">
        <v>1503</v>
      </c>
      <c r="V817" s="22" t="s">
        <v>1046</v>
      </c>
      <c r="W817" s="23">
        <v>13</v>
      </c>
      <c r="X817" s="24"/>
    </row>
    <row r="818" spans="1:24" s="1" customFormat="1" ht="108" customHeight="1" x14ac:dyDescent="0.3">
      <c r="A818" s="11" t="s">
        <v>607</v>
      </c>
      <c r="B818" s="11" t="s">
        <v>1504</v>
      </c>
      <c r="C818" s="12" t="s">
        <v>1505</v>
      </c>
      <c r="D818" s="13"/>
      <c r="E818" s="67" t="str">
        <f>HYPERLINK("https://www.google.ru/search?q=281204-16AN&amp;newwindow=1&amp;tbm=isch","Еще фото")</f>
        <v>Еще фото</v>
      </c>
      <c r="F818" s="55" t="s">
        <v>688</v>
      </c>
      <c r="G818" s="11" t="s">
        <v>1429</v>
      </c>
      <c r="H818" s="11" t="s">
        <v>669</v>
      </c>
      <c r="I818" s="15" t="s">
        <v>1396</v>
      </c>
      <c r="J818" s="15" t="s">
        <v>360</v>
      </c>
      <c r="K818" s="16" t="s">
        <v>71</v>
      </c>
      <c r="L818" s="15"/>
      <c r="M818" s="15"/>
      <c r="N818" s="15" t="s">
        <v>218</v>
      </c>
      <c r="O818" s="15"/>
      <c r="P818" s="16" t="s">
        <v>401</v>
      </c>
      <c r="Q818" s="17">
        <v>2149</v>
      </c>
      <c r="R818" s="18">
        <v>30</v>
      </c>
      <c r="S818" s="19">
        <v>1729.9449999999997</v>
      </c>
      <c r="T818" s="20" t="s">
        <v>75</v>
      </c>
      <c r="U818" s="21" t="s">
        <v>1506</v>
      </c>
      <c r="V818" s="22" t="s">
        <v>1046</v>
      </c>
      <c r="W818" s="23">
        <v>14</v>
      </c>
      <c r="X818" s="24"/>
    </row>
    <row r="819" spans="1:24" s="1" customFormat="1" ht="108" customHeight="1" x14ac:dyDescent="0.3">
      <c r="A819" s="11" t="s">
        <v>607</v>
      </c>
      <c r="B819" s="11" t="s">
        <v>1507</v>
      </c>
      <c r="C819" s="12" t="s">
        <v>1508</v>
      </c>
      <c r="D819" s="13"/>
      <c r="E819" s="67" t="str">
        <f>HYPERLINK("https://www.google.ru/search?q=281204-17RD&amp;newwindow=1&amp;tbm=isch","Еще фото")</f>
        <v>Еще фото</v>
      </c>
      <c r="F819" s="14"/>
      <c r="G819" s="11" t="s">
        <v>1429</v>
      </c>
      <c r="H819" s="11" t="s">
        <v>669</v>
      </c>
      <c r="I819" s="15" t="s">
        <v>1396</v>
      </c>
      <c r="J819" s="15" t="s">
        <v>360</v>
      </c>
      <c r="K819" s="16" t="s">
        <v>71</v>
      </c>
      <c r="L819" s="15" t="s">
        <v>1509</v>
      </c>
      <c r="M819" s="15"/>
      <c r="N819" s="15" t="s">
        <v>73</v>
      </c>
      <c r="O819" s="15"/>
      <c r="P819" s="16" t="s">
        <v>106</v>
      </c>
      <c r="Q819" s="17">
        <v>1999</v>
      </c>
      <c r="R819" s="18">
        <v>30</v>
      </c>
      <c r="S819" s="19">
        <v>1609.1949999999999</v>
      </c>
      <c r="T819" s="20" t="s">
        <v>75</v>
      </c>
      <c r="U819" s="21" t="s">
        <v>1510</v>
      </c>
      <c r="V819" s="22" t="s">
        <v>1046</v>
      </c>
      <c r="W819" s="23">
        <v>7</v>
      </c>
      <c r="X819" s="24"/>
    </row>
    <row r="820" spans="1:24" s="1" customFormat="1" ht="108" customHeight="1" x14ac:dyDescent="0.3">
      <c r="A820" s="11" t="s">
        <v>607</v>
      </c>
      <c r="B820" s="11" t="s">
        <v>1458</v>
      </c>
      <c r="C820" s="12" t="s">
        <v>1511</v>
      </c>
      <c r="D820" s="13"/>
      <c r="E820" s="67" t="str">
        <f>HYPERLINK("https://www.google.ru/search?q=281404-16BK&amp;newwindow=1&amp;tbm=isch","Еще фото")</f>
        <v>Еще фото</v>
      </c>
      <c r="F820" s="14"/>
      <c r="G820" s="11" t="s">
        <v>1429</v>
      </c>
      <c r="H820" s="11" t="s">
        <v>669</v>
      </c>
      <c r="I820" s="15" t="s">
        <v>1396</v>
      </c>
      <c r="J820" s="15" t="s">
        <v>360</v>
      </c>
      <c r="K820" s="16" t="s">
        <v>71</v>
      </c>
      <c r="L820" s="15" t="s">
        <v>1460</v>
      </c>
      <c r="M820" s="15"/>
      <c r="N820" s="15" t="s">
        <v>38</v>
      </c>
      <c r="O820" s="15"/>
      <c r="P820" s="16" t="s">
        <v>106</v>
      </c>
      <c r="Q820" s="17">
        <v>1699</v>
      </c>
      <c r="R820" s="18">
        <v>30</v>
      </c>
      <c r="S820" s="19">
        <v>1367.6949999999999</v>
      </c>
      <c r="T820" s="20" t="s">
        <v>75</v>
      </c>
      <c r="U820" s="21" t="s">
        <v>1480</v>
      </c>
      <c r="V820" s="22" t="s">
        <v>77</v>
      </c>
      <c r="W820" s="23">
        <v>8</v>
      </c>
      <c r="X820" s="24"/>
    </row>
    <row r="821" spans="1:24" s="1" customFormat="1" ht="108" customHeight="1" x14ac:dyDescent="0.3">
      <c r="A821" s="11" t="s">
        <v>607</v>
      </c>
      <c r="B821" s="11" t="s">
        <v>1458</v>
      </c>
      <c r="C821" s="12" t="s">
        <v>1512</v>
      </c>
      <c r="D821" s="13"/>
      <c r="E821" s="67" t="str">
        <f>HYPERLINK("https://www.google.ru/search?q=281404-16NT&amp;newwindow=1&amp;tbm=isch","Еще фото")</f>
        <v>Еще фото</v>
      </c>
      <c r="F821" s="14"/>
      <c r="G821" s="11" t="s">
        <v>1429</v>
      </c>
      <c r="H821" s="11" t="s">
        <v>669</v>
      </c>
      <c r="I821" s="15" t="s">
        <v>1396</v>
      </c>
      <c r="J821" s="15" t="s">
        <v>360</v>
      </c>
      <c r="K821" s="16" t="s">
        <v>71</v>
      </c>
      <c r="L821" s="15" t="s">
        <v>1460</v>
      </c>
      <c r="M821" s="15"/>
      <c r="N821" s="15" t="s">
        <v>1474</v>
      </c>
      <c r="O821" s="15"/>
      <c r="P821" s="16" t="s">
        <v>401</v>
      </c>
      <c r="Q821" s="17">
        <v>1699</v>
      </c>
      <c r="R821" s="18">
        <v>30</v>
      </c>
      <c r="S821" s="19">
        <v>1367.6949999999999</v>
      </c>
      <c r="T821" s="20" t="s">
        <v>75</v>
      </c>
      <c r="U821" s="21" t="s">
        <v>1513</v>
      </c>
      <c r="V821" s="22" t="s">
        <v>77</v>
      </c>
      <c r="W821" s="23">
        <v>20</v>
      </c>
      <c r="X821" s="24"/>
    </row>
    <row r="822" spans="1:24" s="1" customFormat="1" ht="108" customHeight="1" x14ac:dyDescent="0.3">
      <c r="A822" s="11" t="s">
        <v>607</v>
      </c>
      <c r="B822" s="11" t="s">
        <v>1458</v>
      </c>
      <c r="C822" s="12" t="s">
        <v>1514</v>
      </c>
      <c r="D822" s="13"/>
      <c r="E822" s="67" t="str">
        <f>HYPERLINK("https://www.google.ru/search?q=281404-17NT&amp;newwindow=1&amp;tbm=isch","Еще фото")</f>
        <v>Еще фото</v>
      </c>
      <c r="F822" s="14"/>
      <c r="G822" s="11" t="s">
        <v>1429</v>
      </c>
      <c r="H822" s="11" t="s">
        <v>669</v>
      </c>
      <c r="I822" s="15" t="s">
        <v>1396</v>
      </c>
      <c r="J822" s="15" t="s">
        <v>360</v>
      </c>
      <c r="K822" s="16" t="s">
        <v>71</v>
      </c>
      <c r="L822" s="15" t="s">
        <v>1460</v>
      </c>
      <c r="M822" s="15"/>
      <c r="N822" s="15" t="s">
        <v>132</v>
      </c>
      <c r="O822" s="15"/>
      <c r="P822" s="16" t="s">
        <v>106</v>
      </c>
      <c r="Q822" s="17">
        <v>1699</v>
      </c>
      <c r="R822" s="18">
        <v>30</v>
      </c>
      <c r="S822" s="19">
        <v>1367.6949999999999</v>
      </c>
      <c r="T822" s="20" t="s">
        <v>75</v>
      </c>
      <c r="U822" s="21" t="s">
        <v>1515</v>
      </c>
      <c r="V822" s="22" t="s">
        <v>77</v>
      </c>
      <c r="W822" s="23">
        <v>3</v>
      </c>
      <c r="X822" s="24"/>
    </row>
    <row r="823" spans="1:24" s="1" customFormat="1" ht="108" customHeight="1" x14ac:dyDescent="0.3">
      <c r="A823" s="11" t="s">
        <v>607</v>
      </c>
      <c r="B823" s="11" t="s">
        <v>1458</v>
      </c>
      <c r="C823" s="12" t="s">
        <v>1516</v>
      </c>
      <c r="D823" s="13"/>
      <c r="E823" s="67" t="str">
        <f>HYPERLINK("https://www.google.ru/search?q=281404-17YW&amp;newwindow=1&amp;tbm=isch","Еще фото")</f>
        <v>Еще фото</v>
      </c>
      <c r="F823" s="14"/>
      <c r="G823" s="11" t="s">
        <v>1429</v>
      </c>
      <c r="H823" s="11" t="s">
        <v>669</v>
      </c>
      <c r="I823" s="15" t="s">
        <v>1396</v>
      </c>
      <c r="J823" s="15" t="s">
        <v>360</v>
      </c>
      <c r="K823" s="16" t="s">
        <v>71</v>
      </c>
      <c r="L823" s="15" t="s">
        <v>1460</v>
      </c>
      <c r="M823" s="15"/>
      <c r="N823" s="15" t="s">
        <v>225</v>
      </c>
      <c r="O823" s="15"/>
      <c r="P823" s="16" t="s">
        <v>106</v>
      </c>
      <c r="Q823" s="17">
        <v>1699</v>
      </c>
      <c r="R823" s="18">
        <v>30</v>
      </c>
      <c r="S823" s="19">
        <v>1367.6949999999999</v>
      </c>
      <c r="T823" s="20" t="s">
        <v>75</v>
      </c>
      <c r="U823" s="21" t="s">
        <v>1434</v>
      </c>
      <c r="V823" s="22" t="s">
        <v>77</v>
      </c>
      <c r="W823" s="23">
        <v>21</v>
      </c>
      <c r="X823" s="24"/>
    </row>
    <row r="824" spans="1:24" s="1" customFormat="1" ht="108" customHeight="1" x14ac:dyDescent="0.3">
      <c r="A824" s="11" t="s">
        <v>607</v>
      </c>
      <c r="B824" s="11" t="s">
        <v>1517</v>
      </c>
      <c r="C824" s="12" t="s">
        <v>1518</v>
      </c>
      <c r="D824" s="13"/>
      <c r="E824" s="67" t="str">
        <f>HYPERLINK("https://www.google.ru/search?q=281784-16AN&amp;newwindow=1&amp;tbm=isch","Еще фото")</f>
        <v>Еще фото</v>
      </c>
      <c r="F824" s="55" t="s">
        <v>688</v>
      </c>
      <c r="G824" s="11" t="s">
        <v>1429</v>
      </c>
      <c r="H824" s="11" t="s">
        <v>669</v>
      </c>
      <c r="I824" s="15" t="s">
        <v>1396</v>
      </c>
      <c r="J824" s="15" t="s">
        <v>360</v>
      </c>
      <c r="K824" s="16" t="s">
        <v>71</v>
      </c>
      <c r="L824" s="15"/>
      <c r="M824" s="15"/>
      <c r="N824" s="15" t="s">
        <v>218</v>
      </c>
      <c r="O824" s="15"/>
      <c r="P824" s="16" t="s">
        <v>500</v>
      </c>
      <c r="Q824" s="17">
        <v>1699</v>
      </c>
      <c r="R824" s="18">
        <v>30</v>
      </c>
      <c r="S824" s="19">
        <v>1367.6949999999999</v>
      </c>
      <c r="T824" s="20" t="s">
        <v>75</v>
      </c>
      <c r="U824" s="21" t="s">
        <v>1506</v>
      </c>
      <c r="V824" s="22" t="s">
        <v>1046</v>
      </c>
      <c r="W824" s="23">
        <v>10</v>
      </c>
      <c r="X824" s="24"/>
    </row>
    <row r="825" spans="1:24" s="1" customFormat="1" ht="108" customHeight="1" x14ac:dyDescent="0.3">
      <c r="A825" s="11" t="s">
        <v>607</v>
      </c>
      <c r="B825" s="11" t="s">
        <v>1519</v>
      </c>
      <c r="C825" s="12" t="s">
        <v>1520</v>
      </c>
      <c r="D825" s="13"/>
      <c r="E825" s="67" t="str">
        <f>HYPERLINK("https://www.google.ru/search?q=281784-16GE&amp;newwindow=1&amp;tbm=isch","Еще фото")</f>
        <v>Еще фото</v>
      </c>
      <c r="F825" s="14"/>
      <c r="G825" s="11" t="s">
        <v>1429</v>
      </c>
      <c r="H825" s="11" t="s">
        <v>669</v>
      </c>
      <c r="I825" s="15" t="s">
        <v>1396</v>
      </c>
      <c r="J825" s="15" t="s">
        <v>360</v>
      </c>
      <c r="K825" s="16" t="s">
        <v>71</v>
      </c>
      <c r="L825" s="15" t="s">
        <v>1521</v>
      </c>
      <c r="M825" s="15"/>
      <c r="N825" s="15" t="s">
        <v>1522</v>
      </c>
      <c r="O825" s="15"/>
      <c r="P825" s="16" t="s">
        <v>500</v>
      </c>
      <c r="Q825" s="17">
        <v>1699</v>
      </c>
      <c r="R825" s="18">
        <v>30</v>
      </c>
      <c r="S825" s="19">
        <v>1367.6949999999999</v>
      </c>
      <c r="T825" s="20" t="s">
        <v>75</v>
      </c>
      <c r="U825" s="21" t="s">
        <v>1523</v>
      </c>
      <c r="V825" s="22" t="s">
        <v>77</v>
      </c>
      <c r="W825" s="23">
        <v>9</v>
      </c>
      <c r="X825" s="24"/>
    </row>
    <row r="826" spans="1:24" s="1" customFormat="1" ht="108" customHeight="1" x14ac:dyDescent="0.3">
      <c r="A826" s="11" t="s">
        <v>607</v>
      </c>
      <c r="B826" s="11" t="s">
        <v>1517</v>
      </c>
      <c r="C826" s="12" t="s">
        <v>1524</v>
      </c>
      <c r="D826" s="13"/>
      <c r="E826" s="67" t="str">
        <f>HYPERLINK("https://www.google.ru/search?q=281784-16YW&amp;newwindow=1&amp;tbm=isch","Еще фото")</f>
        <v>Еще фото</v>
      </c>
      <c r="F826" s="14"/>
      <c r="G826" s="11" t="s">
        <v>1429</v>
      </c>
      <c r="H826" s="11" t="s">
        <v>669</v>
      </c>
      <c r="I826" s="15" t="s">
        <v>1396</v>
      </c>
      <c r="J826" s="15" t="s">
        <v>360</v>
      </c>
      <c r="K826" s="16" t="s">
        <v>71</v>
      </c>
      <c r="L826" s="15" t="s">
        <v>1525</v>
      </c>
      <c r="M826" s="15"/>
      <c r="N826" s="15" t="s">
        <v>225</v>
      </c>
      <c r="O826" s="15"/>
      <c r="P826" s="16" t="s">
        <v>500</v>
      </c>
      <c r="Q826" s="17">
        <v>1699</v>
      </c>
      <c r="R826" s="18">
        <v>30</v>
      </c>
      <c r="S826" s="19">
        <v>1367.6949999999999</v>
      </c>
      <c r="T826" s="20" t="s">
        <v>75</v>
      </c>
      <c r="U826" s="21" t="s">
        <v>1456</v>
      </c>
      <c r="V826" s="22" t="s">
        <v>77</v>
      </c>
      <c r="W826" s="23">
        <v>20</v>
      </c>
      <c r="X826" s="24"/>
    </row>
    <row r="827" spans="1:24" s="1" customFormat="1" ht="108" customHeight="1" x14ac:dyDescent="0.3">
      <c r="A827" s="11" t="s">
        <v>607</v>
      </c>
      <c r="B827" s="11" t="s">
        <v>1438</v>
      </c>
      <c r="C827" s="12" t="s">
        <v>1526</v>
      </c>
      <c r="D827" s="13"/>
      <c r="E827" s="67" t="str">
        <f>HYPERLINK("https://www.google.ru/search?q=281784-17RD&amp;newwindow=1&amp;tbm=isch","Еще фото")</f>
        <v>Еще фото</v>
      </c>
      <c r="F827" s="14"/>
      <c r="G827" s="11" t="s">
        <v>1429</v>
      </c>
      <c r="H827" s="11" t="s">
        <v>669</v>
      </c>
      <c r="I827" s="15" t="s">
        <v>1396</v>
      </c>
      <c r="J827" s="15" t="s">
        <v>360</v>
      </c>
      <c r="K827" s="16" t="s">
        <v>71</v>
      </c>
      <c r="L827" s="15" t="s">
        <v>1527</v>
      </c>
      <c r="M827" s="15"/>
      <c r="N827" s="15" t="s">
        <v>73</v>
      </c>
      <c r="O827" s="15"/>
      <c r="P827" s="16" t="s">
        <v>106</v>
      </c>
      <c r="Q827" s="17">
        <v>1699</v>
      </c>
      <c r="R827" s="18">
        <v>30</v>
      </c>
      <c r="S827" s="19">
        <v>1367.6949999999999</v>
      </c>
      <c r="T827" s="20" t="s">
        <v>75</v>
      </c>
      <c r="U827" s="21" t="s">
        <v>1510</v>
      </c>
      <c r="V827" s="22" t="s">
        <v>1046</v>
      </c>
      <c r="W827" s="23">
        <v>2</v>
      </c>
      <c r="X827" s="24"/>
    </row>
    <row r="828" spans="1:24" s="1" customFormat="1" ht="108" customHeight="1" x14ac:dyDescent="0.3">
      <c r="A828" s="11" t="s">
        <v>607</v>
      </c>
      <c r="B828" s="11" t="s">
        <v>1528</v>
      </c>
      <c r="C828" s="12" t="s">
        <v>1529</v>
      </c>
      <c r="D828" s="13"/>
      <c r="E828" s="67" t="str">
        <f>HYPERLINK("https://www.google.ru/search?q=281784-18AN&amp;newwindow=1&amp;tbm=isch","Еще фото")</f>
        <v>Еще фото</v>
      </c>
      <c r="F828" s="14"/>
      <c r="G828" s="11" t="s">
        <v>1429</v>
      </c>
      <c r="H828" s="11" t="s">
        <v>669</v>
      </c>
      <c r="I828" s="15" t="s">
        <v>1396</v>
      </c>
      <c r="J828" s="15" t="s">
        <v>360</v>
      </c>
      <c r="K828" s="16" t="s">
        <v>71</v>
      </c>
      <c r="L828" s="15"/>
      <c r="M828" s="15"/>
      <c r="N828" s="15" t="s">
        <v>218</v>
      </c>
      <c r="O828" s="15"/>
      <c r="P828" s="16" t="s">
        <v>500</v>
      </c>
      <c r="Q828" s="17">
        <v>1499</v>
      </c>
      <c r="R828" s="18">
        <v>30</v>
      </c>
      <c r="S828" s="19">
        <v>1206.6949999999999</v>
      </c>
      <c r="T828" s="20" t="s">
        <v>75</v>
      </c>
      <c r="U828" s="21" t="s">
        <v>1530</v>
      </c>
      <c r="V828" s="22" t="s">
        <v>1046</v>
      </c>
      <c r="W828" s="23">
        <v>12</v>
      </c>
      <c r="X828" s="24"/>
    </row>
    <row r="829" spans="1:24" s="1" customFormat="1" ht="108" customHeight="1" x14ac:dyDescent="0.3">
      <c r="A829" s="11" t="s">
        <v>607</v>
      </c>
      <c r="B829" s="11" t="s">
        <v>1431</v>
      </c>
      <c r="C829" s="12" t="s">
        <v>1531</v>
      </c>
      <c r="D829" s="13"/>
      <c r="E829" s="67" t="str">
        <f>HYPERLINK("https://www.google.ru/search?q=281784-18BL&amp;newwindow=1&amp;tbm=isch","Еще фото")</f>
        <v>Еще фото</v>
      </c>
      <c r="F829" s="14"/>
      <c r="G829" s="11" t="s">
        <v>1429</v>
      </c>
      <c r="H829" s="11" t="s">
        <v>669</v>
      </c>
      <c r="I829" s="15" t="s">
        <v>1396</v>
      </c>
      <c r="J829" s="15" t="s">
        <v>360</v>
      </c>
      <c r="K829" s="16" t="s">
        <v>71</v>
      </c>
      <c r="L829" s="15" t="s">
        <v>1433</v>
      </c>
      <c r="M829" s="15"/>
      <c r="N829" s="15" t="s">
        <v>31</v>
      </c>
      <c r="O829" s="15"/>
      <c r="P829" s="16" t="s">
        <v>500</v>
      </c>
      <c r="Q829" s="17">
        <v>1699</v>
      </c>
      <c r="R829" s="18">
        <v>30</v>
      </c>
      <c r="S829" s="19">
        <v>1367.6949999999999</v>
      </c>
      <c r="T829" s="20" t="s">
        <v>75</v>
      </c>
      <c r="U829" s="21" t="s">
        <v>1532</v>
      </c>
      <c r="V829" s="22" t="s">
        <v>1046</v>
      </c>
      <c r="W829" s="23">
        <v>2</v>
      </c>
      <c r="X829" s="24"/>
    </row>
    <row r="830" spans="1:24" s="1" customFormat="1" ht="108" customHeight="1" x14ac:dyDescent="0.3">
      <c r="A830" s="11" t="s">
        <v>607</v>
      </c>
      <c r="B830" s="11" t="s">
        <v>1533</v>
      </c>
      <c r="C830" s="12" t="s">
        <v>1534</v>
      </c>
      <c r="D830" s="13"/>
      <c r="E830" s="67" t="str">
        <f>HYPERLINK("https://www.google.ru/search?q=281790-16BK&amp;newwindow=1&amp;tbm=isch","Еще фото")</f>
        <v>Еще фото</v>
      </c>
      <c r="F830" s="55" t="s">
        <v>688</v>
      </c>
      <c r="G830" s="11" t="s">
        <v>1429</v>
      </c>
      <c r="H830" s="11" t="s">
        <v>669</v>
      </c>
      <c r="I830" s="15" t="s">
        <v>1396</v>
      </c>
      <c r="J830" s="15" t="s">
        <v>360</v>
      </c>
      <c r="K830" s="16" t="s">
        <v>71</v>
      </c>
      <c r="L830" s="15" t="s">
        <v>1535</v>
      </c>
      <c r="M830" s="15"/>
      <c r="N830" s="15" t="s">
        <v>38</v>
      </c>
      <c r="O830" s="15"/>
      <c r="P830" s="16" t="s">
        <v>401</v>
      </c>
      <c r="Q830" s="17">
        <v>1499</v>
      </c>
      <c r="R830" s="18">
        <v>30</v>
      </c>
      <c r="S830" s="19">
        <v>1206.6949999999999</v>
      </c>
      <c r="T830" s="20" t="s">
        <v>75</v>
      </c>
      <c r="U830" s="21" t="s">
        <v>1480</v>
      </c>
      <c r="V830" s="22" t="s">
        <v>77</v>
      </c>
      <c r="W830" s="23">
        <v>21</v>
      </c>
      <c r="X830" s="24"/>
    </row>
    <row r="831" spans="1:24" s="1" customFormat="1" ht="108" customHeight="1" x14ac:dyDescent="0.3">
      <c r="A831" s="11" t="s">
        <v>607</v>
      </c>
      <c r="B831" s="11" t="s">
        <v>1533</v>
      </c>
      <c r="C831" s="12" t="s">
        <v>1536</v>
      </c>
      <c r="D831" s="13"/>
      <c r="E831" s="67" t="str">
        <f>HYPERLINK("https://www.google.ru/search?q=281790-16OR&amp;newwindow=1&amp;tbm=isch","Еще фото")</f>
        <v>Еще фото</v>
      </c>
      <c r="F831" s="55" t="s">
        <v>688</v>
      </c>
      <c r="G831" s="11" t="s">
        <v>1429</v>
      </c>
      <c r="H831" s="11" t="s">
        <v>669</v>
      </c>
      <c r="I831" s="15" t="s">
        <v>1396</v>
      </c>
      <c r="J831" s="15" t="s">
        <v>360</v>
      </c>
      <c r="K831" s="16" t="s">
        <v>71</v>
      </c>
      <c r="L831" s="15"/>
      <c r="M831" s="15"/>
      <c r="N831" s="15" t="s">
        <v>948</v>
      </c>
      <c r="O831" s="15"/>
      <c r="P831" s="16" t="s">
        <v>106</v>
      </c>
      <c r="Q831" s="17">
        <v>1699</v>
      </c>
      <c r="R831" s="18">
        <v>30</v>
      </c>
      <c r="S831" s="19">
        <v>1367.6949999999999</v>
      </c>
      <c r="T831" s="20" t="s">
        <v>75</v>
      </c>
      <c r="U831" s="21" t="s">
        <v>1537</v>
      </c>
      <c r="V831" s="22" t="s">
        <v>77</v>
      </c>
      <c r="W831" s="23">
        <v>17</v>
      </c>
      <c r="X831" s="24"/>
    </row>
    <row r="832" spans="1:24" s="1" customFormat="1" ht="108" customHeight="1" x14ac:dyDescent="0.3">
      <c r="A832" s="11" t="s">
        <v>607</v>
      </c>
      <c r="B832" s="11" t="s">
        <v>1538</v>
      </c>
      <c r="C832" s="12" t="s">
        <v>1539</v>
      </c>
      <c r="D832" s="13"/>
      <c r="E832" s="67" t="str">
        <f>HYPERLINK("https://www.google.ru/search?q=281790-17BK&amp;newwindow=1&amp;tbm=isch","Еще фото")</f>
        <v>Еще фото</v>
      </c>
      <c r="F832" s="55" t="s">
        <v>688</v>
      </c>
      <c r="G832" s="11" t="s">
        <v>1429</v>
      </c>
      <c r="H832" s="11" t="s">
        <v>669</v>
      </c>
      <c r="I832" s="15" t="s">
        <v>1396</v>
      </c>
      <c r="J832" s="15" t="s">
        <v>360</v>
      </c>
      <c r="K832" s="16" t="s">
        <v>71</v>
      </c>
      <c r="L832" s="15"/>
      <c r="M832" s="15"/>
      <c r="N832" s="15" t="s">
        <v>38</v>
      </c>
      <c r="O832" s="15"/>
      <c r="P832" s="16" t="s">
        <v>401</v>
      </c>
      <c r="Q832" s="17">
        <v>1699</v>
      </c>
      <c r="R832" s="18">
        <v>30</v>
      </c>
      <c r="S832" s="19">
        <v>1367.6949999999999</v>
      </c>
      <c r="T832" s="20" t="s">
        <v>75</v>
      </c>
      <c r="U832" s="21" t="s">
        <v>1437</v>
      </c>
      <c r="V832" s="22" t="s">
        <v>77</v>
      </c>
      <c r="W832" s="23">
        <v>15</v>
      </c>
      <c r="X832" s="24"/>
    </row>
    <row r="833" spans="1:24" s="1" customFormat="1" ht="108" customHeight="1" x14ac:dyDescent="0.3">
      <c r="A833" s="11" t="s">
        <v>607</v>
      </c>
      <c r="B833" s="11" t="s">
        <v>1540</v>
      </c>
      <c r="C833" s="12" t="s">
        <v>1541</v>
      </c>
      <c r="D833" s="13"/>
      <c r="E833" s="67" t="str">
        <f>HYPERLINK("https://www.google.ru/search?q=260764-BKWH&amp;newwindow=1&amp;tbm=isch","Еще фото")</f>
        <v>Еще фото</v>
      </c>
      <c r="F833" s="14"/>
      <c r="G833" s="11" t="s">
        <v>1542</v>
      </c>
      <c r="H833" s="11" t="s">
        <v>291</v>
      </c>
      <c r="I833" s="15" t="s">
        <v>1543</v>
      </c>
      <c r="J833" s="15" t="s">
        <v>360</v>
      </c>
      <c r="K833" s="16" t="s">
        <v>71</v>
      </c>
      <c r="L833" s="15" t="s">
        <v>1544</v>
      </c>
      <c r="M833" s="15"/>
      <c r="N833" s="15" t="s">
        <v>38</v>
      </c>
      <c r="O833" s="15"/>
      <c r="P833" s="16" t="s">
        <v>106</v>
      </c>
      <c r="Q833" s="17">
        <v>4799</v>
      </c>
      <c r="R833" s="18">
        <v>73.17</v>
      </c>
      <c r="S833" s="19">
        <v>1480.9354999999998</v>
      </c>
      <c r="T833" s="20" t="s">
        <v>75</v>
      </c>
      <c r="U833" s="21" t="s">
        <v>430</v>
      </c>
      <c r="V833" s="22" t="s">
        <v>77</v>
      </c>
      <c r="W833" s="23">
        <v>54</v>
      </c>
      <c r="X833" s="24"/>
    </row>
    <row r="834" spans="1:24" s="1" customFormat="1" ht="108" customHeight="1" x14ac:dyDescent="0.3">
      <c r="A834" s="11" t="s">
        <v>607</v>
      </c>
      <c r="B834" s="11" t="s">
        <v>1545</v>
      </c>
      <c r="C834" s="12" t="s">
        <v>1546</v>
      </c>
      <c r="D834" s="13"/>
      <c r="E834" s="67" t="str">
        <f>HYPERLINK("https://www.google.ru/search?q=262334-BLBK&amp;newwindow=1&amp;tbm=isch","Еще фото")</f>
        <v>Еще фото</v>
      </c>
      <c r="F834" s="14"/>
      <c r="G834" s="11" t="s">
        <v>1547</v>
      </c>
      <c r="H834" s="11" t="s">
        <v>291</v>
      </c>
      <c r="I834" s="15" t="s">
        <v>1543</v>
      </c>
      <c r="J834" s="15" t="s">
        <v>360</v>
      </c>
      <c r="K834" s="16" t="s">
        <v>71</v>
      </c>
      <c r="L834" s="15" t="s">
        <v>1548</v>
      </c>
      <c r="M834" s="15"/>
      <c r="N834" s="15" t="s">
        <v>31</v>
      </c>
      <c r="O834" s="15"/>
      <c r="P834" s="16" t="s">
        <v>106</v>
      </c>
      <c r="Q834" s="17">
        <v>5699</v>
      </c>
      <c r="R834" s="18">
        <v>45.12</v>
      </c>
      <c r="S834" s="19">
        <v>3596.9354999999996</v>
      </c>
      <c r="T834" s="20" t="s">
        <v>75</v>
      </c>
      <c r="U834" s="21" t="s">
        <v>430</v>
      </c>
      <c r="V834" s="22" t="s">
        <v>77</v>
      </c>
      <c r="W834" s="23">
        <v>27</v>
      </c>
      <c r="X834" s="24"/>
    </row>
    <row r="835" spans="1:24" s="1" customFormat="1" ht="108" customHeight="1" x14ac:dyDescent="0.3">
      <c r="A835" s="11" t="s">
        <v>607</v>
      </c>
      <c r="B835" s="11" t="s">
        <v>1549</v>
      </c>
      <c r="C835" s="12" t="s">
        <v>1550</v>
      </c>
      <c r="D835" s="13"/>
      <c r="E835" s="67" t="str">
        <f>HYPERLINK("https://www.google.ru/search?q=260803-CHYU&amp;newwindow=1&amp;tbm=isch","Еще фото")</f>
        <v>Еще фото</v>
      </c>
      <c r="F835" s="14"/>
      <c r="G835" s="11" t="s">
        <v>1547</v>
      </c>
      <c r="H835" s="11" t="s">
        <v>291</v>
      </c>
      <c r="I835" s="15" t="s">
        <v>1543</v>
      </c>
      <c r="J835" s="15" t="s">
        <v>360</v>
      </c>
      <c r="K835" s="16" t="s">
        <v>71</v>
      </c>
      <c r="L835" s="15" t="s">
        <v>1551</v>
      </c>
      <c r="M835" s="15"/>
      <c r="N835" s="15" t="s">
        <v>1552</v>
      </c>
      <c r="O835" s="15"/>
      <c r="P835" s="16" t="s">
        <v>106</v>
      </c>
      <c r="Q835" s="17">
        <v>13499</v>
      </c>
      <c r="R835" s="18">
        <v>45.05</v>
      </c>
      <c r="S835" s="19">
        <v>8530.4354999999996</v>
      </c>
      <c r="T835" s="20" t="s">
        <v>75</v>
      </c>
      <c r="U835" s="21" t="s">
        <v>430</v>
      </c>
      <c r="V835" s="22" t="s">
        <v>77</v>
      </c>
      <c r="W835" s="23">
        <v>3</v>
      </c>
      <c r="X835" s="24"/>
    </row>
    <row r="836" spans="1:24" s="1" customFormat="1" ht="108" customHeight="1" x14ac:dyDescent="0.3">
      <c r="A836" s="11" t="s">
        <v>607</v>
      </c>
      <c r="B836" s="11" t="s">
        <v>1553</v>
      </c>
      <c r="C836" s="12" t="s">
        <v>1554</v>
      </c>
      <c r="D836" s="13"/>
      <c r="E836" s="67" t="str">
        <f>HYPERLINK("https://www.google.ru/search?q=260774-Monster&amp;newwindow=1&amp;tbm=isch","Еще фото")</f>
        <v>Еще фото</v>
      </c>
      <c r="F836" s="14"/>
      <c r="G836" s="11" t="s">
        <v>1542</v>
      </c>
      <c r="H836" s="11" t="s">
        <v>291</v>
      </c>
      <c r="I836" s="15" t="s">
        <v>1543</v>
      </c>
      <c r="J836" s="15" t="s">
        <v>360</v>
      </c>
      <c r="K836" s="16" t="s">
        <v>71</v>
      </c>
      <c r="L836" s="15" t="s">
        <v>1544</v>
      </c>
      <c r="M836" s="15"/>
      <c r="N836" s="15" t="s">
        <v>31</v>
      </c>
      <c r="O836" s="15"/>
      <c r="P836" s="16" t="s">
        <v>106</v>
      </c>
      <c r="Q836" s="17">
        <v>4999</v>
      </c>
      <c r="R836" s="18">
        <v>45.03</v>
      </c>
      <c r="S836" s="19">
        <v>3159.9354999999996</v>
      </c>
      <c r="T836" s="20" t="s">
        <v>75</v>
      </c>
      <c r="U836" s="21" t="s">
        <v>430</v>
      </c>
      <c r="V836" s="22" t="s">
        <v>77</v>
      </c>
      <c r="W836" s="23">
        <v>45</v>
      </c>
      <c r="X836" s="24"/>
    </row>
    <row r="837" spans="1:24" s="1" customFormat="1" ht="108" customHeight="1" x14ac:dyDescent="0.3">
      <c r="A837" s="11" t="s">
        <v>607</v>
      </c>
      <c r="B837" s="11" t="s">
        <v>1555</v>
      </c>
      <c r="C837" s="12" t="s">
        <v>1556</v>
      </c>
      <c r="D837" s="13"/>
      <c r="E837" s="67" t="str">
        <f>HYPERLINK("https://www.google.ru/search?q=262224-BKCC&amp;newwindow=1&amp;tbm=isch","Еще фото")</f>
        <v>Еще фото</v>
      </c>
      <c r="F837" s="14"/>
      <c r="G837" s="11" t="s">
        <v>1547</v>
      </c>
      <c r="H837" s="11" t="s">
        <v>291</v>
      </c>
      <c r="I837" s="15" t="s">
        <v>1543</v>
      </c>
      <c r="J837" s="15" t="s">
        <v>360</v>
      </c>
      <c r="K837" s="16" t="s">
        <v>71</v>
      </c>
      <c r="L837" s="15" t="s">
        <v>1557</v>
      </c>
      <c r="M837" s="15"/>
      <c r="N837" s="15" t="s">
        <v>38</v>
      </c>
      <c r="O837" s="15"/>
      <c r="P837" s="16" t="s">
        <v>106</v>
      </c>
      <c r="Q837" s="17">
        <v>7599</v>
      </c>
      <c r="R837" s="18">
        <v>45.02</v>
      </c>
      <c r="S837" s="19">
        <v>4804.4355000000005</v>
      </c>
      <c r="T837" s="20" t="s">
        <v>75</v>
      </c>
      <c r="U837" s="21" t="s">
        <v>430</v>
      </c>
      <c r="V837" s="22" t="s">
        <v>77</v>
      </c>
      <c r="W837" s="23">
        <v>16</v>
      </c>
      <c r="X837" s="24"/>
    </row>
    <row r="838" spans="1:24" s="1" customFormat="1" ht="108" customHeight="1" x14ac:dyDescent="0.3">
      <c r="A838" s="11" t="s">
        <v>607</v>
      </c>
      <c r="B838" s="11" t="s">
        <v>1558</v>
      </c>
      <c r="C838" s="12" t="s">
        <v>1559</v>
      </c>
      <c r="D838" s="13"/>
      <c r="E838" s="67" t="str">
        <f>HYPERLINK("https://www.google.ru/search?q=262324-BLBK&amp;newwindow=1&amp;tbm=isch","Еще фото")</f>
        <v>Еще фото</v>
      </c>
      <c r="F838" s="14"/>
      <c r="G838" s="11" t="s">
        <v>1547</v>
      </c>
      <c r="H838" s="11" t="s">
        <v>291</v>
      </c>
      <c r="I838" s="15" t="s">
        <v>1543</v>
      </c>
      <c r="J838" s="15" t="s">
        <v>360</v>
      </c>
      <c r="K838" s="16" t="s">
        <v>71</v>
      </c>
      <c r="L838" s="15" t="s">
        <v>1557</v>
      </c>
      <c r="M838" s="15"/>
      <c r="N838" s="15" t="s">
        <v>31</v>
      </c>
      <c r="O838" s="15"/>
      <c r="P838" s="16" t="s">
        <v>106</v>
      </c>
      <c r="Q838" s="17">
        <v>7599</v>
      </c>
      <c r="R838" s="18">
        <v>45.02</v>
      </c>
      <c r="S838" s="19">
        <v>4804.4355000000005</v>
      </c>
      <c r="T838" s="20" t="s">
        <v>75</v>
      </c>
      <c r="U838" s="21" t="s">
        <v>430</v>
      </c>
      <c r="V838" s="22" t="s">
        <v>77</v>
      </c>
      <c r="W838" s="23">
        <v>11</v>
      </c>
      <c r="X838" s="24"/>
    </row>
    <row r="839" spans="1:24" s="1" customFormat="1" ht="108" customHeight="1" x14ac:dyDescent="0.3">
      <c r="A839" s="11" t="s">
        <v>607</v>
      </c>
      <c r="B839" s="11" t="s">
        <v>1560</v>
      </c>
      <c r="C839" s="12" t="s">
        <v>1561</v>
      </c>
      <c r="D839" s="13"/>
      <c r="E839" s="67" t="str">
        <f>HYPERLINK("https://www.google.ru/search?q=260754-Monster&amp;newwindow=1&amp;tbm=isch","Еще фото")</f>
        <v>Еще фото</v>
      </c>
      <c r="F839" s="14"/>
      <c r="G839" s="11" t="s">
        <v>1542</v>
      </c>
      <c r="H839" s="11" t="s">
        <v>291</v>
      </c>
      <c r="I839" s="15" t="s">
        <v>1543</v>
      </c>
      <c r="J839" s="15" t="s">
        <v>360</v>
      </c>
      <c r="K839" s="16" t="s">
        <v>71</v>
      </c>
      <c r="L839" s="15" t="s">
        <v>1562</v>
      </c>
      <c r="M839" s="15"/>
      <c r="N839" s="15" t="s">
        <v>1563</v>
      </c>
      <c r="O839" s="15"/>
      <c r="P839" s="16" t="s">
        <v>106</v>
      </c>
      <c r="Q839" s="17">
        <v>7999</v>
      </c>
      <c r="R839" s="18">
        <v>45.02</v>
      </c>
      <c r="S839" s="19">
        <v>5057.4355000000005</v>
      </c>
      <c r="T839" s="20" t="s">
        <v>75</v>
      </c>
      <c r="U839" s="21" t="s">
        <v>430</v>
      </c>
      <c r="V839" s="22" t="s">
        <v>77</v>
      </c>
      <c r="W839" s="23">
        <v>28</v>
      </c>
      <c r="X839" s="24"/>
    </row>
    <row r="840" spans="1:24" s="1" customFormat="1" ht="108" customHeight="1" x14ac:dyDescent="0.3">
      <c r="A840" s="11" t="s">
        <v>607</v>
      </c>
      <c r="B840" s="11" t="s">
        <v>1564</v>
      </c>
      <c r="C840" s="12" t="s">
        <v>1565</v>
      </c>
      <c r="D840" s="13"/>
      <c r="E840" s="67" t="str">
        <f>HYPERLINK("https://www.google.ru/search?q=260303-LNLL&amp;newwindow=1&amp;tbm=isch","Еще фото")</f>
        <v>Еще фото</v>
      </c>
      <c r="F840" s="14"/>
      <c r="G840" s="11" t="s">
        <v>1547</v>
      </c>
      <c r="H840" s="11" t="s">
        <v>291</v>
      </c>
      <c r="I840" s="15" t="s">
        <v>1543</v>
      </c>
      <c r="J840" s="15" t="s">
        <v>360</v>
      </c>
      <c r="K840" s="16" t="s">
        <v>71</v>
      </c>
      <c r="L840" s="15" t="s">
        <v>1566</v>
      </c>
      <c r="M840" s="15"/>
      <c r="N840" s="15" t="s">
        <v>55</v>
      </c>
      <c r="O840" s="15"/>
      <c r="P840" s="16" t="s">
        <v>106</v>
      </c>
      <c r="Q840" s="17">
        <v>13999</v>
      </c>
      <c r="R840" s="18">
        <v>45.01</v>
      </c>
      <c r="S840" s="19">
        <v>8852.4354999999996</v>
      </c>
      <c r="T840" s="20" t="s">
        <v>75</v>
      </c>
      <c r="U840" s="21" t="s">
        <v>430</v>
      </c>
      <c r="V840" s="22" t="s">
        <v>77</v>
      </c>
      <c r="W840" s="23">
        <v>1</v>
      </c>
      <c r="X840" s="24"/>
    </row>
    <row r="841" spans="1:24" s="1" customFormat="1" ht="108" customHeight="1" x14ac:dyDescent="0.3">
      <c r="A841" s="11" t="s">
        <v>607</v>
      </c>
      <c r="B841" s="11" t="s">
        <v>1567</v>
      </c>
      <c r="C841" s="12" t="s">
        <v>1568</v>
      </c>
      <c r="D841" s="13"/>
      <c r="E841" s="67" t="str">
        <f>HYPERLINK("https://www.google.ru/search?q=260703-CB&amp;newwindow=1&amp;tbm=isch","Еще фото")</f>
        <v>Еще фото</v>
      </c>
      <c r="F841" s="14"/>
      <c r="G841" s="11" t="s">
        <v>1569</v>
      </c>
      <c r="H841" s="11" t="s">
        <v>291</v>
      </c>
      <c r="I841" s="15" t="s">
        <v>1543</v>
      </c>
      <c r="J841" s="15" t="s">
        <v>360</v>
      </c>
      <c r="K841" s="16" t="s">
        <v>71</v>
      </c>
      <c r="L841" s="15" t="s">
        <v>1551</v>
      </c>
      <c r="M841" s="15"/>
      <c r="N841" s="15" t="s">
        <v>31</v>
      </c>
      <c r="O841" s="15"/>
      <c r="P841" s="16" t="s">
        <v>106</v>
      </c>
      <c r="Q841" s="17">
        <v>13499</v>
      </c>
      <c r="R841" s="18">
        <v>33</v>
      </c>
      <c r="S841" s="19">
        <v>10400.979499999999</v>
      </c>
      <c r="T841" s="20" t="s">
        <v>75</v>
      </c>
      <c r="U841" s="21" t="s">
        <v>430</v>
      </c>
      <c r="V841" s="22" t="s">
        <v>77</v>
      </c>
      <c r="W841" s="23">
        <v>4</v>
      </c>
      <c r="X841" s="24"/>
    </row>
    <row r="842" spans="1:24" s="1" customFormat="1" ht="108" customHeight="1" x14ac:dyDescent="0.3">
      <c r="A842" s="11" t="s">
        <v>607</v>
      </c>
      <c r="B842" s="11" t="s">
        <v>1570</v>
      </c>
      <c r="C842" s="12" t="s">
        <v>1571</v>
      </c>
      <c r="D842" s="13"/>
      <c r="E842" s="67" t="str">
        <f>HYPERLINK("https://www.google.ru/search?q=261315-NV&amp;newwindow=1&amp;tbm=isch","Еще фото")</f>
        <v>Еще фото</v>
      </c>
      <c r="F842" s="14"/>
      <c r="G842" s="11" t="s">
        <v>1547</v>
      </c>
      <c r="H842" s="11" t="s">
        <v>291</v>
      </c>
      <c r="I842" s="15" t="s">
        <v>1543</v>
      </c>
      <c r="J842" s="15" t="s">
        <v>360</v>
      </c>
      <c r="K842" s="16" t="s">
        <v>71</v>
      </c>
      <c r="L842" s="15" t="s">
        <v>1572</v>
      </c>
      <c r="M842" s="15"/>
      <c r="N842" s="15" t="s">
        <v>31</v>
      </c>
      <c r="O842" s="15"/>
      <c r="P842" s="16" t="s">
        <v>106</v>
      </c>
      <c r="Q842" s="17">
        <v>7199</v>
      </c>
      <c r="R842" s="18">
        <v>33</v>
      </c>
      <c r="S842" s="19">
        <v>5546.8294999999998</v>
      </c>
      <c r="T842" s="20" t="s">
        <v>75</v>
      </c>
      <c r="U842" s="21" t="s">
        <v>430</v>
      </c>
      <c r="V842" s="22" t="s">
        <v>77</v>
      </c>
      <c r="W842" s="23">
        <v>6</v>
      </c>
      <c r="X842" s="24"/>
    </row>
    <row r="843" spans="1:24" s="1" customFormat="1" ht="108" customHeight="1" x14ac:dyDescent="0.3">
      <c r="A843" s="11" t="s">
        <v>607</v>
      </c>
      <c r="B843" s="11" t="s">
        <v>1573</v>
      </c>
      <c r="C843" s="12" t="s">
        <v>1574</v>
      </c>
      <c r="D843" s="13"/>
      <c r="E843" s="67" t="str">
        <f>HYPERLINK("https://www.google.ru/search?q=261325-NV&amp;newwindow=1&amp;tbm=isch","Еще фото")</f>
        <v>Еще фото</v>
      </c>
      <c r="F843" s="14"/>
      <c r="G843" s="11" t="s">
        <v>1547</v>
      </c>
      <c r="H843" s="11" t="s">
        <v>291</v>
      </c>
      <c r="I843" s="15" t="s">
        <v>1543</v>
      </c>
      <c r="J843" s="15" t="s">
        <v>360</v>
      </c>
      <c r="K843" s="16" t="s">
        <v>71</v>
      </c>
      <c r="L843" s="15" t="s">
        <v>1575</v>
      </c>
      <c r="M843" s="15"/>
      <c r="N843" s="15" t="s">
        <v>31</v>
      </c>
      <c r="O843" s="15"/>
      <c r="P843" s="16" t="s">
        <v>106</v>
      </c>
      <c r="Q843" s="17">
        <v>5299</v>
      </c>
      <c r="R843" s="18">
        <v>33</v>
      </c>
      <c r="S843" s="19">
        <v>4082.8794999999996</v>
      </c>
      <c r="T843" s="20" t="s">
        <v>75</v>
      </c>
      <c r="U843" s="21" t="s">
        <v>430</v>
      </c>
      <c r="V843" s="22" t="s">
        <v>77</v>
      </c>
      <c r="W843" s="23">
        <v>21</v>
      </c>
      <c r="X843" s="24"/>
    </row>
    <row r="844" spans="1:24" s="1" customFormat="1" ht="108" customHeight="1" x14ac:dyDescent="0.3">
      <c r="A844" s="11" t="s">
        <v>607</v>
      </c>
      <c r="B844" s="11" t="s">
        <v>1576</v>
      </c>
      <c r="C844" s="12" t="s">
        <v>1577</v>
      </c>
      <c r="D844" s="13"/>
      <c r="E844" s="67" t="str">
        <f>HYPERLINK("https://www.google.ru/search?q=262314-BLBK&amp;newwindow=1&amp;tbm=isch","Еще фото")</f>
        <v>Еще фото</v>
      </c>
      <c r="F844" s="14"/>
      <c r="G844" s="11" t="s">
        <v>1547</v>
      </c>
      <c r="H844" s="11" t="s">
        <v>291</v>
      </c>
      <c r="I844" s="15" t="s">
        <v>1543</v>
      </c>
      <c r="J844" s="15" t="s">
        <v>360</v>
      </c>
      <c r="K844" s="16" t="s">
        <v>71</v>
      </c>
      <c r="L844" s="15" t="s">
        <v>1578</v>
      </c>
      <c r="M844" s="15"/>
      <c r="N844" s="15" t="s">
        <v>31</v>
      </c>
      <c r="O844" s="15"/>
      <c r="P844" s="16" t="s">
        <v>106</v>
      </c>
      <c r="Q844" s="17">
        <v>8999</v>
      </c>
      <c r="R844" s="18">
        <v>33</v>
      </c>
      <c r="S844" s="19">
        <v>6933.7294999999995</v>
      </c>
      <c r="T844" s="20" t="s">
        <v>75</v>
      </c>
      <c r="U844" s="21" t="s">
        <v>430</v>
      </c>
      <c r="V844" s="22" t="s">
        <v>77</v>
      </c>
      <c r="W844" s="23">
        <v>23</v>
      </c>
      <c r="X844" s="24"/>
    </row>
    <row r="845" spans="1:24" s="1" customFormat="1" ht="108" customHeight="1" x14ac:dyDescent="0.3">
      <c r="A845" s="11" t="s">
        <v>607</v>
      </c>
      <c r="B845" s="11" t="s">
        <v>1579</v>
      </c>
      <c r="C845" s="12" t="s">
        <v>1580</v>
      </c>
      <c r="D845" s="13"/>
      <c r="E845" s="67" t="str">
        <f>HYPERLINK("https://www.google.ru/search?q=260015-BK&amp;newwindow=1&amp;tbm=isch","Еще фото")</f>
        <v>Еще фото</v>
      </c>
      <c r="F845" s="14"/>
      <c r="G845" s="11" t="s">
        <v>1581</v>
      </c>
      <c r="H845" s="11" t="s">
        <v>291</v>
      </c>
      <c r="I845" s="15" t="s">
        <v>1543</v>
      </c>
      <c r="J845" s="15" t="s">
        <v>360</v>
      </c>
      <c r="K845" s="16" t="s">
        <v>71</v>
      </c>
      <c r="L845" s="15" t="s">
        <v>1582</v>
      </c>
      <c r="M845" s="15"/>
      <c r="N845" s="15" t="s">
        <v>38</v>
      </c>
      <c r="O845" s="15"/>
      <c r="P845" s="16" t="s">
        <v>106</v>
      </c>
      <c r="Q845" s="17">
        <v>18499</v>
      </c>
      <c r="R845" s="18">
        <v>30</v>
      </c>
      <c r="S845" s="19">
        <v>14891.694999999998</v>
      </c>
      <c r="T845" s="20" t="s">
        <v>75</v>
      </c>
      <c r="U845" s="21" t="s">
        <v>430</v>
      </c>
      <c r="V845" s="22" t="s">
        <v>77</v>
      </c>
      <c r="W845" s="23">
        <v>1</v>
      </c>
      <c r="X845" s="24"/>
    </row>
    <row r="846" spans="1:24" s="1" customFormat="1" ht="108" customHeight="1" x14ac:dyDescent="0.3">
      <c r="A846" s="11" t="s">
        <v>607</v>
      </c>
      <c r="B846" s="11" t="s">
        <v>1583</v>
      </c>
      <c r="C846" s="12" t="s">
        <v>1584</v>
      </c>
      <c r="D846" s="13"/>
      <c r="E846" s="67" t="str">
        <f>HYPERLINK("https://www.google.ru/search?q=260113-BK&amp;newwindow=1&amp;tbm=isch","Еще фото")</f>
        <v>Еще фото</v>
      </c>
      <c r="F846" s="14"/>
      <c r="G846" s="11" t="s">
        <v>1547</v>
      </c>
      <c r="H846" s="11" t="s">
        <v>291</v>
      </c>
      <c r="I846" s="15" t="s">
        <v>1543</v>
      </c>
      <c r="J846" s="15" t="s">
        <v>360</v>
      </c>
      <c r="K846" s="16" t="s">
        <v>71</v>
      </c>
      <c r="L846" s="15" t="s">
        <v>1585</v>
      </c>
      <c r="M846" s="15"/>
      <c r="N846" s="15" t="s">
        <v>38</v>
      </c>
      <c r="O846" s="15"/>
      <c r="P846" s="16" t="s">
        <v>106</v>
      </c>
      <c r="Q846" s="17">
        <v>14799</v>
      </c>
      <c r="R846" s="18">
        <v>30</v>
      </c>
      <c r="S846" s="19">
        <v>11913.194999999998</v>
      </c>
      <c r="T846" s="20" t="s">
        <v>75</v>
      </c>
      <c r="U846" s="21" t="s">
        <v>430</v>
      </c>
      <c r="V846" s="22" t="s">
        <v>77</v>
      </c>
      <c r="W846" s="23">
        <v>5</v>
      </c>
      <c r="X846" s="24"/>
    </row>
    <row r="847" spans="1:24" s="1" customFormat="1" ht="108" customHeight="1" x14ac:dyDescent="0.3">
      <c r="A847" s="11" t="s">
        <v>607</v>
      </c>
      <c r="B847" s="11" t="s">
        <v>1586</v>
      </c>
      <c r="C847" s="12" t="s">
        <v>1587</v>
      </c>
      <c r="D847" s="13"/>
      <c r="E847" s="67" t="str">
        <f>HYPERLINK("https://www.google.ru/search?q=260213-DYFO&amp;newwindow=1&amp;tbm=isch","Еще фото")</f>
        <v>Еще фото</v>
      </c>
      <c r="F847" s="14"/>
      <c r="G847" s="11" t="s">
        <v>1547</v>
      </c>
      <c r="H847" s="11" t="s">
        <v>291</v>
      </c>
      <c r="I847" s="15" t="s">
        <v>1543</v>
      </c>
      <c r="J847" s="15" t="s">
        <v>360</v>
      </c>
      <c r="K847" s="16" t="s">
        <v>71</v>
      </c>
      <c r="L847" s="15" t="s">
        <v>1588</v>
      </c>
      <c r="M847" s="15"/>
      <c r="N847" s="15" t="s">
        <v>55</v>
      </c>
      <c r="O847" s="15"/>
      <c r="P847" s="16" t="s">
        <v>106</v>
      </c>
      <c r="Q847" s="17">
        <v>13129</v>
      </c>
      <c r="R847" s="18">
        <v>30</v>
      </c>
      <c r="S847" s="19">
        <v>10568.844999999998</v>
      </c>
      <c r="T847" s="20" t="s">
        <v>75</v>
      </c>
      <c r="U847" s="21" t="s">
        <v>430</v>
      </c>
      <c r="V847" s="22" t="s">
        <v>77</v>
      </c>
      <c r="W847" s="23">
        <v>10</v>
      </c>
      <c r="X847" s="24"/>
    </row>
    <row r="848" spans="1:24" s="1" customFormat="1" ht="108" customHeight="1" x14ac:dyDescent="0.3">
      <c r="A848" s="11" t="s">
        <v>607</v>
      </c>
      <c r="B848" s="11" t="s">
        <v>1589</v>
      </c>
      <c r="C848" s="12" t="s">
        <v>1590</v>
      </c>
      <c r="D848" s="13"/>
      <c r="E848" s="67" t="str">
        <f>HYPERLINK("https://www.google.ru/search?q=260514-KG&amp;newwindow=1&amp;tbm=isch","Еще фото")</f>
        <v>Еще фото</v>
      </c>
      <c r="F848" s="14"/>
      <c r="G848" s="11" t="s">
        <v>1542</v>
      </c>
      <c r="H848" s="11" t="s">
        <v>291</v>
      </c>
      <c r="I848" s="15" t="s">
        <v>1543</v>
      </c>
      <c r="J848" s="15" t="s">
        <v>360</v>
      </c>
      <c r="K848" s="16" t="s">
        <v>71</v>
      </c>
      <c r="L848" s="15" t="s">
        <v>1591</v>
      </c>
      <c r="M848" s="15"/>
      <c r="N848" s="15" t="s">
        <v>218</v>
      </c>
      <c r="O848" s="15"/>
      <c r="P848" s="16" t="s">
        <v>106</v>
      </c>
      <c r="Q848" s="17">
        <v>10999</v>
      </c>
      <c r="R848" s="18">
        <v>30</v>
      </c>
      <c r="S848" s="19">
        <v>8854.1949999999997</v>
      </c>
      <c r="T848" s="20" t="s">
        <v>75</v>
      </c>
      <c r="U848" s="21" t="s">
        <v>430</v>
      </c>
      <c r="V848" s="22" t="s">
        <v>77</v>
      </c>
      <c r="W848" s="23">
        <v>9</v>
      </c>
      <c r="X848" s="24"/>
    </row>
    <row r="849" spans="1:24" s="1" customFormat="1" ht="108" customHeight="1" x14ac:dyDescent="0.3">
      <c r="A849" s="11" t="s">
        <v>607</v>
      </c>
      <c r="B849" s="11" t="s">
        <v>1592</v>
      </c>
      <c r="C849" s="12" t="s">
        <v>1593</v>
      </c>
      <c r="D849" s="13"/>
      <c r="E849" s="67" t="str">
        <f>HYPERLINK("https://www.google.ru/search?q=260524-KG&amp;newwindow=1&amp;tbm=isch","Еще фото")</f>
        <v>Еще фото</v>
      </c>
      <c r="F849" s="14"/>
      <c r="G849" s="11" t="s">
        <v>1542</v>
      </c>
      <c r="H849" s="11" t="s">
        <v>291</v>
      </c>
      <c r="I849" s="15" t="s">
        <v>1543</v>
      </c>
      <c r="J849" s="15" t="s">
        <v>360</v>
      </c>
      <c r="K849" s="16" t="s">
        <v>71</v>
      </c>
      <c r="L849" s="15" t="s">
        <v>1594</v>
      </c>
      <c r="M849" s="15"/>
      <c r="N849" s="15" t="s">
        <v>218</v>
      </c>
      <c r="O849" s="15"/>
      <c r="P849" s="16" t="s">
        <v>106</v>
      </c>
      <c r="Q849" s="17">
        <v>10199</v>
      </c>
      <c r="R849" s="18">
        <v>30</v>
      </c>
      <c r="S849" s="19">
        <v>8210.1949999999997</v>
      </c>
      <c r="T849" s="20" t="s">
        <v>75</v>
      </c>
      <c r="U849" s="21" t="s">
        <v>430</v>
      </c>
      <c r="V849" s="22" t="s">
        <v>77</v>
      </c>
      <c r="W849" s="23">
        <v>3</v>
      </c>
      <c r="X849" s="24"/>
    </row>
    <row r="850" spans="1:24" s="1" customFormat="1" ht="108" customHeight="1" x14ac:dyDescent="0.3">
      <c r="A850" s="11" t="s">
        <v>607</v>
      </c>
      <c r="B850" s="11" t="s">
        <v>1595</v>
      </c>
      <c r="C850" s="12" t="s">
        <v>1596</v>
      </c>
      <c r="D850" s="13"/>
      <c r="E850" s="67" t="str">
        <f>HYPERLINK("https://www.google.ru/search?q=260644-BKWH&amp;newwindow=1&amp;tbm=isch","Еще фото")</f>
        <v>Еще фото</v>
      </c>
      <c r="F850" s="14"/>
      <c r="G850" s="11" t="s">
        <v>1542</v>
      </c>
      <c r="H850" s="11" t="s">
        <v>291</v>
      </c>
      <c r="I850" s="15" t="s">
        <v>1543</v>
      </c>
      <c r="J850" s="15" t="s">
        <v>360</v>
      </c>
      <c r="K850" s="16" t="s">
        <v>71</v>
      </c>
      <c r="L850" s="15" t="s">
        <v>1597</v>
      </c>
      <c r="M850" s="15"/>
      <c r="N850" s="15" t="s">
        <v>38</v>
      </c>
      <c r="O850" s="15"/>
      <c r="P850" s="16" t="s">
        <v>106</v>
      </c>
      <c r="Q850" s="17">
        <v>7499</v>
      </c>
      <c r="R850" s="18">
        <v>30</v>
      </c>
      <c r="S850" s="19">
        <v>6036.6949999999997</v>
      </c>
      <c r="T850" s="20" t="s">
        <v>75</v>
      </c>
      <c r="U850" s="21" t="s">
        <v>430</v>
      </c>
      <c r="V850" s="22" t="s">
        <v>77</v>
      </c>
      <c r="W850" s="23">
        <v>5</v>
      </c>
      <c r="X850" s="24"/>
    </row>
    <row r="851" spans="1:24" s="1" customFormat="1" ht="108" customHeight="1" x14ac:dyDescent="0.3">
      <c r="A851" s="11" t="s">
        <v>607</v>
      </c>
      <c r="B851" s="11" t="s">
        <v>1598</v>
      </c>
      <c r="C851" s="12" t="s">
        <v>1599</v>
      </c>
      <c r="D851" s="13"/>
      <c r="E851" s="67" t="str">
        <f>HYPERLINK("https://www.google.ru/search?q=260694-BKWH&amp;newwindow=1&amp;tbm=isch","Еще фото")</f>
        <v>Еще фото</v>
      </c>
      <c r="F851" s="14"/>
      <c r="G851" s="11" t="s">
        <v>1542</v>
      </c>
      <c r="H851" s="11" t="s">
        <v>291</v>
      </c>
      <c r="I851" s="15" t="s">
        <v>1543</v>
      </c>
      <c r="J851" s="15" t="s">
        <v>360</v>
      </c>
      <c r="K851" s="16" t="s">
        <v>71</v>
      </c>
      <c r="L851" s="15" t="s">
        <v>1600</v>
      </c>
      <c r="M851" s="15"/>
      <c r="N851" s="15" t="s">
        <v>38</v>
      </c>
      <c r="O851" s="15"/>
      <c r="P851" s="16" t="s">
        <v>106</v>
      </c>
      <c r="Q851" s="17">
        <v>7799</v>
      </c>
      <c r="R851" s="18">
        <v>30</v>
      </c>
      <c r="S851" s="19">
        <v>6278.1949999999997</v>
      </c>
      <c r="T851" s="20" t="s">
        <v>75</v>
      </c>
      <c r="U851" s="21" t="s">
        <v>430</v>
      </c>
      <c r="V851" s="22" t="s">
        <v>77</v>
      </c>
      <c r="W851" s="23">
        <v>2</v>
      </c>
      <c r="X851" s="24"/>
    </row>
    <row r="852" spans="1:24" s="1" customFormat="1" ht="108" customHeight="1" x14ac:dyDescent="0.3">
      <c r="A852" s="11" t="s">
        <v>607</v>
      </c>
      <c r="B852" s="11" t="s">
        <v>1601</v>
      </c>
      <c r="C852" s="12" t="s">
        <v>1602</v>
      </c>
      <c r="D852" s="13"/>
      <c r="E852" s="67" t="str">
        <f>HYPERLINK("https://www.google.ru/search?q=260744-BKWH&amp;newwindow=1&amp;tbm=isch","Еще фото")</f>
        <v>Еще фото</v>
      </c>
      <c r="F852" s="14"/>
      <c r="G852" s="11" t="s">
        <v>1542</v>
      </c>
      <c r="H852" s="11" t="s">
        <v>291</v>
      </c>
      <c r="I852" s="15" t="s">
        <v>1543</v>
      </c>
      <c r="J852" s="15" t="s">
        <v>360</v>
      </c>
      <c r="K852" s="16" t="s">
        <v>71</v>
      </c>
      <c r="L852" s="15" t="s">
        <v>1603</v>
      </c>
      <c r="M852" s="15"/>
      <c r="N852" s="15" t="s">
        <v>38</v>
      </c>
      <c r="O852" s="15"/>
      <c r="P852" s="16" t="s">
        <v>106</v>
      </c>
      <c r="Q852" s="17">
        <v>7999</v>
      </c>
      <c r="R852" s="18">
        <v>30</v>
      </c>
      <c r="S852" s="19">
        <v>6439.1949999999997</v>
      </c>
      <c r="T852" s="20" t="s">
        <v>75</v>
      </c>
      <c r="U852" s="21" t="s">
        <v>430</v>
      </c>
      <c r="V852" s="22" t="s">
        <v>77</v>
      </c>
      <c r="W852" s="23">
        <v>12</v>
      </c>
      <c r="X852" s="24"/>
    </row>
    <row r="853" spans="1:24" s="1" customFormat="1" ht="108" customHeight="1" x14ac:dyDescent="0.3">
      <c r="A853" s="11" t="s">
        <v>607</v>
      </c>
      <c r="B853" s="11" t="s">
        <v>1604</v>
      </c>
      <c r="C853" s="12" t="s">
        <v>1605</v>
      </c>
      <c r="D853" s="13"/>
      <c r="E853" s="67" t="str">
        <f>HYPERLINK("https://www.google.ru/search?q=260784-Owl&amp;newwindow=1&amp;tbm=isch","Еще фото")</f>
        <v>Еще фото</v>
      </c>
      <c r="F853" s="14"/>
      <c r="G853" s="11" t="s">
        <v>1542</v>
      </c>
      <c r="H853" s="11" t="s">
        <v>291</v>
      </c>
      <c r="I853" s="15" t="s">
        <v>1543</v>
      </c>
      <c r="J853" s="15" t="s">
        <v>360</v>
      </c>
      <c r="K853" s="16" t="s">
        <v>71</v>
      </c>
      <c r="L853" s="15" t="s">
        <v>1544</v>
      </c>
      <c r="M853" s="15"/>
      <c r="N853" s="15" t="s">
        <v>55</v>
      </c>
      <c r="O853" s="15"/>
      <c r="P853" s="16" t="s">
        <v>106</v>
      </c>
      <c r="Q853" s="17">
        <v>4999</v>
      </c>
      <c r="R853" s="18">
        <v>30</v>
      </c>
      <c r="S853" s="19">
        <v>4024.1949999999997</v>
      </c>
      <c r="T853" s="20" t="s">
        <v>75</v>
      </c>
      <c r="U853" s="21" t="s">
        <v>430</v>
      </c>
      <c r="V853" s="22" t="s">
        <v>77</v>
      </c>
      <c r="W853" s="23">
        <v>22</v>
      </c>
      <c r="X853" s="24"/>
    </row>
    <row r="854" spans="1:24" s="1" customFormat="1" ht="108" customHeight="1" x14ac:dyDescent="0.3">
      <c r="A854" s="11" t="s">
        <v>607</v>
      </c>
      <c r="B854" s="11" t="s">
        <v>1567</v>
      </c>
      <c r="C854" s="12" t="s">
        <v>1606</v>
      </c>
      <c r="D854" s="13"/>
      <c r="E854" s="67" t="str">
        <f>HYPERLINK("https://www.google.ru/search?q=260805-NV&amp;newwindow=1&amp;tbm=isch","Еще фото")</f>
        <v>Еще фото</v>
      </c>
      <c r="F854" s="14"/>
      <c r="G854" s="11" t="s">
        <v>1581</v>
      </c>
      <c r="H854" s="11" t="s">
        <v>291</v>
      </c>
      <c r="I854" s="15" t="s">
        <v>1543</v>
      </c>
      <c r="J854" s="15" t="s">
        <v>360</v>
      </c>
      <c r="K854" s="16" t="s">
        <v>71</v>
      </c>
      <c r="L854" s="15" t="s">
        <v>1607</v>
      </c>
      <c r="M854" s="15"/>
      <c r="N854" s="15" t="s">
        <v>31</v>
      </c>
      <c r="O854" s="15"/>
      <c r="P854" s="16" t="s">
        <v>106</v>
      </c>
      <c r="Q854" s="17">
        <v>15399</v>
      </c>
      <c r="R854" s="18">
        <v>30</v>
      </c>
      <c r="S854" s="19">
        <v>12396.194999999998</v>
      </c>
      <c r="T854" s="20" t="s">
        <v>75</v>
      </c>
      <c r="U854" s="21" t="s">
        <v>430</v>
      </c>
      <c r="V854" s="22" t="s">
        <v>77</v>
      </c>
      <c r="W854" s="23">
        <v>1</v>
      </c>
      <c r="X854" s="24"/>
    </row>
    <row r="855" spans="1:24" s="1" customFormat="1" ht="108" customHeight="1" x14ac:dyDescent="0.3">
      <c r="A855" s="11" t="s">
        <v>607</v>
      </c>
      <c r="B855" s="11" t="s">
        <v>1567</v>
      </c>
      <c r="C855" s="12" t="s">
        <v>1608</v>
      </c>
      <c r="D855" s="13"/>
      <c r="E855" s="67" t="str">
        <f>HYPERLINK("https://www.google.ru/search?q=260814-FO&amp;newwindow=1&amp;tbm=isch","Еще фото")</f>
        <v>Еще фото</v>
      </c>
      <c r="F855" s="14"/>
      <c r="G855" s="11" t="s">
        <v>1581</v>
      </c>
      <c r="H855" s="11" t="s">
        <v>291</v>
      </c>
      <c r="I855" s="15" t="s">
        <v>1543</v>
      </c>
      <c r="J855" s="15" t="s">
        <v>360</v>
      </c>
      <c r="K855" s="16" t="s">
        <v>71</v>
      </c>
      <c r="L855" s="15" t="s">
        <v>1551</v>
      </c>
      <c r="M855" s="15"/>
      <c r="N855" s="15" t="s">
        <v>73</v>
      </c>
      <c r="O855" s="15"/>
      <c r="P855" s="16" t="s">
        <v>106</v>
      </c>
      <c r="Q855" s="17">
        <v>13699</v>
      </c>
      <c r="R855" s="18">
        <v>30</v>
      </c>
      <c r="S855" s="19">
        <v>11027.694999999998</v>
      </c>
      <c r="T855" s="20" t="s">
        <v>75</v>
      </c>
      <c r="U855" s="21" t="s">
        <v>430</v>
      </c>
      <c r="V855" s="22" t="s">
        <v>77</v>
      </c>
      <c r="W855" s="23">
        <v>4</v>
      </c>
      <c r="X855" s="24"/>
    </row>
    <row r="856" spans="1:24" s="1" customFormat="1" ht="108" customHeight="1" x14ac:dyDescent="0.3">
      <c r="A856" s="11" t="s">
        <v>607</v>
      </c>
      <c r="B856" s="11" t="s">
        <v>1609</v>
      </c>
      <c r="C856" s="12" t="s">
        <v>1610</v>
      </c>
      <c r="D856" s="13"/>
      <c r="E856" s="67" t="str">
        <f>HYPERLINK("https://www.google.ru/search?q=260815-NV&amp;newwindow=1&amp;tbm=isch","Еще фото")</f>
        <v>Еще фото</v>
      </c>
      <c r="F856" s="14"/>
      <c r="G856" s="11" t="s">
        <v>1581</v>
      </c>
      <c r="H856" s="11" t="s">
        <v>291</v>
      </c>
      <c r="I856" s="15" t="s">
        <v>1543</v>
      </c>
      <c r="J856" s="15" t="s">
        <v>360</v>
      </c>
      <c r="K856" s="16" t="s">
        <v>71</v>
      </c>
      <c r="L856" s="15" t="s">
        <v>1611</v>
      </c>
      <c r="M856" s="15"/>
      <c r="N856" s="15" t="s">
        <v>31</v>
      </c>
      <c r="O856" s="15"/>
      <c r="P856" s="16" t="s">
        <v>106</v>
      </c>
      <c r="Q856" s="17">
        <v>12699</v>
      </c>
      <c r="R856" s="18">
        <v>30</v>
      </c>
      <c r="S856" s="19">
        <v>10222.694999999998</v>
      </c>
      <c r="T856" s="20" t="s">
        <v>75</v>
      </c>
      <c r="U856" s="21" t="s">
        <v>430</v>
      </c>
      <c r="V856" s="22" t="s">
        <v>77</v>
      </c>
      <c r="W856" s="23">
        <v>15</v>
      </c>
      <c r="X856" s="24"/>
    </row>
    <row r="857" spans="1:24" s="1" customFormat="1" ht="108" customHeight="1" x14ac:dyDescent="0.3">
      <c r="A857" s="11" t="s">
        <v>607</v>
      </c>
      <c r="B857" s="11" t="s">
        <v>1612</v>
      </c>
      <c r="C857" s="12" t="s">
        <v>1613</v>
      </c>
      <c r="D857" s="13"/>
      <c r="E857" s="67" t="str">
        <f>HYPERLINK("https://www.google.ru/search?q=260824-FO&amp;newwindow=1&amp;tbm=isch","Еще фото")</f>
        <v>Еще фото</v>
      </c>
      <c r="F857" s="14"/>
      <c r="G857" s="11" t="s">
        <v>1542</v>
      </c>
      <c r="H857" s="11" t="s">
        <v>291</v>
      </c>
      <c r="I857" s="15" t="s">
        <v>1543</v>
      </c>
      <c r="J857" s="15" t="s">
        <v>360</v>
      </c>
      <c r="K857" s="16" t="s">
        <v>71</v>
      </c>
      <c r="L857" s="15" t="s">
        <v>1614</v>
      </c>
      <c r="M857" s="15"/>
      <c r="N857" s="15" t="s">
        <v>73</v>
      </c>
      <c r="O857" s="15"/>
      <c r="P857" s="16" t="s">
        <v>106</v>
      </c>
      <c r="Q857" s="17">
        <v>11299</v>
      </c>
      <c r="R857" s="18">
        <v>30</v>
      </c>
      <c r="S857" s="19">
        <v>9095.6949999999997</v>
      </c>
      <c r="T857" s="20" t="s">
        <v>75</v>
      </c>
      <c r="U857" s="21" t="s">
        <v>430</v>
      </c>
      <c r="V857" s="22" t="s">
        <v>77</v>
      </c>
      <c r="W857" s="23">
        <v>7</v>
      </c>
      <c r="X857" s="24"/>
    </row>
    <row r="858" spans="1:24" s="1" customFormat="1" ht="108" customHeight="1" x14ac:dyDescent="0.3">
      <c r="A858" s="11" t="s">
        <v>607</v>
      </c>
      <c r="B858" s="11" t="s">
        <v>1615</v>
      </c>
      <c r="C858" s="12" t="s">
        <v>1616</v>
      </c>
      <c r="D858" s="13"/>
      <c r="E858" s="67" t="str">
        <f>HYPERLINK("https://www.google.ru/search?q=260835-NV&amp;newwindow=1&amp;tbm=isch","Еще фото")</f>
        <v>Еще фото</v>
      </c>
      <c r="F858" s="14"/>
      <c r="G858" s="11" t="s">
        <v>1581</v>
      </c>
      <c r="H858" s="11" t="s">
        <v>291</v>
      </c>
      <c r="I858" s="15" t="s">
        <v>1543</v>
      </c>
      <c r="J858" s="15" t="s">
        <v>360</v>
      </c>
      <c r="K858" s="16" t="s">
        <v>71</v>
      </c>
      <c r="L858" s="15" t="s">
        <v>1617</v>
      </c>
      <c r="M858" s="15"/>
      <c r="N858" s="15" t="s">
        <v>31</v>
      </c>
      <c r="O858" s="15"/>
      <c r="P858" s="16" t="s">
        <v>106</v>
      </c>
      <c r="Q858" s="17">
        <v>8299</v>
      </c>
      <c r="R858" s="18">
        <v>30</v>
      </c>
      <c r="S858" s="19">
        <v>6680.6949999999997</v>
      </c>
      <c r="T858" s="20" t="s">
        <v>75</v>
      </c>
      <c r="U858" s="21" t="s">
        <v>430</v>
      </c>
      <c r="V858" s="22" t="s">
        <v>77</v>
      </c>
      <c r="W858" s="23">
        <v>36</v>
      </c>
      <c r="X858" s="24"/>
    </row>
    <row r="859" spans="1:24" s="1" customFormat="1" ht="108" customHeight="1" x14ac:dyDescent="0.3">
      <c r="A859" s="11" t="s">
        <v>607</v>
      </c>
      <c r="B859" s="11" t="s">
        <v>1618</v>
      </c>
      <c r="C859" s="12" t="s">
        <v>1619</v>
      </c>
      <c r="D859" s="13"/>
      <c r="E859" s="67" t="str">
        <f>HYPERLINK("https://www.google.ru/search?q=260854-FO&amp;newwindow=1&amp;tbm=isch","Еще фото")</f>
        <v>Еще фото</v>
      </c>
      <c r="F859" s="14"/>
      <c r="G859" s="11" t="s">
        <v>1542</v>
      </c>
      <c r="H859" s="11" t="s">
        <v>291</v>
      </c>
      <c r="I859" s="15" t="s">
        <v>1543</v>
      </c>
      <c r="J859" s="15" t="s">
        <v>360</v>
      </c>
      <c r="K859" s="16" t="s">
        <v>71</v>
      </c>
      <c r="L859" s="15" t="s">
        <v>1415</v>
      </c>
      <c r="M859" s="15"/>
      <c r="N859" s="15" t="s">
        <v>73</v>
      </c>
      <c r="O859" s="15"/>
      <c r="P859" s="16" t="s">
        <v>106</v>
      </c>
      <c r="Q859" s="17">
        <v>8999</v>
      </c>
      <c r="R859" s="18">
        <v>30</v>
      </c>
      <c r="S859" s="19">
        <v>7244.1949999999997</v>
      </c>
      <c r="T859" s="20" t="s">
        <v>75</v>
      </c>
      <c r="U859" s="21" t="s">
        <v>430</v>
      </c>
      <c r="V859" s="22" t="s">
        <v>77</v>
      </c>
      <c r="W859" s="23">
        <v>6</v>
      </c>
      <c r="X859" s="24"/>
    </row>
    <row r="860" spans="1:24" s="1" customFormat="1" ht="108" customHeight="1" x14ac:dyDescent="0.3">
      <c r="A860" s="11" t="s">
        <v>607</v>
      </c>
      <c r="B860" s="11" t="s">
        <v>1567</v>
      </c>
      <c r="C860" s="12" t="s">
        <v>1620</v>
      </c>
      <c r="D860" s="13"/>
      <c r="E860" s="67" t="str">
        <f>HYPERLINK("https://www.google.ru/search?q=260905-SG&amp;newwindow=1&amp;tbm=isch","Еще фото")</f>
        <v>Еще фото</v>
      </c>
      <c r="F860" s="14"/>
      <c r="G860" s="11" t="s">
        <v>1569</v>
      </c>
      <c r="H860" s="11" t="s">
        <v>291</v>
      </c>
      <c r="I860" s="15" t="s">
        <v>1543</v>
      </c>
      <c r="J860" s="15" t="s">
        <v>360</v>
      </c>
      <c r="K860" s="16" t="s">
        <v>71</v>
      </c>
      <c r="L860" s="15" t="s">
        <v>1551</v>
      </c>
      <c r="M860" s="15"/>
      <c r="N860" s="15" t="s">
        <v>55</v>
      </c>
      <c r="O860" s="15"/>
      <c r="P860" s="16" t="s">
        <v>989</v>
      </c>
      <c r="Q860" s="17">
        <v>12999</v>
      </c>
      <c r="R860" s="18">
        <v>30</v>
      </c>
      <c r="S860" s="19">
        <v>10464.194999999998</v>
      </c>
      <c r="T860" s="20" t="s">
        <v>75</v>
      </c>
      <c r="U860" s="21" t="s">
        <v>430</v>
      </c>
      <c r="V860" s="22" t="s">
        <v>77</v>
      </c>
      <c r="W860" s="23">
        <v>3</v>
      </c>
      <c r="X860" s="24"/>
    </row>
    <row r="861" spans="1:24" s="1" customFormat="1" ht="108" customHeight="1" x14ac:dyDescent="0.3">
      <c r="A861" s="11" t="s">
        <v>607</v>
      </c>
      <c r="B861" s="11" t="s">
        <v>1621</v>
      </c>
      <c r="C861" s="12" t="s">
        <v>1622</v>
      </c>
      <c r="D861" s="13"/>
      <c r="E861" s="67" t="str">
        <f>HYPERLINK("https://www.google.ru/search?q=260914-CCTE&amp;newwindow=1&amp;tbm=isch","Еще фото")</f>
        <v>Еще фото</v>
      </c>
      <c r="F861" s="14"/>
      <c r="G861" s="11" t="s">
        <v>1542</v>
      </c>
      <c r="H861" s="11" t="s">
        <v>291</v>
      </c>
      <c r="I861" s="15" t="s">
        <v>1543</v>
      </c>
      <c r="J861" s="15" t="s">
        <v>360</v>
      </c>
      <c r="K861" s="16" t="s">
        <v>71</v>
      </c>
      <c r="L861" s="15" t="s">
        <v>1551</v>
      </c>
      <c r="M861" s="15"/>
      <c r="N861" s="15" t="s">
        <v>218</v>
      </c>
      <c r="O861" s="15"/>
      <c r="P861" s="16" t="s">
        <v>106</v>
      </c>
      <c r="Q861" s="17">
        <v>13699</v>
      </c>
      <c r="R861" s="18">
        <v>30</v>
      </c>
      <c r="S861" s="19">
        <v>11027.694999999998</v>
      </c>
      <c r="T861" s="20" t="s">
        <v>75</v>
      </c>
      <c r="U861" s="21" t="s">
        <v>430</v>
      </c>
      <c r="V861" s="22" t="s">
        <v>77</v>
      </c>
      <c r="W861" s="23">
        <v>3</v>
      </c>
      <c r="X861" s="24"/>
    </row>
    <row r="862" spans="1:24" s="1" customFormat="1" ht="108" customHeight="1" x14ac:dyDescent="0.3">
      <c r="A862" s="11" t="s">
        <v>607</v>
      </c>
      <c r="B862" s="11" t="s">
        <v>1609</v>
      </c>
      <c r="C862" s="12" t="s">
        <v>1623</v>
      </c>
      <c r="D862" s="13"/>
      <c r="E862" s="67" t="str">
        <f>HYPERLINK("https://www.google.ru/search?q=260915-SG&amp;newwindow=1&amp;tbm=isch","Еще фото")</f>
        <v>Еще фото</v>
      </c>
      <c r="F862" s="14"/>
      <c r="G862" s="11" t="s">
        <v>1581</v>
      </c>
      <c r="H862" s="11" t="s">
        <v>291</v>
      </c>
      <c r="I862" s="15" t="s">
        <v>1543</v>
      </c>
      <c r="J862" s="15" t="s">
        <v>360</v>
      </c>
      <c r="K862" s="16" t="s">
        <v>71</v>
      </c>
      <c r="L862" s="15" t="s">
        <v>1624</v>
      </c>
      <c r="M862" s="15"/>
      <c r="N862" s="15" t="s">
        <v>55</v>
      </c>
      <c r="O862" s="15"/>
      <c r="P862" s="16" t="s">
        <v>106</v>
      </c>
      <c r="Q862" s="17">
        <v>11299</v>
      </c>
      <c r="R862" s="18">
        <v>30</v>
      </c>
      <c r="S862" s="19">
        <v>9095.6949999999997</v>
      </c>
      <c r="T862" s="20" t="s">
        <v>75</v>
      </c>
      <c r="U862" s="21" t="s">
        <v>430</v>
      </c>
      <c r="V862" s="22" t="s">
        <v>77</v>
      </c>
      <c r="W862" s="23">
        <v>3</v>
      </c>
      <c r="X862" s="24"/>
    </row>
    <row r="863" spans="1:24" s="1" customFormat="1" ht="108" customHeight="1" x14ac:dyDescent="0.3">
      <c r="A863" s="11" t="s">
        <v>607</v>
      </c>
      <c r="B863" s="11" t="s">
        <v>1625</v>
      </c>
      <c r="C863" s="12" t="s">
        <v>1626</v>
      </c>
      <c r="D863" s="13"/>
      <c r="E863" s="67" t="str">
        <f>HYPERLINK("https://www.google.ru/search?q=260924-CCTE&amp;newwindow=1&amp;tbm=isch","Еще фото")</f>
        <v>Еще фото</v>
      </c>
      <c r="F863" s="14"/>
      <c r="G863" s="11" t="s">
        <v>1542</v>
      </c>
      <c r="H863" s="11" t="s">
        <v>291</v>
      </c>
      <c r="I863" s="15" t="s">
        <v>1543</v>
      </c>
      <c r="J863" s="15" t="s">
        <v>360</v>
      </c>
      <c r="K863" s="16" t="s">
        <v>71</v>
      </c>
      <c r="L863" s="15" t="s">
        <v>1624</v>
      </c>
      <c r="M863" s="15"/>
      <c r="N863" s="15" t="s">
        <v>218</v>
      </c>
      <c r="O863" s="15"/>
      <c r="P863" s="16" t="s">
        <v>106</v>
      </c>
      <c r="Q863" s="17">
        <v>11299</v>
      </c>
      <c r="R863" s="18">
        <v>30</v>
      </c>
      <c r="S863" s="19">
        <v>9095.6949999999997</v>
      </c>
      <c r="T863" s="20" t="s">
        <v>75</v>
      </c>
      <c r="U863" s="21" t="s">
        <v>430</v>
      </c>
      <c r="V863" s="22" t="s">
        <v>77</v>
      </c>
      <c r="W863" s="23">
        <v>2</v>
      </c>
      <c r="X863" s="24"/>
    </row>
    <row r="864" spans="1:24" s="1" customFormat="1" ht="108" customHeight="1" x14ac:dyDescent="0.3">
      <c r="A864" s="11" t="s">
        <v>607</v>
      </c>
      <c r="B864" s="11" t="s">
        <v>1615</v>
      </c>
      <c r="C864" s="12" t="s">
        <v>1627</v>
      </c>
      <c r="D864" s="13"/>
      <c r="E864" s="67" t="str">
        <f>HYPERLINK("https://www.google.ru/search?q=260935-SG&amp;newwindow=1&amp;tbm=isch","Еще фото")</f>
        <v>Еще фото</v>
      </c>
      <c r="F864" s="14"/>
      <c r="G864" s="11" t="s">
        <v>1581</v>
      </c>
      <c r="H864" s="11" t="s">
        <v>291</v>
      </c>
      <c r="I864" s="15" t="s">
        <v>1543</v>
      </c>
      <c r="J864" s="15" t="s">
        <v>360</v>
      </c>
      <c r="K864" s="16" t="s">
        <v>71</v>
      </c>
      <c r="L864" s="15" t="s">
        <v>1597</v>
      </c>
      <c r="M864" s="15"/>
      <c r="N864" s="15" t="s">
        <v>55</v>
      </c>
      <c r="O864" s="15"/>
      <c r="P864" s="16" t="s">
        <v>106</v>
      </c>
      <c r="Q864" s="17">
        <v>7499</v>
      </c>
      <c r="R864" s="18">
        <v>30</v>
      </c>
      <c r="S864" s="19">
        <v>6036.6949999999997</v>
      </c>
      <c r="T864" s="20" t="s">
        <v>75</v>
      </c>
      <c r="U864" s="21" t="s">
        <v>430</v>
      </c>
      <c r="V864" s="22" t="s">
        <v>77</v>
      </c>
      <c r="W864" s="23">
        <v>8</v>
      </c>
      <c r="X864" s="24"/>
    </row>
    <row r="865" spans="1:24" s="1" customFormat="1" ht="108" customHeight="1" x14ac:dyDescent="0.3">
      <c r="A865" s="11" t="s">
        <v>607</v>
      </c>
      <c r="B865" s="11" t="s">
        <v>1628</v>
      </c>
      <c r="C865" s="12" t="s">
        <v>1629</v>
      </c>
      <c r="D865" s="13"/>
      <c r="E865" s="67" t="str">
        <f>HYPERLINK("https://www.google.ru/search?q=260944-CCTE&amp;newwindow=1&amp;tbm=isch","Еще фото")</f>
        <v>Еще фото</v>
      </c>
      <c r="F865" s="14"/>
      <c r="G865" s="11" t="s">
        <v>1542</v>
      </c>
      <c r="H865" s="11" t="s">
        <v>291</v>
      </c>
      <c r="I865" s="15" t="s">
        <v>1543</v>
      </c>
      <c r="J865" s="15" t="s">
        <v>360</v>
      </c>
      <c r="K865" s="16" t="s">
        <v>71</v>
      </c>
      <c r="L865" s="15" t="s">
        <v>1597</v>
      </c>
      <c r="M865" s="15"/>
      <c r="N865" s="15" t="s">
        <v>218</v>
      </c>
      <c r="O865" s="15"/>
      <c r="P865" s="16" t="s">
        <v>106</v>
      </c>
      <c r="Q865" s="17">
        <v>7499</v>
      </c>
      <c r="R865" s="18">
        <v>30</v>
      </c>
      <c r="S865" s="19">
        <v>6036.6949999999997</v>
      </c>
      <c r="T865" s="20" t="s">
        <v>75</v>
      </c>
      <c r="U865" s="21" t="s">
        <v>430</v>
      </c>
      <c r="V865" s="22" t="s">
        <v>77</v>
      </c>
      <c r="W865" s="23">
        <v>7</v>
      </c>
      <c r="X865" s="24"/>
    </row>
    <row r="866" spans="1:24" s="1" customFormat="1" ht="108" customHeight="1" x14ac:dyDescent="0.3">
      <c r="A866" s="11" t="s">
        <v>607</v>
      </c>
      <c r="B866" s="11" t="s">
        <v>1630</v>
      </c>
      <c r="C866" s="12" t="s">
        <v>1631</v>
      </c>
      <c r="D866" s="13"/>
      <c r="E866" s="67" t="str">
        <f>HYPERLINK("https://www.google.ru/search?q=260954-CCTE&amp;newwindow=1&amp;tbm=isch","Еще фото")</f>
        <v>Еще фото</v>
      </c>
      <c r="F866" s="14"/>
      <c r="G866" s="11" t="s">
        <v>1542</v>
      </c>
      <c r="H866" s="11" t="s">
        <v>291</v>
      </c>
      <c r="I866" s="15" t="s">
        <v>1543</v>
      </c>
      <c r="J866" s="15" t="s">
        <v>360</v>
      </c>
      <c r="K866" s="16" t="s">
        <v>71</v>
      </c>
      <c r="L866" s="15" t="s">
        <v>1415</v>
      </c>
      <c r="M866" s="15"/>
      <c r="N866" s="15" t="s">
        <v>218</v>
      </c>
      <c r="O866" s="15"/>
      <c r="P866" s="16" t="s">
        <v>106</v>
      </c>
      <c r="Q866" s="17">
        <v>8999</v>
      </c>
      <c r="R866" s="18">
        <v>30</v>
      </c>
      <c r="S866" s="19">
        <v>7244.1949999999997</v>
      </c>
      <c r="T866" s="20" t="s">
        <v>75</v>
      </c>
      <c r="U866" s="21" t="s">
        <v>430</v>
      </c>
      <c r="V866" s="22" t="s">
        <v>77</v>
      </c>
      <c r="W866" s="23">
        <v>16</v>
      </c>
      <c r="X866" s="24"/>
    </row>
    <row r="867" spans="1:24" s="1" customFormat="1" ht="108" customHeight="1" x14ac:dyDescent="0.3">
      <c r="A867" s="11" t="s">
        <v>607</v>
      </c>
      <c r="B867" s="11" t="s">
        <v>1632</v>
      </c>
      <c r="C867" s="12" t="s">
        <v>1633</v>
      </c>
      <c r="D867" s="13"/>
      <c r="E867" s="67" t="str">
        <f>HYPERLINK("https://www.google.ru/search?q=261205-BK&amp;newwindow=1&amp;tbm=isch","Еще фото")</f>
        <v>Еще фото</v>
      </c>
      <c r="F867" s="14"/>
      <c r="G867" s="11" t="s">
        <v>1547</v>
      </c>
      <c r="H867" s="11" t="s">
        <v>291</v>
      </c>
      <c r="I867" s="15" t="s">
        <v>1543</v>
      </c>
      <c r="J867" s="15" t="s">
        <v>360</v>
      </c>
      <c r="K867" s="16" t="s">
        <v>71</v>
      </c>
      <c r="L867" s="15" t="s">
        <v>1634</v>
      </c>
      <c r="M867" s="15"/>
      <c r="N867" s="15" t="s">
        <v>38</v>
      </c>
      <c r="O867" s="15"/>
      <c r="P867" s="16" t="s">
        <v>106</v>
      </c>
      <c r="Q867" s="17">
        <v>9199</v>
      </c>
      <c r="R867" s="18">
        <v>30</v>
      </c>
      <c r="S867" s="19">
        <v>7405.1949999999997</v>
      </c>
      <c r="T867" s="20" t="s">
        <v>75</v>
      </c>
      <c r="U867" s="21" t="s">
        <v>430</v>
      </c>
      <c r="V867" s="22" t="s">
        <v>77</v>
      </c>
      <c r="W867" s="23">
        <v>12</v>
      </c>
      <c r="X867" s="24"/>
    </row>
    <row r="868" spans="1:24" s="1" customFormat="1" ht="108" customHeight="1" x14ac:dyDescent="0.3">
      <c r="A868" s="11" t="s">
        <v>607</v>
      </c>
      <c r="B868" s="11" t="s">
        <v>1635</v>
      </c>
      <c r="C868" s="12" t="s">
        <v>1636</v>
      </c>
      <c r="D868" s="13"/>
      <c r="E868" s="67" t="str">
        <f>HYPERLINK("https://www.google.ru/search?q=261215-BK&amp;newwindow=1&amp;tbm=isch","Еще фото")</f>
        <v>Еще фото</v>
      </c>
      <c r="F868" s="14"/>
      <c r="G868" s="11" t="s">
        <v>1547</v>
      </c>
      <c r="H868" s="11" t="s">
        <v>291</v>
      </c>
      <c r="I868" s="15" t="s">
        <v>1543</v>
      </c>
      <c r="J868" s="15" t="s">
        <v>360</v>
      </c>
      <c r="K868" s="16" t="s">
        <v>71</v>
      </c>
      <c r="L868" s="15" t="s">
        <v>1637</v>
      </c>
      <c r="M868" s="15"/>
      <c r="N868" s="15" t="s">
        <v>38</v>
      </c>
      <c r="O868" s="15"/>
      <c r="P868" s="16" t="s">
        <v>106</v>
      </c>
      <c r="Q868" s="17">
        <v>7199</v>
      </c>
      <c r="R868" s="18">
        <v>30</v>
      </c>
      <c r="S868" s="19">
        <v>5795.1949999999997</v>
      </c>
      <c r="T868" s="20" t="s">
        <v>75</v>
      </c>
      <c r="U868" s="21" t="s">
        <v>430</v>
      </c>
      <c r="V868" s="22" t="s">
        <v>77</v>
      </c>
      <c r="W868" s="23">
        <v>9</v>
      </c>
      <c r="X868" s="24"/>
    </row>
    <row r="869" spans="1:24" s="1" customFormat="1" ht="108" customHeight="1" x14ac:dyDescent="0.3">
      <c r="A869" s="11" t="s">
        <v>607</v>
      </c>
      <c r="B869" s="11" t="s">
        <v>1638</v>
      </c>
      <c r="C869" s="12" t="s">
        <v>1639</v>
      </c>
      <c r="D869" s="13"/>
      <c r="E869" s="67" t="str">
        <f>HYPERLINK("https://www.google.ru/search?q=261313-BKOR&amp;newwindow=1&amp;tbm=isch","Еще фото")</f>
        <v>Еще фото</v>
      </c>
      <c r="F869" s="14"/>
      <c r="G869" s="11" t="s">
        <v>1569</v>
      </c>
      <c r="H869" s="11" t="s">
        <v>291</v>
      </c>
      <c r="I869" s="15" t="s">
        <v>1543</v>
      </c>
      <c r="J869" s="15" t="s">
        <v>360</v>
      </c>
      <c r="K869" s="16" t="s">
        <v>71</v>
      </c>
      <c r="L869" s="15" t="s">
        <v>1640</v>
      </c>
      <c r="M869" s="15"/>
      <c r="N869" s="15" t="s">
        <v>38</v>
      </c>
      <c r="O869" s="15"/>
      <c r="P869" s="16" t="s">
        <v>106</v>
      </c>
      <c r="Q869" s="17">
        <v>5999</v>
      </c>
      <c r="R869" s="18">
        <v>30</v>
      </c>
      <c r="S869" s="19">
        <v>4829.1949999999997</v>
      </c>
      <c r="T869" s="20" t="s">
        <v>75</v>
      </c>
      <c r="U869" s="21" t="s">
        <v>430</v>
      </c>
      <c r="V869" s="22" t="s">
        <v>77</v>
      </c>
      <c r="W869" s="23">
        <v>20</v>
      </c>
      <c r="X869" s="24"/>
    </row>
    <row r="870" spans="1:24" s="1" customFormat="1" ht="108" customHeight="1" x14ac:dyDescent="0.3">
      <c r="A870" s="11" t="s">
        <v>607</v>
      </c>
      <c r="B870" s="11" t="s">
        <v>1641</v>
      </c>
      <c r="C870" s="12" t="s">
        <v>1642</v>
      </c>
      <c r="D870" s="13"/>
      <c r="E870" s="67" t="str">
        <f>HYPERLINK("https://www.google.ru/search?q=261425-SG&amp;newwindow=1&amp;tbm=isch","Еще фото")</f>
        <v>Еще фото</v>
      </c>
      <c r="F870" s="14"/>
      <c r="G870" s="11" t="s">
        <v>1581</v>
      </c>
      <c r="H870" s="11" t="s">
        <v>291</v>
      </c>
      <c r="I870" s="15" t="s">
        <v>1543</v>
      </c>
      <c r="J870" s="15" t="s">
        <v>360</v>
      </c>
      <c r="K870" s="16" t="s">
        <v>71</v>
      </c>
      <c r="L870" s="15" t="s">
        <v>1575</v>
      </c>
      <c r="M870" s="15"/>
      <c r="N870" s="15" t="s">
        <v>55</v>
      </c>
      <c r="O870" s="15"/>
      <c r="P870" s="16" t="s">
        <v>106</v>
      </c>
      <c r="Q870" s="17">
        <v>5099</v>
      </c>
      <c r="R870" s="18">
        <v>30</v>
      </c>
      <c r="S870" s="19">
        <v>4104.6949999999997</v>
      </c>
      <c r="T870" s="20" t="s">
        <v>75</v>
      </c>
      <c r="U870" s="21" t="s">
        <v>430</v>
      </c>
      <c r="V870" s="22" t="s">
        <v>77</v>
      </c>
      <c r="W870" s="23">
        <v>2</v>
      </c>
      <c r="X870" s="24"/>
    </row>
    <row r="871" spans="1:24" s="1" customFormat="1" ht="108" customHeight="1" x14ac:dyDescent="0.3">
      <c r="A871" s="11" t="s">
        <v>607</v>
      </c>
      <c r="B871" s="11" t="s">
        <v>1643</v>
      </c>
      <c r="C871" s="12" t="s">
        <v>1644</v>
      </c>
      <c r="D871" s="13"/>
      <c r="E871" s="67" t="str">
        <f>HYPERLINK("https://www.google.ru/search?q=262214-BKCC&amp;newwindow=1&amp;tbm=isch","Еще фото")</f>
        <v>Еще фото</v>
      </c>
      <c r="F871" s="14"/>
      <c r="G871" s="11" t="s">
        <v>1547</v>
      </c>
      <c r="H871" s="11" t="s">
        <v>291</v>
      </c>
      <c r="I871" s="15" t="s">
        <v>1543</v>
      </c>
      <c r="J871" s="15" t="s">
        <v>360</v>
      </c>
      <c r="K871" s="16" t="s">
        <v>71</v>
      </c>
      <c r="L871" s="15" t="s">
        <v>1578</v>
      </c>
      <c r="M871" s="15"/>
      <c r="N871" s="15" t="s">
        <v>38</v>
      </c>
      <c r="O871" s="15"/>
      <c r="P871" s="16" t="s">
        <v>106</v>
      </c>
      <c r="Q871" s="17">
        <v>8799</v>
      </c>
      <c r="R871" s="18">
        <v>30</v>
      </c>
      <c r="S871" s="19">
        <v>7083.1949999999997</v>
      </c>
      <c r="T871" s="20" t="s">
        <v>75</v>
      </c>
      <c r="U871" s="21" t="s">
        <v>430</v>
      </c>
      <c r="V871" s="22" t="s">
        <v>77</v>
      </c>
      <c r="W871" s="23">
        <v>5</v>
      </c>
      <c r="X871" s="24"/>
    </row>
    <row r="872" spans="1:24" s="1" customFormat="1" ht="108" customHeight="1" x14ac:dyDescent="0.3">
      <c r="A872" s="11" t="s">
        <v>607</v>
      </c>
      <c r="B872" s="11" t="s">
        <v>1645</v>
      </c>
      <c r="C872" s="12" t="s">
        <v>1646</v>
      </c>
      <c r="D872" s="13"/>
      <c r="E872" s="67" t="str">
        <f>HYPERLINK("https://www.google.ru/search?q=283432-BKMI&amp;newwindow=1&amp;tbm=isch","Еще фото")</f>
        <v>Еще фото</v>
      </c>
      <c r="F872" s="55" t="s">
        <v>688</v>
      </c>
      <c r="G872" s="11" t="s">
        <v>1569</v>
      </c>
      <c r="H872" s="11" t="s">
        <v>291</v>
      </c>
      <c r="I872" s="15" t="s">
        <v>1543</v>
      </c>
      <c r="J872" s="15" t="s">
        <v>360</v>
      </c>
      <c r="K872" s="16" t="s">
        <v>71</v>
      </c>
      <c r="L872" s="15" t="s">
        <v>1647</v>
      </c>
      <c r="M872" s="15"/>
      <c r="N872" s="15" t="s">
        <v>38</v>
      </c>
      <c r="O872" s="15"/>
      <c r="P872" s="16" t="s">
        <v>106</v>
      </c>
      <c r="Q872" s="17">
        <v>11499</v>
      </c>
      <c r="R872" s="18">
        <v>30</v>
      </c>
      <c r="S872" s="19">
        <v>9256.6949999999997</v>
      </c>
      <c r="T872" s="20" t="s">
        <v>75</v>
      </c>
      <c r="U872" s="21" t="s">
        <v>430</v>
      </c>
      <c r="V872" s="22" t="s">
        <v>77</v>
      </c>
      <c r="W872" s="23">
        <v>6</v>
      </c>
      <c r="X872" s="24"/>
    </row>
    <row r="873" spans="1:24" s="1" customFormat="1" ht="108" customHeight="1" x14ac:dyDescent="0.3">
      <c r="A873" s="11" t="s">
        <v>607</v>
      </c>
      <c r="B873" s="11" t="s">
        <v>1648</v>
      </c>
      <c r="C873" s="12" t="s">
        <v>1649</v>
      </c>
      <c r="D873" s="13"/>
      <c r="E873" s="67" t="str">
        <f>HYPERLINK("https://www.google.ru/search?q=283802-BKOR&amp;newwindow=1&amp;tbm=isch","Еще фото")</f>
        <v>Еще фото</v>
      </c>
      <c r="F873" s="14"/>
      <c r="G873" s="11" t="s">
        <v>1542</v>
      </c>
      <c r="H873" s="11" t="s">
        <v>291</v>
      </c>
      <c r="I873" s="15" t="s">
        <v>1543</v>
      </c>
      <c r="J873" s="15" t="s">
        <v>360</v>
      </c>
      <c r="K873" s="16" t="s">
        <v>71</v>
      </c>
      <c r="L873" s="15"/>
      <c r="M873" s="15"/>
      <c r="N873" s="15" t="s">
        <v>38</v>
      </c>
      <c r="O873" s="15"/>
      <c r="P873" s="16" t="s">
        <v>1650</v>
      </c>
      <c r="Q873" s="17">
        <v>10699</v>
      </c>
      <c r="R873" s="18">
        <v>30</v>
      </c>
      <c r="S873" s="19">
        <v>8612.6949999999997</v>
      </c>
      <c r="T873" s="20" t="s">
        <v>75</v>
      </c>
      <c r="U873" s="21" t="s">
        <v>430</v>
      </c>
      <c r="V873" s="22" t="s">
        <v>77</v>
      </c>
      <c r="W873" s="23">
        <v>6</v>
      </c>
      <c r="X873" s="24"/>
    </row>
    <row r="874" spans="1:24" s="1" customFormat="1" ht="108" customHeight="1" x14ac:dyDescent="0.3">
      <c r="A874" s="11" t="s">
        <v>607</v>
      </c>
      <c r="B874" s="11" t="s">
        <v>1651</v>
      </c>
      <c r="C874" s="12" t="s">
        <v>1652</v>
      </c>
      <c r="D874" s="13"/>
      <c r="E874" s="67" t="str">
        <f>HYPERLINK("https://www.google.ru/search?q=288050&amp;newwindow=1&amp;tbm=isch","Еще фото")</f>
        <v>Еще фото</v>
      </c>
      <c r="F874" s="14" t="s">
        <v>253</v>
      </c>
      <c r="G874" s="11" t="s">
        <v>1653</v>
      </c>
      <c r="H874" s="11" t="s">
        <v>291</v>
      </c>
      <c r="I874" s="15" t="s">
        <v>1543</v>
      </c>
      <c r="J874" s="15" t="s">
        <v>360</v>
      </c>
      <c r="K874" s="16" t="s">
        <v>71</v>
      </c>
      <c r="L874" s="15" t="s">
        <v>1654</v>
      </c>
      <c r="M874" s="15"/>
      <c r="N874" s="15" t="s">
        <v>38</v>
      </c>
      <c r="O874" s="15"/>
      <c r="P874" s="16" t="s">
        <v>106</v>
      </c>
      <c r="Q874" s="17">
        <v>1299</v>
      </c>
      <c r="R874" s="18">
        <v>30</v>
      </c>
      <c r="S874" s="26">
        <v>1045.6949999999999</v>
      </c>
      <c r="T874" s="20" t="s">
        <v>75</v>
      </c>
      <c r="U874" s="21" t="s">
        <v>430</v>
      </c>
      <c r="V874" s="22" t="s">
        <v>77</v>
      </c>
      <c r="W874" s="23">
        <v>650</v>
      </c>
      <c r="X874" s="24"/>
    </row>
    <row r="875" spans="1:24" s="1" customFormat="1" ht="26" customHeight="1" x14ac:dyDescent="0.3">
      <c r="A875" s="11" t="s">
        <v>607</v>
      </c>
      <c r="B875" s="11" t="s">
        <v>1655</v>
      </c>
      <c r="C875" s="12" t="s">
        <v>1656</v>
      </c>
      <c r="D875" s="85"/>
      <c r="E875" s="67" t="str">
        <f>HYPERLINK("https://www.google.ru/search?q=811745-ROWH&amp;newwindow=1&amp;tbm=isch","Еще фото")</f>
        <v>Еще фото</v>
      </c>
      <c r="F875" s="14"/>
      <c r="G875" s="11" t="s">
        <v>1657</v>
      </c>
      <c r="H875" s="11" t="s">
        <v>27</v>
      </c>
      <c r="I875" s="15" t="s">
        <v>301</v>
      </c>
      <c r="J875" s="15" t="s">
        <v>360</v>
      </c>
      <c r="K875" s="16" t="s">
        <v>45</v>
      </c>
      <c r="L875" s="83" t="s">
        <v>1658</v>
      </c>
      <c r="M875" s="15"/>
      <c r="N875" s="15" t="s">
        <v>391</v>
      </c>
      <c r="O875" s="15"/>
      <c r="P875" s="16" t="s">
        <v>106</v>
      </c>
      <c r="Q875" s="17">
        <v>7999</v>
      </c>
      <c r="R875" s="18">
        <v>61.65</v>
      </c>
      <c r="S875" s="19">
        <v>3527.9354999999996</v>
      </c>
      <c r="T875" s="20" t="s">
        <v>99</v>
      </c>
      <c r="U875" s="21" t="s">
        <v>34</v>
      </c>
      <c r="V875" s="22" t="s">
        <v>35</v>
      </c>
      <c r="W875" s="23">
        <v>3</v>
      </c>
      <c r="X875" s="24"/>
    </row>
    <row r="876" spans="1:24" s="1" customFormat="1" ht="26" customHeight="1" x14ac:dyDescent="0.3">
      <c r="A876" s="25" t="s">
        <v>607</v>
      </c>
      <c r="B876" s="25" t="s">
        <v>1655</v>
      </c>
      <c r="C876" s="12" t="s">
        <v>1656</v>
      </c>
      <c r="D876" s="86"/>
      <c r="E876" s="67" t="str">
        <f>HYPERLINK("https://www.google.ru/search?q=811745-ROWH&amp;newwindow=1&amp;tbm=isch","Еще фото")</f>
        <v>Еще фото</v>
      </c>
      <c r="F876" s="14"/>
      <c r="G876" s="25" t="s">
        <v>1657</v>
      </c>
      <c r="H876" s="25" t="s">
        <v>27</v>
      </c>
      <c r="I876" s="25" t="s">
        <v>301</v>
      </c>
      <c r="J876" s="15" t="s">
        <v>360</v>
      </c>
      <c r="K876" s="16" t="s">
        <v>45</v>
      </c>
      <c r="L876" s="88"/>
      <c r="M876" s="15"/>
      <c r="N876" s="15" t="s">
        <v>391</v>
      </c>
      <c r="O876" s="15"/>
      <c r="P876" s="16" t="s">
        <v>106</v>
      </c>
      <c r="Q876" s="17">
        <v>7999</v>
      </c>
      <c r="R876" s="18">
        <v>61.65</v>
      </c>
      <c r="S876" s="19">
        <v>3527.9354999999996</v>
      </c>
      <c r="T876" s="20" t="s">
        <v>99</v>
      </c>
      <c r="U876" s="21" t="s">
        <v>52</v>
      </c>
      <c r="V876" s="22" t="s">
        <v>53</v>
      </c>
      <c r="W876" s="23">
        <v>4</v>
      </c>
      <c r="X876" s="24"/>
    </row>
    <row r="877" spans="1:24" s="1" customFormat="1" ht="26" customHeight="1" x14ac:dyDescent="0.3">
      <c r="A877" s="25" t="s">
        <v>607</v>
      </c>
      <c r="B877" s="25" t="s">
        <v>1655</v>
      </c>
      <c r="C877" s="12" t="s">
        <v>1656</v>
      </c>
      <c r="D877" s="86"/>
      <c r="E877" s="67" t="str">
        <f>HYPERLINK("https://www.google.ru/search?q=811745-ROWH&amp;newwindow=1&amp;tbm=isch","Еще фото")</f>
        <v>Еще фото</v>
      </c>
      <c r="F877" s="14"/>
      <c r="G877" s="25" t="s">
        <v>1657</v>
      </c>
      <c r="H877" s="25" t="s">
        <v>27</v>
      </c>
      <c r="I877" s="25" t="s">
        <v>301</v>
      </c>
      <c r="J877" s="15" t="s">
        <v>360</v>
      </c>
      <c r="K877" s="16" t="s">
        <v>45</v>
      </c>
      <c r="L877" s="88"/>
      <c r="M877" s="15"/>
      <c r="N877" s="15" t="s">
        <v>391</v>
      </c>
      <c r="O877" s="15"/>
      <c r="P877" s="16" t="s">
        <v>106</v>
      </c>
      <c r="Q877" s="17">
        <v>7999</v>
      </c>
      <c r="R877" s="18">
        <v>61.65</v>
      </c>
      <c r="S877" s="19">
        <v>3527.9354999999996</v>
      </c>
      <c r="T877" s="20" t="s">
        <v>99</v>
      </c>
      <c r="U877" s="21" t="s">
        <v>40</v>
      </c>
      <c r="V877" s="22" t="s">
        <v>41</v>
      </c>
      <c r="W877" s="23">
        <v>4</v>
      </c>
      <c r="X877" s="24"/>
    </row>
    <row r="878" spans="1:24" s="1" customFormat="1" ht="26" customHeight="1" x14ac:dyDescent="0.3">
      <c r="A878" s="25" t="s">
        <v>607</v>
      </c>
      <c r="B878" s="25" t="s">
        <v>1655</v>
      </c>
      <c r="C878" s="12" t="s">
        <v>1656</v>
      </c>
      <c r="D878" s="87"/>
      <c r="E878" s="67" t="str">
        <f>HYPERLINK("https://www.google.ru/search?q=811745-ROWH&amp;newwindow=1&amp;tbm=isch","Еще фото")</f>
        <v>Еще фото</v>
      </c>
      <c r="F878" s="14"/>
      <c r="G878" s="25" t="s">
        <v>1657</v>
      </c>
      <c r="H878" s="25" t="s">
        <v>27</v>
      </c>
      <c r="I878" s="25" t="s">
        <v>301</v>
      </c>
      <c r="J878" s="15" t="s">
        <v>360</v>
      </c>
      <c r="K878" s="16" t="s">
        <v>45</v>
      </c>
      <c r="L878" s="84"/>
      <c r="M878" s="15"/>
      <c r="N878" s="15" t="s">
        <v>391</v>
      </c>
      <c r="O878" s="15"/>
      <c r="P878" s="16" t="s">
        <v>106</v>
      </c>
      <c r="Q878" s="17">
        <v>7999</v>
      </c>
      <c r="R878" s="18">
        <v>61.65</v>
      </c>
      <c r="S878" s="19">
        <v>3527.9354999999996</v>
      </c>
      <c r="T878" s="20" t="s">
        <v>99</v>
      </c>
      <c r="U878" s="21" t="s">
        <v>42</v>
      </c>
      <c r="V878" s="22" t="s">
        <v>43</v>
      </c>
      <c r="W878" s="23">
        <v>2</v>
      </c>
      <c r="X878" s="24"/>
    </row>
    <row r="879" spans="1:24" s="1" customFormat="1" ht="108" customHeight="1" x14ac:dyDescent="0.3">
      <c r="A879" s="11" t="s">
        <v>607</v>
      </c>
      <c r="B879" s="11" t="s">
        <v>1659</v>
      </c>
      <c r="C879" s="12" t="s">
        <v>1660</v>
      </c>
      <c r="D879" s="13"/>
      <c r="E879" s="67" t="str">
        <f>HYPERLINK("https://www.google.ru/search?q=814431-MA&amp;newwindow=1&amp;tbm=isch","Еще фото")</f>
        <v>Еще фото</v>
      </c>
      <c r="F879" s="14"/>
      <c r="G879" s="11" t="s">
        <v>315</v>
      </c>
      <c r="H879" s="11" t="s">
        <v>27</v>
      </c>
      <c r="I879" s="15" t="s">
        <v>316</v>
      </c>
      <c r="J879" s="15" t="s">
        <v>360</v>
      </c>
      <c r="K879" s="16" t="s">
        <v>29</v>
      </c>
      <c r="L879" s="15" t="s">
        <v>1661</v>
      </c>
      <c r="M879" s="15"/>
      <c r="N879" s="15" t="s">
        <v>212</v>
      </c>
      <c r="O879" s="15"/>
      <c r="P879" s="16" t="s">
        <v>1662</v>
      </c>
      <c r="Q879" s="17">
        <v>4299</v>
      </c>
      <c r="R879" s="18">
        <v>62.83</v>
      </c>
      <c r="S879" s="19">
        <v>1837.4354999999998</v>
      </c>
      <c r="T879" s="20" t="s">
        <v>99</v>
      </c>
      <c r="U879" s="21" t="s">
        <v>42</v>
      </c>
      <c r="V879" s="22" t="s">
        <v>48</v>
      </c>
      <c r="W879" s="23">
        <v>1</v>
      </c>
      <c r="X879" s="24"/>
    </row>
    <row r="880" spans="1:24" s="1" customFormat="1" ht="52.05" customHeight="1" x14ac:dyDescent="0.3">
      <c r="A880" s="11" t="s">
        <v>607</v>
      </c>
      <c r="B880" s="11" t="s">
        <v>1663</v>
      </c>
      <c r="C880" s="12" t="s">
        <v>1664</v>
      </c>
      <c r="D880" s="81"/>
      <c r="E880" s="67" t="str">
        <f>HYPERLINK("https://www.google.ru/search?q=811005-NV&amp;newwindow=1&amp;tbm=isch","Еще фото")</f>
        <v>Еще фото</v>
      </c>
      <c r="F880" s="14"/>
      <c r="G880" s="11" t="s">
        <v>528</v>
      </c>
      <c r="H880" s="11" t="s">
        <v>27</v>
      </c>
      <c r="I880" s="15" t="s">
        <v>316</v>
      </c>
      <c r="J880" s="15" t="s">
        <v>360</v>
      </c>
      <c r="K880" s="16" t="s">
        <v>45</v>
      </c>
      <c r="L880" s="83" t="s">
        <v>1665</v>
      </c>
      <c r="M880" s="15"/>
      <c r="N880" s="15" t="s">
        <v>31</v>
      </c>
      <c r="O880" s="15"/>
      <c r="P880" s="16" t="s">
        <v>106</v>
      </c>
      <c r="Q880" s="17">
        <v>10099</v>
      </c>
      <c r="R880" s="18">
        <v>61.7</v>
      </c>
      <c r="S880" s="19">
        <v>4447.9354999999996</v>
      </c>
      <c r="T880" s="20" t="s">
        <v>99</v>
      </c>
      <c r="U880" s="21" t="s">
        <v>34</v>
      </c>
      <c r="V880" s="22" t="s">
        <v>35</v>
      </c>
      <c r="W880" s="23">
        <v>1</v>
      </c>
      <c r="X880" s="24"/>
    </row>
    <row r="881" spans="1:24" s="1" customFormat="1" ht="61.05" customHeight="1" x14ac:dyDescent="0.3">
      <c r="A881" s="25" t="s">
        <v>607</v>
      </c>
      <c r="B881" s="25" t="s">
        <v>1663</v>
      </c>
      <c r="C881" s="12" t="s">
        <v>1664</v>
      </c>
      <c r="D881" s="82"/>
      <c r="E881" s="67" t="str">
        <f>HYPERLINK("https://www.google.ru/search?q=811005-NV&amp;newwindow=1&amp;tbm=isch","Еще фото")</f>
        <v>Еще фото</v>
      </c>
      <c r="F881" s="14"/>
      <c r="G881" s="25" t="s">
        <v>528</v>
      </c>
      <c r="H881" s="25" t="s">
        <v>27</v>
      </c>
      <c r="I881" s="25" t="s">
        <v>316</v>
      </c>
      <c r="J881" s="15" t="s">
        <v>360</v>
      </c>
      <c r="K881" s="16" t="s">
        <v>45</v>
      </c>
      <c r="L881" s="84"/>
      <c r="M881" s="15"/>
      <c r="N881" s="15" t="s">
        <v>31</v>
      </c>
      <c r="O881" s="15"/>
      <c r="P881" s="16" t="s">
        <v>106</v>
      </c>
      <c r="Q881" s="17">
        <v>10099</v>
      </c>
      <c r="R881" s="18">
        <v>61.7</v>
      </c>
      <c r="S881" s="19">
        <v>4447.9354999999996</v>
      </c>
      <c r="T881" s="20" t="s">
        <v>99</v>
      </c>
      <c r="U881" s="21" t="s">
        <v>52</v>
      </c>
      <c r="V881" s="22" t="s">
        <v>53</v>
      </c>
      <c r="W881" s="23">
        <v>2</v>
      </c>
      <c r="X881" s="24"/>
    </row>
    <row r="882" spans="1:24" s="1" customFormat="1" ht="21" customHeight="1" x14ac:dyDescent="0.3">
      <c r="A882" s="11" t="s">
        <v>607</v>
      </c>
      <c r="B882" s="11" t="s">
        <v>1666</v>
      </c>
      <c r="C882" s="27" t="s">
        <v>1667</v>
      </c>
      <c r="D882" s="85"/>
      <c r="E882" s="67" t="str">
        <f>HYPERLINK("https://www.google.ru/search?q=816225-NV&amp;newwindow=1&amp;tbm=isch","Еще фото")</f>
        <v>Еще фото</v>
      </c>
      <c r="F882" s="14"/>
      <c r="G882" s="11" t="s">
        <v>1668</v>
      </c>
      <c r="H882" s="11" t="s">
        <v>27</v>
      </c>
      <c r="I882" s="15" t="s">
        <v>316</v>
      </c>
      <c r="J882" s="15" t="s">
        <v>360</v>
      </c>
      <c r="K882" s="16" t="s">
        <v>59</v>
      </c>
      <c r="L882" s="83" t="s">
        <v>1669</v>
      </c>
      <c r="M882" s="15"/>
      <c r="N882" s="15" t="s">
        <v>31</v>
      </c>
      <c r="O882" s="15"/>
      <c r="P882" s="16" t="s">
        <v>106</v>
      </c>
      <c r="Q882" s="17">
        <v>8399</v>
      </c>
      <c r="R882" s="18">
        <v>61.69</v>
      </c>
      <c r="S882" s="19">
        <v>3700.4354999999996</v>
      </c>
      <c r="T882" s="20" t="s">
        <v>99</v>
      </c>
      <c r="U882" s="21" t="s">
        <v>611</v>
      </c>
      <c r="V882" s="23">
        <v>128</v>
      </c>
      <c r="W882" s="23">
        <v>2</v>
      </c>
      <c r="X882" s="24"/>
    </row>
    <row r="883" spans="1:24" s="1" customFormat="1" ht="21" customHeight="1" x14ac:dyDescent="0.3">
      <c r="A883" s="25" t="s">
        <v>607</v>
      </c>
      <c r="B883" s="25" t="s">
        <v>1666</v>
      </c>
      <c r="C883" s="28" t="s">
        <v>1667</v>
      </c>
      <c r="D883" s="86"/>
      <c r="E883" s="67" t="str">
        <f>HYPERLINK("https://www.google.ru/search?q=816225-NV&amp;newwindow=1&amp;tbm=isch","Еще фото")</f>
        <v>Еще фото</v>
      </c>
      <c r="F883" s="14"/>
      <c r="G883" s="25" t="s">
        <v>1668</v>
      </c>
      <c r="H883" s="25" t="s">
        <v>27</v>
      </c>
      <c r="I883" s="25" t="s">
        <v>316</v>
      </c>
      <c r="J883" s="15" t="s">
        <v>360</v>
      </c>
      <c r="K883" s="16" t="s">
        <v>59</v>
      </c>
      <c r="L883" s="88"/>
      <c r="M883" s="15"/>
      <c r="N883" s="15" t="s">
        <v>31</v>
      </c>
      <c r="O883" s="15"/>
      <c r="P883" s="16" t="s">
        <v>106</v>
      </c>
      <c r="Q883" s="17">
        <v>8399</v>
      </c>
      <c r="R883" s="18">
        <v>61.69</v>
      </c>
      <c r="S883" s="19">
        <v>3700.4354999999996</v>
      </c>
      <c r="T883" s="20" t="s">
        <v>99</v>
      </c>
      <c r="U883" s="21" t="s">
        <v>1670</v>
      </c>
      <c r="V883" s="23">
        <v>140</v>
      </c>
      <c r="W883" s="23">
        <v>2</v>
      </c>
      <c r="X883" s="24"/>
    </row>
    <row r="884" spans="1:24" s="1" customFormat="1" ht="21" customHeight="1" x14ac:dyDescent="0.3">
      <c r="A884" s="25" t="s">
        <v>607</v>
      </c>
      <c r="B884" s="25" t="s">
        <v>1666</v>
      </c>
      <c r="C884" s="28" t="s">
        <v>1667</v>
      </c>
      <c r="D884" s="86"/>
      <c r="E884" s="67" t="str">
        <f>HYPERLINK("https://www.google.ru/search?q=816225-NV&amp;newwindow=1&amp;tbm=isch","Еще фото")</f>
        <v>Еще фото</v>
      </c>
      <c r="F884" s="14"/>
      <c r="G884" s="25" t="s">
        <v>1668</v>
      </c>
      <c r="H884" s="25" t="s">
        <v>27</v>
      </c>
      <c r="I884" s="25" t="s">
        <v>316</v>
      </c>
      <c r="J884" s="15" t="s">
        <v>360</v>
      </c>
      <c r="K884" s="16" t="s">
        <v>59</v>
      </c>
      <c r="L884" s="88"/>
      <c r="M884" s="15"/>
      <c r="N884" s="15" t="s">
        <v>31</v>
      </c>
      <c r="O884" s="15"/>
      <c r="P884" s="16" t="s">
        <v>106</v>
      </c>
      <c r="Q884" s="17">
        <v>8399</v>
      </c>
      <c r="R884" s="18">
        <v>61.69</v>
      </c>
      <c r="S884" s="19">
        <v>3700.4354999999996</v>
      </c>
      <c r="T884" s="20" t="s">
        <v>99</v>
      </c>
      <c r="U884" s="21" t="s">
        <v>1671</v>
      </c>
      <c r="V884" s="23">
        <v>152</v>
      </c>
      <c r="W884" s="23">
        <v>3</v>
      </c>
      <c r="X884" s="24"/>
    </row>
    <row r="885" spans="1:24" s="1" customFormat="1" ht="21" customHeight="1" x14ac:dyDescent="0.3">
      <c r="A885" s="25" t="s">
        <v>607</v>
      </c>
      <c r="B885" s="25" t="s">
        <v>1666</v>
      </c>
      <c r="C885" s="28" t="s">
        <v>1667</v>
      </c>
      <c r="D885" s="86"/>
      <c r="E885" s="67" t="str">
        <f>HYPERLINK("https://www.google.ru/search?q=816225-NV&amp;newwindow=1&amp;tbm=isch","Еще фото")</f>
        <v>Еще фото</v>
      </c>
      <c r="F885" s="14"/>
      <c r="G885" s="25" t="s">
        <v>1668</v>
      </c>
      <c r="H885" s="25" t="s">
        <v>27</v>
      </c>
      <c r="I885" s="25" t="s">
        <v>316</v>
      </c>
      <c r="J885" s="15" t="s">
        <v>360</v>
      </c>
      <c r="K885" s="16" t="s">
        <v>59</v>
      </c>
      <c r="L885" s="88"/>
      <c r="M885" s="15"/>
      <c r="N885" s="15" t="s">
        <v>31</v>
      </c>
      <c r="O885" s="15"/>
      <c r="P885" s="16" t="s">
        <v>106</v>
      </c>
      <c r="Q885" s="17">
        <v>8399</v>
      </c>
      <c r="R885" s="18">
        <v>61.69</v>
      </c>
      <c r="S885" s="19">
        <v>3700.4354999999996</v>
      </c>
      <c r="T885" s="20" t="s">
        <v>99</v>
      </c>
      <c r="U885" s="21" t="s">
        <v>1672</v>
      </c>
      <c r="V885" s="23">
        <v>164</v>
      </c>
      <c r="W885" s="23">
        <v>4</v>
      </c>
      <c r="X885" s="24"/>
    </row>
    <row r="886" spans="1:24" s="1" customFormat="1" ht="32" customHeight="1" x14ac:dyDescent="0.3">
      <c r="A886" s="25" t="s">
        <v>607</v>
      </c>
      <c r="B886" s="25" t="s">
        <v>1666</v>
      </c>
      <c r="C886" s="28" t="s">
        <v>1667</v>
      </c>
      <c r="D886" s="87"/>
      <c r="E886" s="67" t="str">
        <f>HYPERLINK("https://www.google.ru/search?q=816225-NV&amp;newwindow=1&amp;tbm=isch","Еще фото")</f>
        <v>Еще фото</v>
      </c>
      <c r="F886" s="14"/>
      <c r="G886" s="25" t="s">
        <v>1668</v>
      </c>
      <c r="H886" s="25" t="s">
        <v>27</v>
      </c>
      <c r="I886" s="25" t="s">
        <v>316</v>
      </c>
      <c r="J886" s="15" t="s">
        <v>360</v>
      </c>
      <c r="K886" s="16" t="s">
        <v>59</v>
      </c>
      <c r="L886" s="84"/>
      <c r="M886" s="15"/>
      <c r="N886" s="15" t="s">
        <v>31</v>
      </c>
      <c r="O886" s="15"/>
      <c r="P886" s="16" t="s">
        <v>106</v>
      </c>
      <c r="Q886" s="17">
        <v>8399</v>
      </c>
      <c r="R886" s="18">
        <v>61.69</v>
      </c>
      <c r="S886" s="19">
        <v>3700.4354999999996</v>
      </c>
      <c r="T886" s="20" t="s">
        <v>99</v>
      </c>
      <c r="U886" s="21" t="s">
        <v>1673</v>
      </c>
      <c r="V886" s="23">
        <v>176</v>
      </c>
      <c r="W886" s="23">
        <v>1</v>
      </c>
      <c r="X886" s="24"/>
    </row>
    <row r="887" spans="1:24" s="1" customFormat="1" ht="26" customHeight="1" x14ac:dyDescent="0.3">
      <c r="A887" s="11" t="s">
        <v>607</v>
      </c>
      <c r="B887" s="11" t="s">
        <v>1666</v>
      </c>
      <c r="C887" s="12" t="s">
        <v>1674</v>
      </c>
      <c r="D887" s="85"/>
      <c r="E887" s="67" t="str">
        <f>HYPERLINK("https://www.google.ru/search?q=816225-ZI&amp;newwindow=1&amp;tbm=isch","Еще фото")</f>
        <v>Еще фото</v>
      </c>
      <c r="F887" s="14"/>
      <c r="G887" s="11" t="s">
        <v>1668</v>
      </c>
      <c r="H887" s="11" t="s">
        <v>27</v>
      </c>
      <c r="I887" s="15" t="s">
        <v>316</v>
      </c>
      <c r="J887" s="15" t="s">
        <v>360</v>
      </c>
      <c r="K887" s="16" t="s">
        <v>59</v>
      </c>
      <c r="L887" s="83" t="s">
        <v>1669</v>
      </c>
      <c r="M887" s="15"/>
      <c r="N887" s="15" t="s">
        <v>212</v>
      </c>
      <c r="O887" s="15"/>
      <c r="P887" s="16" t="s">
        <v>106</v>
      </c>
      <c r="Q887" s="17">
        <v>8399</v>
      </c>
      <c r="R887" s="18">
        <v>61.69</v>
      </c>
      <c r="S887" s="19">
        <v>3700.4354999999996</v>
      </c>
      <c r="T887" s="20" t="s">
        <v>99</v>
      </c>
      <c r="U887" s="21" t="s">
        <v>611</v>
      </c>
      <c r="V887" s="23">
        <v>128</v>
      </c>
      <c r="W887" s="23">
        <v>2</v>
      </c>
      <c r="X887" s="24"/>
    </row>
    <row r="888" spans="1:24" s="1" customFormat="1" ht="26" customHeight="1" x14ac:dyDescent="0.3">
      <c r="A888" s="25" t="s">
        <v>607</v>
      </c>
      <c r="B888" s="25" t="s">
        <v>1666</v>
      </c>
      <c r="C888" s="12" t="s">
        <v>1674</v>
      </c>
      <c r="D888" s="86"/>
      <c r="E888" s="67" t="str">
        <f>HYPERLINK("https://www.google.ru/search?q=816225-ZI&amp;newwindow=1&amp;tbm=isch","Еще фото")</f>
        <v>Еще фото</v>
      </c>
      <c r="F888" s="14"/>
      <c r="G888" s="25" t="s">
        <v>1668</v>
      </c>
      <c r="H888" s="25" t="s">
        <v>27</v>
      </c>
      <c r="I888" s="25" t="s">
        <v>316</v>
      </c>
      <c r="J888" s="15" t="s">
        <v>360</v>
      </c>
      <c r="K888" s="16" t="s">
        <v>59</v>
      </c>
      <c r="L888" s="88"/>
      <c r="M888" s="15"/>
      <c r="N888" s="15" t="s">
        <v>212</v>
      </c>
      <c r="O888" s="15"/>
      <c r="P888" s="16" t="s">
        <v>106</v>
      </c>
      <c r="Q888" s="17">
        <v>8399</v>
      </c>
      <c r="R888" s="18">
        <v>61.69</v>
      </c>
      <c r="S888" s="19">
        <v>3700.4354999999996</v>
      </c>
      <c r="T888" s="20" t="s">
        <v>99</v>
      </c>
      <c r="U888" s="21" t="s">
        <v>1670</v>
      </c>
      <c r="V888" s="23">
        <v>140</v>
      </c>
      <c r="W888" s="23">
        <v>2</v>
      </c>
      <c r="X888" s="24"/>
    </row>
    <row r="889" spans="1:24" s="1" customFormat="1" ht="26" customHeight="1" x14ac:dyDescent="0.3">
      <c r="A889" s="25" t="s">
        <v>607</v>
      </c>
      <c r="B889" s="25" t="s">
        <v>1666</v>
      </c>
      <c r="C889" s="12" t="s">
        <v>1674</v>
      </c>
      <c r="D889" s="86"/>
      <c r="E889" s="67" t="str">
        <f>HYPERLINK("https://www.google.ru/search?q=816225-ZI&amp;newwindow=1&amp;tbm=isch","Еще фото")</f>
        <v>Еще фото</v>
      </c>
      <c r="F889" s="14"/>
      <c r="G889" s="25" t="s">
        <v>1668</v>
      </c>
      <c r="H889" s="25" t="s">
        <v>27</v>
      </c>
      <c r="I889" s="25" t="s">
        <v>316</v>
      </c>
      <c r="J889" s="15" t="s">
        <v>360</v>
      </c>
      <c r="K889" s="16" t="s">
        <v>59</v>
      </c>
      <c r="L889" s="88"/>
      <c r="M889" s="15"/>
      <c r="N889" s="15" t="s">
        <v>212</v>
      </c>
      <c r="O889" s="15"/>
      <c r="P889" s="16" t="s">
        <v>106</v>
      </c>
      <c r="Q889" s="17">
        <v>8399</v>
      </c>
      <c r="R889" s="18">
        <v>61.69</v>
      </c>
      <c r="S889" s="19">
        <v>3700.4354999999996</v>
      </c>
      <c r="T889" s="20" t="s">
        <v>99</v>
      </c>
      <c r="U889" s="21" t="s">
        <v>1671</v>
      </c>
      <c r="V889" s="23">
        <v>152</v>
      </c>
      <c r="W889" s="23">
        <v>3</v>
      </c>
      <c r="X889" s="24"/>
    </row>
    <row r="890" spans="1:24" s="1" customFormat="1" ht="26" customHeight="1" x14ac:dyDescent="0.3">
      <c r="A890" s="25" t="s">
        <v>607</v>
      </c>
      <c r="B890" s="25" t="s">
        <v>1666</v>
      </c>
      <c r="C890" s="12" t="s">
        <v>1674</v>
      </c>
      <c r="D890" s="87"/>
      <c r="E890" s="67" t="str">
        <f>HYPERLINK("https://www.google.ru/search?q=816225-ZI&amp;newwindow=1&amp;tbm=isch","Еще фото")</f>
        <v>Еще фото</v>
      </c>
      <c r="F890" s="14"/>
      <c r="G890" s="25" t="s">
        <v>1668</v>
      </c>
      <c r="H890" s="25" t="s">
        <v>27</v>
      </c>
      <c r="I890" s="25" t="s">
        <v>316</v>
      </c>
      <c r="J890" s="15" t="s">
        <v>360</v>
      </c>
      <c r="K890" s="16" t="s">
        <v>59</v>
      </c>
      <c r="L890" s="84"/>
      <c r="M890" s="15"/>
      <c r="N890" s="15" t="s">
        <v>212</v>
      </c>
      <c r="O890" s="15"/>
      <c r="P890" s="16" t="s">
        <v>106</v>
      </c>
      <c r="Q890" s="17">
        <v>8399</v>
      </c>
      <c r="R890" s="18">
        <v>61.69</v>
      </c>
      <c r="S890" s="19">
        <v>3700.4354999999996</v>
      </c>
      <c r="T890" s="20" t="s">
        <v>99</v>
      </c>
      <c r="U890" s="21" t="s">
        <v>1672</v>
      </c>
      <c r="V890" s="23">
        <v>164</v>
      </c>
      <c r="W890" s="23">
        <v>2</v>
      </c>
      <c r="X890" s="24"/>
    </row>
    <row r="891" spans="1:24" s="1" customFormat="1" ht="35" customHeight="1" x14ac:dyDescent="0.3">
      <c r="A891" s="11" t="s">
        <v>607</v>
      </c>
      <c r="B891" s="11" t="s">
        <v>1675</v>
      </c>
      <c r="C891" s="12" t="s">
        <v>1676</v>
      </c>
      <c r="D891" s="85"/>
      <c r="E891" s="67" t="str">
        <f>HYPERLINK("https://www.google.ru/search?q=816215-NV&amp;newwindow=1&amp;tbm=isch","Еще фото")</f>
        <v>Еще фото</v>
      </c>
      <c r="F891" s="14"/>
      <c r="G891" s="11" t="s">
        <v>315</v>
      </c>
      <c r="H891" s="11" t="s">
        <v>27</v>
      </c>
      <c r="I891" s="15" t="s">
        <v>316</v>
      </c>
      <c r="J891" s="15" t="s">
        <v>360</v>
      </c>
      <c r="K891" s="16" t="s">
        <v>59</v>
      </c>
      <c r="L891" s="83" t="s">
        <v>1677</v>
      </c>
      <c r="M891" s="15"/>
      <c r="N891" s="15" t="s">
        <v>31</v>
      </c>
      <c r="O891" s="15"/>
      <c r="P891" s="16" t="s">
        <v>106</v>
      </c>
      <c r="Q891" s="17">
        <v>5499</v>
      </c>
      <c r="R891" s="18">
        <v>61.67</v>
      </c>
      <c r="S891" s="19">
        <v>2423.9354999999996</v>
      </c>
      <c r="T891" s="20" t="s">
        <v>99</v>
      </c>
      <c r="U891" s="21" t="s">
        <v>611</v>
      </c>
      <c r="V891" s="23">
        <v>128</v>
      </c>
      <c r="W891" s="23">
        <v>2</v>
      </c>
      <c r="X891" s="24"/>
    </row>
    <row r="892" spans="1:24" s="1" customFormat="1" ht="35" customHeight="1" x14ac:dyDescent="0.3">
      <c r="A892" s="25" t="s">
        <v>607</v>
      </c>
      <c r="B892" s="25" t="s">
        <v>1675</v>
      </c>
      <c r="C892" s="12" t="s">
        <v>1676</v>
      </c>
      <c r="D892" s="86"/>
      <c r="E892" s="67" t="str">
        <f>HYPERLINK("https://www.google.ru/search?q=816215-NV&amp;newwindow=1&amp;tbm=isch","Еще фото")</f>
        <v>Еще фото</v>
      </c>
      <c r="F892" s="14"/>
      <c r="G892" s="25" t="s">
        <v>315</v>
      </c>
      <c r="H892" s="25" t="s">
        <v>27</v>
      </c>
      <c r="I892" s="25" t="s">
        <v>316</v>
      </c>
      <c r="J892" s="15" t="s">
        <v>360</v>
      </c>
      <c r="K892" s="16" t="s">
        <v>59</v>
      </c>
      <c r="L892" s="88"/>
      <c r="M892" s="15"/>
      <c r="N892" s="15" t="s">
        <v>31</v>
      </c>
      <c r="O892" s="15"/>
      <c r="P892" s="16" t="s">
        <v>106</v>
      </c>
      <c r="Q892" s="17">
        <v>5499</v>
      </c>
      <c r="R892" s="18">
        <v>61.67</v>
      </c>
      <c r="S892" s="19">
        <v>2423.9354999999996</v>
      </c>
      <c r="T892" s="20" t="s">
        <v>99</v>
      </c>
      <c r="U892" s="21" t="s">
        <v>1670</v>
      </c>
      <c r="V892" s="23">
        <v>140</v>
      </c>
      <c r="W892" s="23">
        <v>1</v>
      </c>
      <c r="X892" s="24"/>
    </row>
    <row r="893" spans="1:24" s="1" customFormat="1" ht="37.049999999999997" customHeight="1" x14ac:dyDescent="0.3">
      <c r="A893" s="25" t="s">
        <v>607</v>
      </c>
      <c r="B893" s="25" t="s">
        <v>1675</v>
      </c>
      <c r="C893" s="12" t="s">
        <v>1676</v>
      </c>
      <c r="D893" s="87"/>
      <c r="E893" s="67" t="str">
        <f>HYPERLINK("https://www.google.ru/search?q=816215-NV&amp;newwindow=1&amp;tbm=isch","Еще фото")</f>
        <v>Еще фото</v>
      </c>
      <c r="F893" s="14"/>
      <c r="G893" s="25" t="s">
        <v>315</v>
      </c>
      <c r="H893" s="25" t="s">
        <v>27</v>
      </c>
      <c r="I893" s="25" t="s">
        <v>316</v>
      </c>
      <c r="J893" s="15" t="s">
        <v>360</v>
      </c>
      <c r="K893" s="16" t="s">
        <v>59</v>
      </c>
      <c r="L893" s="84"/>
      <c r="M893" s="15"/>
      <c r="N893" s="15" t="s">
        <v>31</v>
      </c>
      <c r="O893" s="15"/>
      <c r="P893" s="16" t="s">
        <v>106</v>
      </c>
      <c r="Q893" s="17">
        <v>5499</v>
      </c>
      <c r="R893" s="18">
        <v>61.67</v>
      </c>
      <c r="S893" s="19">
        <v>2423.9354999999996</v>
      </c>
      <c r="T893" s="20" t="s">
        <v>99</v>
      </c>
      <c r="U893" s="21" t="s">
        <v>1671</v>
      </c>
      <c r="V893" s="23">
        <v>152</v>
      </c>
      <c r="W893" s="23">
        <v>3</v>
      </c>
      <c r="X893" s="24"/>
    </row>
    <row r="894" spans="1:24" s="1" customFormat="1" ht="52.05" customHeight="1" x14ac:dyDescent="0.3">
      <c r="A894" s="11" t="s">
        <v>607</v>
      </c>
      <c r="B894" s="11" t="s">
        <v>1675</v>
      </c>
      <c r="C894" s="12" t="s">
        <v>1678</v>
      </c>
      <c r="D894" s="81"/>
      <c r="E894" s="67" t="str">
        <f>HYPERLINK("https://www.google.ru/search?q=816215-TE&amp;newwindow=1&amp;tbm=isch","Еще фото")</f>
        <v>Еще фото</v>
      </c>
      <c r="F894" s="14"/>
      <c r="G894" s="11" t="s">
        <v>315</v>
      </c>
      <c r="H894" s="11" t="s">
        <v>27</v>
      </c>
      <c r="I894" s="15" t="s">
        <v>316</v>
      </c>
      <c r="J894" s="15" t="s">
        <v>360</v>
      </c>
      <c r="K894" s="16" t="s">
        <v>59</v>
      </c>
      <c r="L894" s="83" t="s">
        <v>1677</v>
      </c>
      <c r="M894" s="15"/>
      <c r="N894" s="15" t="s">
        <v>31</v>
      </c>
      <c r="O894" s="15"/>
      <c r="P894" s="16" t="s">
        <v>106</v>
      </c>
      <c r="Q894" s="17">
        <v>5499</v>
      </c>
      <c r="R894" s="18">
        <v>61.67</v>
      </c>
      <c r="S894" s="19">
        <v>2423.9354999999996</v>
      </c>
      <c r="T894" s="20" t="s">
        <v>99</v>
      </c>
      <c r="U894" s="21" t="s">
        <v>611</v>
      </c>
      <c r="V894" s="23">
        <v>128</v>
      </c>
      <c r="W894" s="23">
        <v>1</v>
      </c>
      <c r="X894" s="24"/>
    </row>
    <row r="895" spans="1:24" s="1" customFormat="1" ht="61.05" customHeight="1" x14ac:dyDescent="0.3">
      <c r="A895" s="25" t="s">
        <v>607</v>
      </c>
      <c r="B895" s="25" t="s">
        <v>1675</v>
      </c>
      <c r="C895" s="12" t="s">
        <v>1678</v>
      </c>
      <c r="D895" s="82"/>
      <c r="E895" s="67" t="str">
        <f>HYPERLINK("https://www.google.ru/search?q=816215-TE&amp;newwindow=1&amp;tbm=isch","Еще фото")</f>
        <v>Еще фото</v>
      </c>
      <c r="F895" s="14"/>
      <c r="G895" s="25" t="s">
        <v>315</v>
      </c>
      <c r="H895" s="25" t="s">
        <v>27</v>
      </c>
      <c r="I895" s="25" t="s">
        <v>316</v>
      </c>
      <c r="J895" s="15" t="s">
        <v>360</v>
      </c>
      <c r="K895" s="16" t="s">
        <v>59</v>
      </c>
      <c r="L895" s="84"/>
      <c r="M895" s="15"/>
      <c r="N895" s="15" t="s">
        <v>31</v>
      </c>
      <c r="O895" s="15"/>
      <c r="P895" s="16" t="s">
        <v>106</v>
      </c>
      <c r="Q895" s="17">
        <v>5499</v>
      </c>
      <c r="R895" s="18">
        <v>61.67</v>
      </c>
      <c r="S895" s="19">
        <v>2423.9354999999996</v>
      </c>
      <c r="T895" s="20" t="s">
        <v>99</v>
      </c>
      <c r="U895" s="21" t="s">
        <v>1670</v>
      </c>
      <c r="V895" s="23">
        <v>140</v>
      </c>
      <c r="W895" s="23">
        <v>1</v>
      </c>
      <c r="X895" s="24"/>
    </row>
    <row r="896" spans="1:24" s="1" customFormat="1" ht="26" customHeight="1" x14ac:dyDescent="0.3">
      <c r="A896" s="11" t="s">
        <v>607</v>
      </c>
      <c r="B896" s="11" t="s">
        <v>1679</v>
      </c>
      <c r="C896" s="12" t="s">
        <v>1680</v>
      </c>
      <c r="D896" s="85"/>
      <c r="E896" s="67" t="str">
        <f>HYPERLINK("https://www.google.ru/search?q=814435-CE&amp;newwindow=1&amp;tbm=isch","Еще фото")</f>
        <v>Еще фото</v>
      </c>
      <c r="F896" s="14"/>
      <c r="G896" s="11" t="s">
        <v>1668</v>
      </c>
      <c r="H896" s="11" t="s">
        <v>27</v>
      </c>
      <c r="I896" s="15" t="s">
        <v>316</v>
      </c>
      <c r="J896" s="15" t="s">
        <v>360</v>
      </c>
      <c r="K896" s="16" t="s">
        <v>29</v>
      </c>
      <c r="L896" s="83" t="s">
        <v>1681</v>
      </c>
      <c r="M896" s="15"/>
      <c r="N896" s="15" t="s">
        <v>55</v>
      </c>
      <c r="O896" s="15"/>
      <c r="P896" s="16" t="s">
        <v>106</v>
      </c>
      <c r="Q896" s="17">
        <v>5999</v>
      </c>
      <c r="R896" s="18">
        <v>61.53</v>
      </c>
      <c r="S896" s="19">
        <v>2653.9354999999996</v>
      </c>
      <c r="T896" s="20" t="s">
        <v>99</v>
      </c>
      <c r="U896" s="21" t="s">
        <v>442</v>
      </c>
      <c r="V896" s="22" t="s">
        <v>35</v>
      </c>
      <c r="W896" s="23">
        <v>2</v>
      </c>
      <c r="X896" s="24"/>
    </row>
    <row r="897" spans="1:24" s="1" customFormat="1" ht="26" customHeight="1" x14ac:dyDescent="0.3">
      <c r="A897" s="25" t="s">
        <v>607</v>
      </c>
      <c r="B897" s="25" t="s">
        <v>1679</v>
      </c>
      <c r="C897" s="12" t="s">
        <v>1680</v>
      </c>
      <c r="D897" s="86"/>
      <c r="E897" s="67" t="str">
        <f>HYPERLINK("https://www.google.ru/search?q=814435-CE&amp;newwindow=1&amp;tbm=isch","Еще фото")</f>
        <v>Еще фото</v>
      </c>
      <c r="F897" s="14"/>
      <c r="G897" s="25" t="s">
        <v>1668</v>
      </c>
      <c r="H897" s="25" t="s">
        <v>27</v>
      </c>
      <c r="I897" s="25" t="s">
        <v>316</v>
      </c>
      <c r="J897" s="15" t="s">
        <v>360</v>
      </c>
      <c r="K897" s="16" t="s">
        <v>29</v>
      </c>
      <c r="L897" s="88"/>
      <c r="M897" s="15"/>
      <c r="N897" s="15" t="s">
        <v>55</v>
      </c>
      <c r="O897" s="15"/>
      <c r="P897" s="16" t="s">
        <v>106</v>
      </c>
      <c r="Q897" s="17">
        <v>5999</v>
      </c>
      <c r="R897" s="18">
        <v>61.53</v>
      </c>
      <c r="S897" s="19">
        <v>2653.9354999999996</v>
      </c>
      <c r="T897" s="20" t="s">
        <v>99</v>
      </c>
      <c r="U897" s="21" t="s">
        <v>34</v>
      </c>
      <c r="V897" s="22" t="s">
        <v>53</v>
      </c>
      <c r="W897" s="23">
        <v>5</v>
      </c>
      <c r="X897" s="24"/>
    </row>
    <row r="898" spans="1:24" s="1" customFormat="1" ht="26" customHeight="1" x14ac:dyDescent="0.3">
      <c r="A898" s="25" t="s">
        <v>607</v>
      </c>
      <c r="B898" s="25" t="s">
        <v>1679</v>
      </c>
      <c r="C898" s="12" t="s">
        <v>1680</v>
      </c>
      <c r="D898" s="86"/>
      <c r="E898" s="67" t="str">
        <f>HYPERLINK("https://www.google.ru/search?q=814435-CE&amp;newwindow=1&amp;tbm=isch","Еще фото")</f>
        <v>Еще фото</v>
      </c>
      <c r="F898" s="14"/>
      <c r="G898" s="25" t="s">
        <v>1668</v>
      </c>
      <c r="H898" s="25" t="s">
        <v>27</v>
      </c>
      <c r="I898" s="25" t="s">
        <v>316</v>
      </c>
      <c r="J898" s="15" t="s">
        <v>360</v>
      </c>
      <c r="K898" s="16" t="s">
        <v>29</v>
      </c>
      <c r="L898" s="88"/>
      <c r="M898" s="15"/>
      <c r="N898" s="15" t="s">
        <v>55</v>
      </c>
      <c r="O898" s="15"/>
      <c r="P898" s="16" t="s">
        <v>106</v>
      </c>
      <c r="Q898" s="17">
        <v>5999</v>
      </c>
      <c r="R898" s="18">
        <v>61.53</v>
      </c>
      <c r="S898" s="19">
        <v>2653.9354999999996</v>
      </c>
      <c r="T898" s="20" t="s">
        <v>99</v>
      </c>
      <c r="U898" s="21" t="s">
        <v>52</v>
      </c>
      <c r="V898" s="22" t="s">
        <v>41</v>
      </c>
      <c r="W898" s="23">
        <v>5</v>
      </c>
      <c r="X898" s="24"/>
    </row>
    <row r="899" spans="1:24" s="1" customFormat="1" ht="26" customHeight="1" x14ac:dyDescent="0.3">
      <c r="A899" s="25" t="s">
        <v>607</v>
      </c>
      <c r="B899" s="25" t="s">
        <v>1679</v>
      </c>
      <c r="C899" s="12" t="s">
        <v>1680</v>
      </c>
      <c r="D899" s="87"/>
      <c r="E899" s="67" t="str">
        <f>HYPERLINK("https://www.google.ru/search?q=814435-CE&amp;newwindow=1&amp;tbm=isch","Еще фото")</f>
        <v>Еще фото</v>
      </c>
      <c r="F899" s="14"/>
      <c r="G899" s="25" t="s">
        <v>1668</v>
      </c>
      <c r="H899" s="25" t="s">
        <v>27</v>
      </c>
      <c r="I899" s="25" t="s">
        <v>316</v>
      </c>
      <c r="J899" s="15" t="s">
        <v>360</v>
      </c>
      <c r="K899" s="16" t="s">
        <v>29</v>
      </c>
      <c r="L899" s="84"/>
      <c r="M899" s="15"/>
      <c r="N899" s="15" t="s">
        <v>55</v>
      </c>
      <c r="O899" s="15"/>
      <c r="P899" s="16" t="s">
        <v>106</v>
      </c>
      <c r="Q899" s="17">
        <v>5999</v>
      </c>
      <c r="R899" s="18">
        <v>61.53</v>
      </c>
      <c r="S899" s="19">
        <v>2653.9354999999996</v>
      </c>
      <c r="T899" s="20" t="s">
        <v>99</v>
      </c>
      <c r="U899" s="21" t="s">
        <v>40</v>
      </c>
      <c r="V899" s="22" t="s">
        <v>43</v>
      </c>
      <c r="W899" s="23">
        <v>2</v>
      </c>
      <c r="X899" s="24"/>
    </row>
    <row r="900" spans="1:24" s="1" customFormat="1" ht="26" customHeight="1" x14ac:dyDescent="0.3">
      <c r="A900" s="11" t="s">
        <v>607</v>
      </c>
      <c r="B900" s="11" t="s">
        <v>1679</v>
      </c>
      <c r="C900" s="12" t="s">
        <v>1682</v>
      </c>
      <c r="D900" s="85"/>
      <c r="E900" s="67" t="str">
        <f>HYPERLINK("https://www.google.ru/search?q=814435-WH&amp;newwindow=1&amp;tbm=isch","Еще фото")</f>
        <v>Еще фото</v>
      </c>
      <c r="F900" s="14"/>
      <c r="G900" s="11" t="s">
        <v>1668</v>
      </c>
      <c r="H900" s="11" t="s">
        <v>27</v>
      </c>
      <c r="I900" s="15" t="s">
        <v>316</v>
      </c>
      <c r="J900" s="15" t="s">
        <v>360</v>
      </c>
      <c r="K900" s="16" t="s">
        <v>29</v>
      </c>
      <c r="L900" s="83" t="s">
        <v>1681</v>
      </c>
      <c r="M900" s="15"/>
      <c r="N900" s="15" t="s">
        <v>173</v>
      </c>
      <c r="O900" s="15"/>
      <c r="P900" s="16" t="s">
        <v>106</v>
      </c>
      <c r="Q900" s="17">
        <v>5999</v>
      </c>
      <c r="R900" s="18">
        <v>61.53</v>
      </c>
      <c r="S900" s="19">
        <v>2653.9354999999996</v>
      </c>
      <c r="T900" s="20" t="s">
        <v>99</v>
      </c>
      <c r="U900" s="21" t="s">
        <v>34</v>
      </c>
      <c r="V900" s="22" t="s">
        <v>53</v>
      </c>
      <c r="W900" s="23">
        <v>4</v>
      </c>
      <c r="X900" s="24"/>
    </row>
    <row r="901" spans="1:24" s="1" customFormat="1" ht="26" customHeight="1" x14ac:dyDescent="0.3">
      <c r="A901" s="25" t="s">
        <v>607</v>
      </c>
      <c r="B901" s="25" t="s">
        <v>1679</v>
      </c>
      <c r="C901" s="12" t="s">
        <v>1682</v>
      </c>
      <c r="D901" s="86"/>
      <c r="E901" s="67" t="str">
        <f>HYPERLINK("https://www.google.ru/search?q=814435-WH&amp;newwindow=1&amp;tbm=isch","Еще фото")</f>
        <v>Еще фото</v>
      </c>
      <c r="F901" s="14"/>
      <c r="G901" s="25" t="s">
        <v>1668</v>
      </c>
      <c r="H901" s="25" t="s">
        <v>27</v>
      </c>
      <c r="I901" s="25" t="s">
        <v>316</v>
      </c>
      <c r="J901" s="15" t="s">
        <v>360</v>
      </c>
      <c r="K901" s="16" t="s">
        <v>29</v>
      </c>
      <c r="L901" s="88"/>
      <c r="M901" s="15"/>
      <c r="N901" s="15" t="s">
        <v>173</v>
      </c>
      <c r="O901" s="15"/>
      <c r="P901" s="16" t="s">
        <v>106</v>
      </c>
      <c r="Q901" s="17">
        <v>5999</v>
      </c>
      <c r="R901" s="18">
        <v>61.53</v>
      </c>
      <c r="S901" s="19">
        <v>2653.9354999999996</v>
      </c>
      <c r="T901" s="20" t="s">
        <v>99</v>
      </c>
      <c r="U901" s="21" t="s">
        <v>52</v>
      </c>
      <c r="V901" s="22" t="s">
        <v>41</v>
      </c>
      <c r="W901" s="23">
        <v>4</v>
      </c>
      <c r="X901" s="24"/>
    </row>
    <row r="902" spans="1:24" s="1" customFormat="1" ht="26" customHeight="1" x14ac:dyDescent="0.3">
      <c r="A902" s="25" t="s">
        <v>607</v>
      </c>
      <c r="B902" s="25" t="s">
        <v>1679</v>
      </c>
      <c r="C902" s="12" t="s">
        <v>1682</v>
      </c>
      <c r="D902" s="86"/>
      <c r="E902" s="67" t="str">
        <f>HYPERLINK("https://www.google.ru/search?q=814435-WH&amp;newwindow=1&amp;tbm=isch","Еще фото")</f>
        <v>Еще фото</v>
      </c>
      <c r="F902" s="14"/>
      <c r="G902" s="25" t="s">
        <v>1668</v>
      </c>
      <c r="H902" s="25" t="s">
        <v>27</v>
      </c>
      <c r="I902" s="25" t="s">
        <v>316</v>
      </c>
      <c r="J902" s="15" t="s">
        <v>360</v>
      </c>
      <c r="K902" s="16" t="s">
        <v>29</v>
      </c>
      <c r="L902" s="88"/>
      <c r="M902" s="15"/>
      <c r="N902" s="15" t="s">
        <v>173</v>
      </c>
      <c r="O902" s="15"/>
      <c r="P902" s="16" t="s">
        <v>106</v>
      </c>
      <c r="Q902" s="17">
        <v>5999</v>
      </c>
      <c r="R902" s="18">
        <v>61.53</v>
      </c>
      <c r="S902" s="19">
        <v>2653.9354999999996</v>
      </c>
      <c r="T902" s="20" t="s">
        <v>99</v>
      </c>
      <c r="U902" s="21" t="s">
        <v>40</v>
      </c>
      <c r="V902" s="22" t="s">
        <v>43</v>
      </c>
      <c r="W902" s="23">
        <v>2</v>
      </c>
      <c r="X902" s="24"/>
    </row>
    <row r="903" spans="1:24" s="1" customFormat="1" ht="26" customHeight="1" x14ac:dyDescent="0.3">
      <c r="A903" s="25" t="s">
        <v>607</v>
      </c>
      <c r="B903" s="25" t="s">
        <v>1679</v>
      </c>
      <c r="C903" s="12" t="s">
        <v>1682</v>
      </c>
      <c r="D903" s="87"/>
      <c r="E903" s="67" t="str">
        <f>HYPERLINK("https://www.google.ru/search?q=814435-WH&amp;newwindow=1&amp;tbm=isch","Еще фото")</f>
        <v>Еще фото</v>
      </c>
      <c r="F903" s="14"/>
      <c r="G903" s="25" t="s">
        <v>1668</v>
      </c>
      <c r="H903" s="25" t="s">
        <v>27</v>
      </c>
      <c r="I903" s="25" t="s">
        <v>316</v>
      </c>
      <c r="J903" s="15" t="s">
        <v>360</v>
      </c>
      <c r="K903" s="16" t="s">
        <v>29</v>
      </c>
      <c r="L903" s="84"/>
      <c r="M903" s="15"/>
      <c r="N903" s="15" t="s">
        <v>173</v>
      </c>
      <c r="O903" s="15"/>
      <c r="P903" s="16" t="s">
        <v>106</v>
      </c>
      <c r="Q903" s="17">
        <v>5999</v>
      </c>
      <c r="R903" s="18">
        <v>61.53</v>
      </c>
      <c r="S903" s="19">
        <v>2653.9354999999996</v>
      </c>
      <c r="T903" s="20" t="s">
        <v>99</v>
      </c>
      <c r="U903" s="21" t="s">
        <v>42</v>
      </c>
      <c r="V903" s="22" t="s">
        <v>48</v>
      </c>
      <c r="W903" s="23">
        <v>1</v>
      </c>
      <c r="X903" s="24"/>
    </row>
    <row r="904" spans="1:24" s="1" customFormat="1" ht="26" customHeight="1" x14ac:dyDescent="0.3">
      <c r="A904" s="11" t="s">
        <v>607</v>
      </c>
      <c r="B904" s="11" t="s">
        <v>1683</v>
      </c>
      <c r="C904" s="12" t="s">
        <v>1684</v>
      </c>
      <c r="D904" s="85"/>
      <c r="E904" s="67" t="str">
        <f>HYPERLINK("https://www.google.ru/search?q=814725-NV&amp;newwindow=1&amp;tbm=isch","Еще фото")</f>
        <v>Еще фото</v>
      </c>
      <c r="F904" s="14"/>
      <c r="G904" s="11" t="s">
        <v>315</v>
      </c>
      <c r="H904" s="11" t="s">
        <v>27</v>
      </c>
      <c r="I904" s="15" t="s">
        <v>316</v>
      </c>
      <c r="J904" s="15" t="s">
        <v>360</v>
      </c>
      <c r="K904" s="16" t="s">
        <v>29</v>
      </c>
      <c r="L904" s="83" t="s">
        <v>1685</v>
      </c>
      <c r="M904" s="15"/>
      <c r="N904" s="15" t="s">
        <v>31</v>
      </c>
      <c r="O904" s="15"/>
      <c r="P904" s="16" t="s">
        <v>106</v>
      </c>
      <c r="Q904" s="17">
        <v>4699</v>
      </c>
      <c r="R904" s="18">
        <v>61.53</v>
      </c>
      <c r="S904" s="19">
        <v>2078.9354999999996</v>
      </c>
      <c r="T904" s="20" t="s">
        <v>99</v>
      </c>
      <c r="U904" s="21" t="s">
        <v>442</v>
      </c>
      <c r="V904" s="22" t="s">
        <v>35</v>
      </c>
      <c r="W904" s="23">
        <v>2</v>
      </c>
      <c r="X904" s="24"/>
    </row>
    <row r="905" spans="1:24" s="1" customFormat="1" ht="26" customHeight="1" x14ac:dyDescent="0.3">
      <c r="A905" s="25" t="s">
        <v>607</v>
      </c>
      <c r="B905" s="25" t="s">
        <v>1683</v>
      </c>
      <c r="C905" s="12" t="s">
        <v>1684</v>
      </c>
      <c r="D905" s="86"/>
      <c r="E905" s="67" t="str">
        <f>HYPERLINK("https://www.google.ru/search?q=814725-NV&amp;newwindow=1&amp;tbm=isch","Еще фото")</f>
        <v>Еще фото</v>
      </c>
      <c r="F905" s="14"/>
      <c r="G905" s="25" t="s">
        <v>315</v>
      </c>
      <c r="H905" s="25" t="s">
        <v>27</v>
      </c>
      <c r="I905" s="25" t="s">
        <v>316</v>
      </c>
      <c r="J905" s="15" t="s">
        <v>360</v>
      </c>
      <c r="K905" s="16" t="s">
        <v>29</v>
      </c>
      <c r="L905" s="88"/>
      <c r="M905" s="15"/>
      <c r="N905" s="15" t="s">
        <v>31</v>
      </c>
      <c r="O905" s="15"/>
      <c r="P905" s="16" t="s">
        <v>106</v>
      </c>
      <c r="Q905" s="17">
        <v>4699</v>
      </c>
      <c r="R905" s="18">
        <v>61.53</v>
      </c>
      <c r="S905" s="19">
        <v>2078.9354999999996</v>
      </c>
      <c r="T905" s="20" t="s">
        <v>99</v>
      </c>
      <c r="U905" s="21" t="s">
        <v>34</v>
      </c>
      <c r="V905" s="22" t="s">
        <v>53</v>
      </c>
      <c r="W905" s="23">
        <v>5</v>
      </c>
      <c r="X905" s="24"/>
    </row>
    <row r="906" spans="1:24" s="1" customFormat="1" ht="26" customHeight="1" x14ac:dyDescent="0.3">
      <c r="A906" s="25" t="s">
        <v>607</v>
      </c>
      <c r="B906" s="25" t="s">
        <v>1683</v>
      </c>
      <c r="C906" s="12" t="s">
        <v>1684</v>
      </c>
      <c r="D906" s="86"/>
      <c r="E906" s="67" t="str">
        <f>HYPERLINK("https://www.google.ru/search?q=814725-NV&amp;newwindow=1&amp;tbm=isch","Еще фото")</f>
        <v>Еще фото</v>
      </c>
      <c r="F906" s="14"/>
      <c r="G906" s="25" t="s">
        <v>315</v>
      </c>
      <c r="H906" s="25" t="s">
        <v>27</v>
      </c>
      <c r="I906" s="25" t="s">
        <v>316</v>
      </c>
      <c r="J906" s="15" t="s">
        <v>360</v>
      </c>
      <c r="K906" s="16" t="s">
        <v>29</v>
      </c>
      <c r="L906" s="88"/>
      <c r="M906" s="15"/>
      <c r="N906" s="15" t="s">
        <v>31</v>
      </c>
      <c r="O906" s="15"/>
      <c r="P906" s="16" t="s">
        <v>106</v>
      </c>
      <c r="Q906" s="17">
        <v>4699</v>
      </c>
      <c r="R906" s="18">
        <v>61.53</v>
      </c>
      <c r="S906" s="19">
        <v>2078.9354999999996</v>
      </c>
      <c r="T906" s="20" t="s">
        <v>99</v>
      </c>
      <c r="U906" s="21" t="s">
        <v>52</v>
      </c>
      <c r="V906" s="22" t="s">
        <v>41</v>
      </c>
      <c r="W906" s="23">
        <v>4</v>
      </c>
      <c r="X906" s="24"/>
    </row>
    <row r="907" spans="1:24" s="1" customFormat="1" ht="26" customHeight="1" x14ac:dyDescent="0.3">
      <c r="A907" s="25" t="s">
        <v>607</v>
      </c>
      <c r="B907" s="25" t="s">
        <v>1683</v>
      </c>
      <c r="C907" s="12" t="s">
        <v>1684</v>
      </c>
      <c r="D907" s="87"/>
      <c r="E907" s="67" t="str">
        <f>HYPERLINK("https://www.google.ru/search?q=814725-NV&amp;newwindow=1&amp;tbm=isch","Еще фото")</f>
        <v>Еще фото</v>
      </c>
      <c r="F907" s="14"/>
      <c r="G907" s="25" t="s">
        <v>315</v>
      </c>
      <c r="H907" s="25" t="s">
        <v>27</v>
      </c>
      <c r="I907" s="25" t="s">
        <v>316</v>
      </c>
      <c r="J907" s="15" t="s">
        <v>360</v>
      </c>
      <c r="K907" s="16" t="s">
        <v>29</v>
      </c>
      <c r="L907" s="84"/>
      <c r="M907" s="15"/>
      <c r="N907" s="15" t="s">
        <v>31</v>
      </c>
      <c r="O907" s="15"/>
      <c r="P907" s="16" t="s">
        <v>106</v>
      </c>
      <c r="Q907" s="17">
        <v>4699</v>
      </c>
      <c r="R907" s="18">
        <v>61.53</v>
      </c>
      <c r="S907" s="19">
        <v>2078.9354999999996</v>
      </c>
      <c r="T907" s="20" t="s">
        <v>99</v>
      </c>
      <c r="U907" s="21" t="s">
        <v>40</v>
      </c>
      <c r="V907" s="22" t="s">
        <v>43</v>
      </c>
      <c r="W907" s="23">
        <v>3</v>
      </c>
      <c r="X907" s="24"/>
    </row>
    <row r="908" spans="1:24" s="1" customFormat="1" ht="26" customHeight="1" x14ac:dyDescent="0.3">
      <c r="A908" s="11" t="s">
        <v>607</v>
      </c>
      <c r="B908" s="11" t="s">
        <v>1683</v>
      </c>
      <c r="C908" s="12" t="s">
        <v>1686</v>
      </c>
      <c r="D908" s="85"/>
      <c r="E908" s="67" t="str">
        <f>HYPERLINK("https://www.google.ru/search?q=814725-NVWH&amp;newwindow=1&amp;tbm=isch","Еще фото")</f>
        <v>Еще фото</v>
      </c>
      <c r="F908" s="14"/>
      <c r="G908" s="11" t="s">
        <v>315</v>
      </c>
      <c r="H908" s="11" t="s">
        <v>27</v>
      </c>
      <c r="I908" s="15" t="s">
        <v>316</v>
      </c>
      <c r="J908" s="15" t="s">
        <v>360</v>
      </c>
      <c r="K908" s="16" t="s">
        <v>29</v>
      </c>
      <c r="L908" s="83" t="s">
        <v>1685</v>
      </c>
      <c r="M908" s="15"/>
      <c r="N908" s="15" t="s">
        <v>391</v>
      </c>
      <c r="O908" s="15"/>
      <c r="P908" s="16" t="s">
        <v>106</v>
      </c>
      <c r="Q908" s="17">
        <v>4699</v>
      </c>
      <c r="R908" s="18">
        <v>61.53</v>
      </c>
      <c r="S908" s="19">
        <v>2078.9354999999996</v>
      </c>
      <c r="T908" s="20" t="s">
        <v>99</v>
      </c>
      <c r="U908" s="21" t="s">
        <v>442</v>
      </c>
      <c r="V908" s="22" t="s">
        <v>35</v>
      </c>
      <c r="W908" s="23">
        <v>1</v>
      </c>
      <c r="X908" s="24"/>
    </row>
    <row r="909" spans="1:24" s="1" customFormat="1" ht="26" customHeight="1" x14ac:dyDescent="0.3">
      <c r="A909" s="25" t="s">
        <v>607</v>
      </c>
      <c r="B909" s="25" t="s">
        <v>1683</v>
      </c>
      <c r="C909" s="12" t="s">
        <v>1686</v>
      </c>
      <c r="D909" s="86"/>
      <c r="E909" s="67" t="str">
        <f>HYPERLINK("https://www.google.ru/search?q=814725-NVWH&amp;newwindow=1&amp;tbm=isch","Еще фото")</f>
        <v>Еще фото</v>
      </c>
      <c r="F909" s="14"/>
      <c r="G909" s="25" t="s">
        <v>315</v>
      </c>
      <c r="H909" s="25" t="s">
        <v>27</v>
      </c>
      <c r="I909" s="25" t="s">
        <v>316</v>
      </c>
      <c r="J909" s="15" t="s">
        <v>360</v>
      </c>
      <c r="K909" s="16" t="s">
        <v>29</v>
      </c>
      <c r="L909" s="88"/>
      <c r="M909" s="15"/>
      <c r="N909" s="15" t="s">
        <v>391</v>
      </c>
      <c r="O909" s="15"/>
      <c r="P909" s="16" t="s">
        <v>106</v>
      </c>
      <c r="Q909" s="17">
        <v>4699</v>
      </c>
      <c r="R909" s="18">
        <v>61.53</v>
      </c>
      <c r="S909" s="19">
        <v>2078.9354999999996</v>
      </c>
      <c r="T909" s="20" t="s">
        <v>99</v>
      </c>
      <c r="U909" s="21" t="s">
        <v>34</v>
      </c>
      <c r="V909" s="22" t="s">
        <v>53</v>
      </c>
      <c r="W909" s="23">
        <v>4</v>
      </c>
      <c r="X909" s="24"/>
    </row>
    <row r="910" spans="1:24" s="1" customFormat="1" ht="26" customHeight="1" x14ac:dyDescent="0.3">
      <c r="A910" s="25" t="s">
        <v>607</v>
      </c>
      <c r="B910" s="25" t="s">
        <v>1683</v>
      </c>
      <c r="C910" s="12" t="s">
        <v>1686</v>
      </c>
      <c r="D910" s="86"/>
      <c r="E910" s="67" t="str">
        <f>HYPERLINK("https://www.google.ru/search?q=814725-NVWH&amp;newwindow=1&amp;tbm=isch","Еще фото")</f>
        <v>Еще фото</v>
      </c>
      <c r="F910" s="14"/>
      <c r="G910" s="25" t="s">
        <v>315</v>
      </c>
      <c r="H910" s="25" t="s">
        <v>27</v>
      </c>
      <c r="I910" s="25" t="s">
        <v>316</v>
      </c>
      <c r="J910" s="15" t="s">
        <v>360</v>
      </c>
      <c r="K910" s="16" t="s">
        <v>29</v>
      </c>
      <c r="L910" s="88"/>
      <c r="M910" s="15"/>
      <c r="N910" s="15" t="s">
        <v>391</v>
      </c>
      <c r="O910" s="15"/>
      <c r="P910" s="16" t="s">
        <v>106</v>
      </c>
      <c r="Q910" s="17">
        <v>4699</v>
      </c>
      <c r="R910" s="18">
        <v>61.53</v>
      </c>
      <c r="S910" s="19">
        <v>2078.9354999999996</v>
      </c>
      <c r="T910" s="20" t="s">
        <v>99</v>
      </c>
      <c r="U910" s="21" t="s">
        <v>52</v>
      </c>
      <c r="V910" s="22" t="s">
        <v>41</v>
      </c>
      <c r="W910" s="23">
        <v>3</v>
      </c>
      <c r="X910" s="24"/>
    </row>
    <row r="911" spans="1:24" s="1" customFormat="1" ht="26" customHeight="1" x14ac:dyDescent="0.3">
      <c r="A911" s="25" t="s">
        <v>607</v>
      </c>
      <c r="B911" s="25" t="s">
        <v>1683</v>
      </c>
      <c r="C911" s="12" t="s">
        <v>1686</v>
      </c>
      <c r="D911" s="87"/>
      <c r="E911" s="67" t="str">
        <f>HYPERLINK("https://www.google.ru/search?q=814725-NVWH&amp;newwindow=1&amp;tbm=isch","Еще фото")</f>
        <v>Еще фото</v>
      </c>
      <c r="F911" s="14"/>
      <c r="G911" s="25" t="s">
        <v>315</v>
      </c>
      <c r="H911" s="25" t="s">
        <v>27</v>
      </c>
      <c r="I911" s="25" t="s">
        <v>316</v>
      </c>
      <c r="J911" s="15" t="s">
        <v>360</v>
      </c>
      <c r="K911" s="16" t="s">
        <v>29</v>
      </c>
      <c r="L911" s="84"/>
      <c r="M911" s="15"/>
      <c r="N911" s="15" t="s">
        <v>391</v>
      </c>
      <c r="O911" s="15"/>
      <c r="P911" s="16" t="s">
        <v>106</v>
      </c>
      <c r="Q911" s="17">
        <v>4699</v>
      </c>
      <c r="R911" s="18">
        <v>61.53</v>
      </c>
      <c r="S911" s="19">
        <v>2078.9354999999996</v>
      </c>
      <c r="T911" s="20" t="s">
        <v>99</v>
      </c>
      <c r="U911" s="21" t="s">
        <v>40</v>
      </c>
      <c r="V911" s="22" t="s">
        <v>43</v>
      </c>
      <c r="W911" s="23">
        <v>1</v>
      </c>
      <c r="X911" s="24"/>
    </row>
    <row r="912" spans="1:24" s="1" customFormat="1" ht="26" customHeight="1" x14ac:dyDescent="0.3">
      <c r="A912" s="11" t="s">
        <v>607</v>
      </c>
      <c r="B912" s="11" t="s">
        <v>1683</v>
      </c>
      <c r="C912" s="12" t="s">
        <v>1687</v>
      </c>
      <c r="D912" s="85"/>
      <c r="E912" s="67" t="str">
        <f>HYPERLINK("https://www.google.ru/search?q=814725-WH&amp;newwindow=1&amp;tbm=isch","Еще фото")</f>
        <v>Еще фото</v>
      </c>
      <c r="F912" s="14"/>
      <c r="G912" s="11" t="s">
        <v>315</v>
      </c>
      <c r="H912" s="11" t="s">
        <v>27</v>
      </c>
      <c r="I912" s="15" t="s">
        <v>316</v>
      </c>
      <c r="J912" s="15" t="s">
        <v>360</v>
      </c>
      <c r="K912" s="16" t="s">
        <v>29</v>
      </c>
      <c r="L912" s="83" t="s">
        <v>1685</v>
      </c>
      <c r="M912" s="15"/>
      <c r="N912" s="15" t="s">
        <v>173</v>
      </c>
      <c r="O912" s="15"/>
      <c r="P912" s="16" t="s">
        <v>106</v>
      </c>
      <c r="Q912" s="17">
        <v>4699</v>
      </c>
      <c r="R912" s="18">
        <v>61.53</v>
      </c>
      <c r="S912" s="19">
        <v>2078.9354999999996</v>
      </c>
      <c r="T912" s="20" t="s">
        <v>99</v>
      </c>
      <c r="U912" s="21" t="s">
        <v>442</v>
      </c>
      <c r="V912" s="22" t="s">
        <v>35</v>
      </c>
      <c r="W912" s="23">
        <v>3</v>
      </c>
      <c r="X912" s="24"/>
    </row>
    <row r="913" spans="1:24" s="1" customFormat="1" ht="26" customHeight="1" x14ac:dyDescent="0.3">
      <c r="A913" s="25" t="s">
        <v>607</v>
      </c>
      <c r="B913" s="25" t="s">
        <v>1683</v>
      </c>
      <c r="C913" s="12" t="s">
        <v>1687</v>
      </c>
      <c r="D913" s="86"/>
      <c r="E913" s="67" t="str">
        <f>HYPERLINK("https://www.google.ru/search?q=814725-WH&amp;newwindow=1&amp;tbm=isch","Еще фото")</f>
        <v>Еще фото</v>
      </c>
      <c r="F913" s="14"/>
      <c r="G913" s="25" t="s">
        <v>315</v>
      </c>
      <c r="H913" s="25" t="s">
        <v>27</v>
      </c>
      <c r="I913" s="25" t="s">
        <v>316</v>
      </c>
      <c r="J913" s="15" t="s">
        <v>360</v>
      </c>
      <c r="K913" s="16" t="s">
        <v>29</v>
      </c>
      <c r="L913" s="88"/>
      <c r="M913" s="15"/>
      <c r="N913" s="15" t="s">
        <v>173</v>
      </c>
      <c r="O913" s="15"/>
      <c r="P913" s="16" t="s">
        <v>106</v>
      </c>
      <c r="Q913" s="17">
        <v>4699</v>
      </c>
      <c r="R913" s="18">
        <v>61.53</v>
      </c>
      <c r="S913" s="19">
        <v>2078.9354999999996</v>
      </c>
      <c r="T913" s="20" t="s">
        <v>99</v>
      </c>
      <c r="U913" s="21" t="s">
        <v>34</v>
      </c>
      <c r="V913" s="22" t="s">
        <v>53</v>
      </c>
      <c r="W913" s="23">
        <v>6</v>
      </c>
      <c r="X913" s="24"/>
    </row>
    <row r="914" spans="1:24" s="1" customFormat="1" ht="26" customHeight="1" x14ac:dyDescent="0.3">
      <c r="A914" s="25" t="s">
        <v>607</v>
      </c>
      <c r="B914" s="25" t="s">
        <v>1683</v>
      </c>
      <c r="C914" s="12" t="s">
        <v>1687</v>
      </c>
      <c r="D914" s="86"/>
      <c r="E914" s="67" t="str">
        <f>HYPERLINK("https://www.google.ru/search?q=814725-WH&amp;newwindow=1&amp;tbm=isch","Еще фото")</f>
        <v>Еще фото</v>
      </c>
      <c r="F914" s="14"/>
      <c r="G914" s="25" t="s">
        <v>315</v>
      </c>
      <c r="H914" s="25" t="s">
        <v>27</v>
      </c>
      <c r="I914" s="25" t="s">
        <v>316</v>
      </c>
      <c r="J914" s="15" t="s">
        <v>360</v>
      </c>
      <c r="K914" s="16" t="s">
        <v>29</v>
      </c>
      <c r="L914" s="88"/>
      <c r="M914" s="15"/>
      <c r="N914" s="15" t="s">
        <v>173</v>
      </c>
      <c r="O914" s="15"/>
      <c r="P914" s="16" t="s">
        <v>106</v>
      </c>
      <c r="Q914" s="17">
        <v>4699</v>
      </c>
      <c r="R914" s="18">
        <v>61.53</v>
      </c>
      <c r="S914" s="19">
        <v>2078.9354999999996</v>
      </c>
      <c r="T914" s="20" t="s">
        <v>99</v>
      </c>
      <c r="U914" s="21" t="s">
        <v>52</v>
      </c>
      <c r="V914" s="22" t="s">
        <v>41</v>
      </c>
      <c r="W914" s="23">
        <v>6</v>
      </c>
      <c r="X914" s="24"/>
    </row>
    <row r="915" spans="1:24" s="1" customFormat="1" ht="26" customHeight="1" x14ac:dyDescent="0.3">
      <c r="A915" s="25" t="s">
        <v>607</v>
      </c>
      <c r="B915" s="25" t="s">
        <v>1683</v>
      </c>
      <c r="C915" s="12" t="s">
        <v>1687</v>
      </c>
      <c r="D915" s="87"/>
      <c r="E915" s="67" t="str">
        <f>HYPERLINK("https://www.google.ru/search?q=814725-WH&amp;newwindow=1&amp;tbm=isch","Еще фото")</f>
        <v>Еще фото</v>
      </c>
      <c r="F915" s="14"/>
      <c r="G915" s="25" t="s">
        <v>315</v>
      </c>
      <c r="H915" s="25" t="s">
        <v>27</v>
      </c>
      <c r="I915" s="25" t="s">
        <v>316</v>
      </c>
      <c r="J915" s="15" t="s">
        <v>360</v>
      </c>
      <c r="K915" s="16" t="s">
        <v>29</v>
      </c>
      <c r="L915" s="84"/>
      <c r="M915" s="15"/>
      <c r="N915" s="15" t="s">
        <v>173</v>
      </c>
      <c r="O915" s="15"/>
      <c r="P915" s="16" t="s">
        <v>106</v>
      </c>
      <c r="Q915" s="17">
        <v>4699</v>
      </c>
      <c r="R915" s="18">
        <v>61.53</v>
      </c>
      <c r="S915" s="19">
        <v>2078.9354999999996</v>
      </c>
      <c r="T915" s="20" t="s">
        <v>99</v>
      </c>
      <c r="U915" s="21" t="s">
        <v>40</v>
      </c>
      <c r="V915" s="22" t="s">
        <v>43</v>
      </c>
      <c r="W915" s="23">
        <v>1</v>
      </c>
      <c r="X915" s="24"/>
    </row>
    <row r="916" spans="1:24" s="1" customFormat="1" ht="26" customHeight="1" x14ac:dyDescent="0.3">
      <c r="A916" s="11" t="s">
        <v>607</v>
      </c>
      <c r="B916" s="11" t="s">
        <v>1688</v>
      </c>
      <c r="C916" s="12" t="s">
        <v>1689</v>
      </c>
      <c r="D916" s="85"/>
      <c r="E916" s="67" t="str">
        <f>HYPERLINK("https://www.google.ru/search?q=811215-CN&amp;newwindow=1&amp;tbm=isch","Еще фото")</f>
        <v>Еще фото</v>
      </c>
      <c r="F916" s="14"/>
      <c r="G916" s="11" t="s">
        <v>315</v>
      </c>
      <c r="H916" s="11" t="s">
        <v>27</v>
      </c>
      <c r="I916" s="15" t="s">
        <v>316</v>
      </c>
      <c r="J916" s="15" t="s">
        <v>360</v>
      </c>
      <c r="K916" s="16" t="s">
        <v>45</v>
      </c>
      <c r="L916" s="83" t="s">
        <v>1690</v>
      </c>
      <c r="M916" s="15"/>
      <c r="N916" s="15" t="s">
        <v>948</v>
      </c>
      <c r="O916" s="15"/>
      <c r="P916" s="16" t="s">
        <v>106</v>
      </c>
      <c r="Q916" s="17">
        <v>6699</v>
      </c>
      <c r="R916" s="18">
        <v>61.52</v>
      </c>
      <c r="S916" s="19">
        <v>2964.4354999999996</v>
      </c>
      <c r="T916" s="20" t="s">
        <v>99</v>
      </c>
      <c r="U916" s="21" t="s">
        <v>34</v>
      </c>
      <c r="V916" s="22" t="s">
        <v>35</v>
      </c>
      <c r="W916" s="23">
        <v>2</v>
      </c>
      <c r="X916" s="24"/>
    </row>
    <row r="917" spans="1:24" s="1" customFormat="1" ht="26" customHeight="1" x14ac:dyDescent="0.3">
      <c r="A917" s="25" t="s">
        <v>607</v>
      </c>
      <c r="B917" s="25" t="s">
        <v>1688</v>
      </c>
      <c r="C917" s="12" t="s">
        <v>1689</v>
      </c>
      <c r="D917" s="86"/>
      <c r="E917" s="67" t="str">
        <f>HYPERLINK("https://www.google.ru/search?q=811215-CN&amp;newwindow=1&amp;tbm=isch","Еще фото")</f>
        <v>Еще фото</v>
      </c>
      <c r="F917" s="14"/>
      <c r="G917" s="25" t="s">
        <v>315</v>
      </c>
      <c r="H917" s="25" t="s">
        <v>27</v>
      </c>
      <c r="I917" s="25" t="s">
        <v>316</v>
      </c>
      <c r="J917" s="15" t="s">
        <v>360</v>
      </c>
      <c r="K917" s="16" t="s">
        <v>45</v>
      </c>
      <c r="L917" s="88"/>
      <c r="M917" s="15"/>
      <c r="N917" s="15" t="s">
        <v>948</v>
      </c>
      <c r="O917" s="15"/>
      <c r="P917" s="16" t="s">
        <v>106</v>
      </c>
      <c r="Q917" s="17">
        <v>6699</v>
      </c>
      <c r="R917" s="18">
        <v>61.52</v>
      </c>
      <c r="S917" s="19">
        <v>2964.4354999999996</v>
      </c>
      <c r="T917" s="20" t="s">
        <v>99</v>
      </c>
      <c r="U917" s="21" t="s">
        <v>52</v>
      </c>
      <c r="V917" s="22" t="s">
        <v>53</v>
      </c>
      <c r="W917" s="23">
        <v>4</v>
      </c>
      <c r="X917" s="24"/>
    </row>
    <row r="918" spans="1:24" s="1" customFormat="1" ht="26" customHeight="1" x14ac:dyDescent="0.3">
      <c r="A918" s="25" t="s">
        <v>607</v>
      </c>
      <c r="B918" s="25" t="s">
        <v>1688</v>
      </c>
      <c r="C918" s="12" t="s">
        <v>1689</v>
      </c>
      <c r="D918" s="86"/>
      <c r="E918" s="67" t="str">
        <f>HYPERLINK("https://www.google.ru/search?q=811215-CN&amp;newwindow=1&amp;tbm=isch","Еще фото")</f>
        <v>Еще фото</v>
      </c>
      <c r="F918" s="14"/>
      <c r="G918" s="25" t="s">
        <v>315</v>
      </c>
      <c r="H918" s="25" t="s">
        <v>27</v>
      </c>
      <c r="I918" s="25" t="s">
        <v>316</v>
      </c>
      <c r="J918" s="15" t="s">
        <v>360</v>
      </c>
      <c r="K918" s="16" t="s">
        <v>45</v>
      </c>
      <c r="L918" s="88"/>
      <c r="M918" s="15"/>
      <c r="N918" s="15" t="s">
        <v>948</v>
      </c>
      <c r="O918" s="15"/>
      <c r="P918" s="16" t="s">
        <v>106</v>
      </c>
      <c r="Q918" s="17">
        <v>6699</v>
      </c>
      <c r="R918" s="18">
        <v>61.52</v>
      </c>
      <c r="S918" s="19">
        <v>2964.4354999999996</v>
      </c>
      <c r="T918" s="20" t="s">
        <v>99</v>
      </c>
      <c r="U918" s="21" t="s">
        <v>40</v>
      </c>
      <c r="V918" s="22" t="s">
        <v>41</v>
      </c>
      <c r="W918" s="23">
        <v>2</v>
      </c>
      <c r="X918" s="24"/>
    </row>
    <row r="919" spans="1:24" s="1" customFormat="1" ht="26" customHeight="1" x14ac:dyDescent="0.3">
      <c r="A919" s="25" t="s">
        <v>607</v>
      </c>
      <c r="B919" s="25" t="s">
        <v>1688</v>
      </c>
      <c r="C919" s="12" t="s">
        <v>1689</v>
      </c>
      <c r="D919" s="87"/>
      <c r="E919" s="67" t="str">
        <f>HYPERLINK("https://www.google.ru/search?q=811215-CN&amp;newwindow=1&amp;tbm=isch","Еще фото")</f>
        <v>Еще фото</v>
      </c>
      <c r="F919" s="14"/>
      <c r="G919" s="25" t="s">
        <v>315</v>
      </c>
      <c r="H919" s="25" t="s">
        <v>27</v>
      </c>
      <c r="I919" s="25" t="s">
        <v>316</v>
      </c>
      <c r="J919" s="15" t="s">
        <v>360</v>
      </c>
      <c r="K919" s="16" t="s">
        <v>45</v>
      </c>
      <c r="L919" s="84"/>
      <c r="M919" s="15"/>
      <c r="N919" s="15" t="s">
        <v>948</v>
      </c>
      <c r="O919" s="15"/>
      <c r="P919" s="16" t="s">
        <v>106</v>
      </c>
      <c r="Q919" s="17">
        <v>6699</v>
      </c>
      <c r="R919" s="18">
        <v>61.52</v>
      </c>
      <c r="S919" s="19">
        <v>2964.4354999999996</v>
      </c>
      <c r="T919" s="20" t="s">
        <v>99</v>
      </c>
      <c r="U919" s="21" t="s">
        <v>42</v>
      </c>
      <c r="V919" s="22" t="s">
        <v>43</v>
      </c>
      <c r="W919" s="23">
        <v>1</v>
      </c>
      <c r="X919" s="24"/>
    </row>
    <row r="920" spans="1:24" s="1" customFormat="1" ht="26" customHeight="1" x14ac:dyDescent="0.3">
      <c r="A920" s="11" t="s">
        <v>607</v>
      </c>
      <c r="B920" s="11" t="s">
        <v>1691</v>
      </c>
      <c r="C920" s="12" t="s">
        <v>1692</v>
      </c>
      <c r="D920" s="85"/>
      <c r="E920" s="67" t="str">
        <f>HYPERLINK("https://www.google.ru/search?q=814225-CE&amp;newwindow=1&amp;tbm=isch","Еще фото")</f>
        <v>Еще фото</v>
      </c>
      <c r="F920" s="14"/>
      <c r="G920" s="11" t="s">
        <v>1668</v>
      </c>
      <c r="H920" s="11" t="s">
        <v>27</v>
      </c>
      <c r="I920" s="15" t="s">
        <v>316</v>
      </c>
      <c r="J920" s="15" t="s">
        <v>360</v>
      </c>
      <c r="K920" s="16" t="s">
        <v>29</v>
      </c>
      <c r="L920" s="83" t="s">
        <v>1693</v>
      </c>
      <c r="M920" s="15"/>
      <c r="N920" s="15" t="s">
        <v>55</v>
      </c>
      <c r="O920" s="15"/>
      <c r="P920" s="16" t="s">
        <v>106</v>
      </c>
      <c r="Q920" s="17">
        <v>6699</v>
      </c>
      <c r="R920" s="18">
        <v>61.52</v>
      </c>
      <c r="S920" s="19">
        <v>2964.4354999999996</v>
      </c>
      <c r="T920" s="20" t="s">
        <v>99</v>
      </c>
      <c r="U920" s="21" t="s">
        <v>442</v>
      </c>
      <c r="V920" s="22" t="s">
        <v>35</v>
      </c>
      <c r="W920" s="23">
        <v>2</v>
      </c>
      <c r="X920" s="24"/>
    </row>
    <row r="921" spans="1:24" s="1" customFormat="1" ht="26" customHeight="1" x14ac:dyDescent="0.3">
      <c r="A921" s="25" t="s">
        <v>607</v>
      </c>
      <c r="B921" s="25" t="s">
        <v>1691</v>
      </c>
      <c r="C921" s="12" t="s">
        <v>1692</v>
      </c>
      <c r="D921" s="86"/>
      <c r="E921" s="67" t="str">
        <f>HYPERLINK("https://www.google.ru/search?q=814225-CE&amp;newwindow=1&amp;tbm=isch","Еще фото")</f>
        <v>Еще фото</v>
      </c>
      <c r="F921" s="14"/>
      <c r="G921" s="25" t="s">
        <v>1668</v>
      </c>
      <c r="H921" s="25" t="s">
        <v>27</v>
      </c>
      <c r="I921" s="25" t="s">
        <v>316</v>
      </c>
      <c r="J921" s="15" t="s">
        <v>360</v>
      </c>
      <c r="K921" s="16" t="s">
        <v>29</v>
      </c>
      <c r="L921" s="88"/>
      <c r="M921" s="15"/>
      <c r="N921" s="15" t="s">
        <v>55</v>
      </c>
      <c r="O921" s="15"/>
      <c r="P921" s="16" t="s">
        <v>106</v>
      </c>
      <c r="Q921" s="17">
        <v>6699</v>
      </c>
      <c r="R921" s="18">
        <v>61.52</v>
      </c>
      <c r="S921" s="19">
        <v>2964.4354999999996</v>
      </c>
      <c r="T921" s="20" t="s">
        <v>99</v>
      </c>
      <c r="U921" s="21" t="s">
        <v>34</v>
      </c>
      <c r="V921" s="22" t="s">
        <v>53</v>
      </c>
      <c r="W921" s="23">
        <v>3</v>
      </c>
      <c r="X921" s="24"/>
    </row>
    <row r="922" spans="1:24" s="1" customFormat="1" ht="26" customHeight="1" x14ac:dyDescent="0.3">
      <c r="A922" s="25" t="s">
        <v>607</v>
      </c>
      <c r="B922" s="25" t="s">
        <v>1691</v>
      </c>
      <c r="C922" s="12" t="s">
        <v>1692</v>
      </c>
      <c r="D922" s="86"/>
      <c r="E922" s="67" t="str">
        <f>HYPERLINK("https://www.google.ru/search?q=814225-CE&amp;newwindow=1&amp;tbm=isch","Еще фото")</f>
        <v>Еще фото</v>
      </c>
      <c r="F922" s="14"/>
      <c r="G922" s="25" t="s">
        <v>1668</v>
      </c>
      <c r="H922" s="25" t="s">
        <v>27</v>
      </c>
      <c r="I922" s="25" t="s">
        <v>316</v>
      </c>
      <c r="J922" s="15" t="s">
        <v>360</v>
      </c>
      <c r="K922" s="16" t="s">
        <v>29</v>
      </c>
      <c r="L922" s="88"/>
      <c r="M922" s="15"/>
      <c r="N922" s="15" t="s">
        <v>55</v>
      </c>
      <c r="O922" s="15"/>
      <c r="P922" s="16" t="s">
        <v>106</v>
      </c>
      <c r="Q922" s="17">
        <v>6699</v>
      </c>
      <c r="R922" s="18">
        <v>61.52</v>
      </c>
      <c r="S922" s="19">
        <v>2964.4354999999996</v>
      </c>
      <c r="T922" s="20" t="s">
        <v>99</v>
      </c>
      <c r="U922" s="21" t="s">
        <v>52</v>
      </c>
      <c r="V922" s="22" t="s">
        <v>41</v>
      </c>
      <c r="W922" s="23">
        <v>4</v>
      </c>
      <c r="X922" s="24"/>
    </row>
    <row r="923" spans="1:24" s="1" customFormat="1" ht="26" customHeight="1" x14ac:dyDescent="0.3">
      <c r="A923" s="25" t="s">
        <v>607</v>
      </c>
      <c r="B923" s="25" t="s">
        <v>1691</v>
      </c>
      <c r="C923" s="12" t="s">
        <v>1692</v>
      </c>
      <c r="D923" s="87"/>
      <c r="E923" s="67" t="str">
        <f>HYPERLINK("https://www.google.ru/search?q=814225-CE&amp;newwindow=1&amp;tbm=isch","Еще фото")</f>
        <v>Еще фото</v>
      </c>
      <c r="F923" s="14"/>
      <c r="G923" s="25" t="s">
        <v>1668</v>
      </c>
      <c r="H923" s="25" t="s">
        <v>27</v>
      </c>
      <c r="I923" s="25" t="s">
        <v>316</v>
      </c>
      <c r="J923" s="15" t="s">
        <v>360</v>
      </c>
      <c r="K923" s="16" t="s">
        <v>29</v>
      </c>
      <c r="L923" s="84"/>
      <c r="M923" s="15"/>
      <c r="N923" s="15" t="s">
        <v>55</v>
      </c>
      <c r="O923" s="15"/>
      <c r="P923" s="16" t="s">
        <v>106</v>
      </c>
      <c r="Q923" s="17">
        <v>6699</v>
      </c>
      <c r="R923" s="18">
        <v>61.52</v>
      </c>
      <c r="S923" s="19">
        <v>2964.4354999999996</v>
      </c>
      <c r="T923" s="20" t="s">
        <v>99</v>
      </c>
      <c r="U923" s="21" t="s">
        <v>40</v>
      </c>
      <c r="V923" s="22" t="s">
        <v>43</v>
      </c>
      <c r="W923" s="23">
        <v>2</v>
      </c>
      <c r="X923" s="24"/>
    </row>
    <row r="924" spans="1:24" s="1" customFormat="1" ht="21" customHeight="1" x14ac:dyDescent="0.3">
      <c r="A924" s="11" t="s">
        <v>607</v>
      </c>
      <c r="B924" s="11" t="s">
        <v>1691</v>
      </c>
      <c r="C924" s="27" t="s">
        <v>1694</v>
      </c>
      <c r="D924" s="85"/>
      <c r="E924" s="67" t="str">
        <f>HYPERLINK("https://www.google.ru/search?q=814225-ZI&amp;newwindow=1&amp;tbm=isch","Еще фото")</f>
        <v>Еще фото</v>
      </c>
      <c r="F924" s="14"/>
      <c r="G924" s="11" t="s">
        <v>1668</v>
      </c>
      <c r="H924" s="11" t="s">
        <v>27</v>
      </c>
      <c r="I924" s="15" t="s">
        <v>316</v>
      </c>
      <c r="J924" s="15" t="s">
        <v>360</v>
      </c>
      <c r="K924" s="16" t="s">
        <v>29</v>
      </c>
      <c r="L924" s="83" t="s">
        <v>1693</v>
      </c>
      <c r="M924" s="15"/>
      <c r="N924" s="15" t="s">
        <v>212</v>
      </c>
      <c r="O924" s="15"/>
      <c r="P924" s="16" t="s">
        <v>106</v>
      </c>
      <c r="Q924" s="17">
        <v>6699</v>
      </c>
      <c r="R924" s="18">
        <v>61.52</v>
      </c>
      <c r="S924" s="19">
        <v>2964.4354999999996</v>
      </c>
      <c r="T924" s="20" t="s">
        <v>99</v>
      </c>
      <c r="U924" s="21" t="s">
        <v>442</v>
      </c>
      <c r="V924" s="22" t="s">
        <v>35</v>
      </c>
      <c r="W924" s="23">
        <v>2</v>
      </c>
      <c r="X924" s="24"/>
    </row>
    <row r="925" spans="1:24" s="1" customFormat="1" ht="21" customHeight="1" x14ac:dyDescent="0.3">
      <c r="A925" s="25" t="s">
        <v>607</v>
      </c>
      <c r="B925" s="25" t="s">
        <v>1691</v>
      </c>
      <c r="C925" s="28" t="s">
        <v>1694</v>
      </c>
      <c r="D925" s="86"/>
      <c r="E925" s="67" t="str">
        <f>HYPERLINK("https://www.google.ru/search?q=814225-ZI&amp;newwindow=1&amp;tbm=isch","Еще фото")</f>
        <v>Еще фото</v>
      </c>
      <c r="F925" s="14"/>
      <c r="G925" s="25" t="s">
        <v>1668</v>
      </c>
      <c r="H925" s="25" t="s">
        <v>27</v>
      </c>
      <c r="I925" s="25" t="s">
        <v>316</v>
      </c>
      <c r="J925" s="15" t="s">
        <v>360</v>
      </c>
      <c r="K925" s="16" t="s">
        <v>29</v>
      </c>
      <c r="L925" s="88"/>
      <c r="M925" s="15"/>
      <c r="N925" s="15" t="s">
        <v>212</v>
      </c>
      <c r="O925" s="15"/>
      <c r="P925" s="16" t="s">
        <v>106</v>
      </c>
      <c r="Q925" s="17">
        <v>6699</v>
      </c>
      <c r="R925" s="18">
        <v>61.52</v>
      </c>
      <c r="S925" s="19">
        <v>2964.4354999999996</v>
      </c>
      <c r="T925" s="20" t="s">
        <v>99</v>
      </c>
      <c r="U925" s="21" t="s">
        <v>34</v>
      </c>
      <c r="V925" s="22" t="s">
        <v>53</v>
      </c>
      <c r="W925" s="23">
        <v>5</v>
      </c>
      <c r="X925" s="24"/>
    </row>
    <row r="926" spans="1:24" s="1" customFormat="1" ht="21" customHeight="1" x14ac:dyDescent="0.3">
      <c r="A926" s="25" t="s">
        <v>607</v>
      </c>
      <c r="B926" s="25" t="s">
        <v>1691</v>
      </c>
      <c r="C926" s="28" t="s">
        <v>1694</v>
      </c>
      <c r="D926" s="86"/>
      <c r="E926" s="67" t="str">
        <f>HYPERLINK("https://www.google.ru/search?q=814225-ZI&amp;newwindow=1&amp;tbm=isch","Еще фото")</f>
        <v>Еще фото</v>
      </c>
      <c r="F926" s="14"/>
      <c r="G926" s="25" t="s">
        <v>1668</v>
      </c>
      <c r="H926" s="25" t="s">
        <v>27</v>
      </c>
      <c r="I926" s="25" t="s">
        <v>316</v>
      </c>
      <c r="J926" s="15" t="s">
        <v>360</v>
      </c>
      <c r="K926" s="16" t="s">
        <v>29</v>
      </c>
      <c r="L926" s="88"/>
      <c r="M926" s="15"/>
      <c r="N926" s="15" t="s">
        <v>212</v>
      </c>
      <c r="O926" s="15"/>
      <c r="P926" s="16" t="s">
        <v>106</v>
      </c>
      <c r="Q926" s="17">
        <v>6699</v>
      </c>
      <c r="R926" s="18">
        <v>61.52</v>
      </c>
      <c r="S926" s="19">
        <v>2964.4354999999996</v>
      </c>
      <c r="T926" s="20" t="s">
        <v>99</v>
      </c>
      <c r="U926" s="21" t="s">
        <v>52</v>
      </c>
      <c r="V926" s="22" t="s">
        <v>41</v>
      </c>
      <c r="W926" s="23">
        <v>6</v>
      </c>
      <c r="X926" s="24"/>
    </row>
    <row r="927" spans="1:24" s="1" customFormat="1" ht="21" customHeight="1" x14ac:dyDescent="0.3">
      <c r="A927" s="25" t="s">
        <v>607</v>
      </c>
      <c r="B927" s="25" t="s">
        <v>1691</v>
      </c>
      <c r="C927" s="28" t="s">
        <v>1694</v>
      </c>
      <c r="D927" s="86"/>
      <c r="E927" s="67" t="str">
        <f>HYPERLINK("https://www.google.ru/search?q=814225-ZI&amp;newwindow=1&amp;tbm=isch","Еще фото")</f>
        <v>Еще фото</v>
      </c>
      <c r="F927" s="14"/>
      <c r="G927" s="25" t="s">
        <v>1668</v>
      </c>
      <c r="H927" s="25" t="s">
        <v>27</v>
      </c>
      <c r="I927" s="25" t="s">
        <v>316</v>
      </c>
      <c r="J927" s="15" t="s">
        <v>360</v>
      </c>
      <c r="K927" s="16" t="s">
        <v>29</v>
      </c>
      <c r="L927" s="88"/>
      <c r="M927" s="15"/>
      <c r="N927" s="15" t="s">
        <v>212</v>
      </c>
      <c r="O927" s="15"/>
      <c r="P927" s="16" t="s">
        <v>106</v>
      </c>
      <c r="Q927" s="17">
        <v>6699</v>
      </c>
      <c r="R927" s="18">
        <v>61.52</v>
      </c>
      <c r="S927" s="19">
        <v>2964.4354999999996</v>
      </c>
      <c r="T927" s="20" t="s">
        <v>99</v>
      </c>
      <c r="U927" s="21" t="s">
        <v>40</v>
      </c>
      <c r="V927" s="22" t="s">
        <v>43</v>
      </c>
      <c r="W927" s="23">
        <v>3</v>
      </c>
      <c r="X927" s="24"/>
    </row>
    <row r="928" spans="1:24" s="1" customFormat="1" ht="32" customHeight="1" x14ac:dyDescent="0.3">
      <c r="A928" s="25" t="s">
        <v>607</v>
      </c>
      <c r="B928" s="25" t="s">
        <v>1691</v>
      </c>
      <c r="C928" s="28" t="s">
        <v>1694</v>
      </c>
      <c r="D928" s="87"/>
      <c r="E928" s="67" t="str">
        <f>HYPERLINK("https://www.google.ru/search?q=814225-ZI&amp;newwindow=1&amp;tbm=isch","Еще фото")</f>
        <v>Еще фото</v>
      </c>
      <c r="F928" s="14"/>
      <c r="G928" s="25" t="s">
        <v>1668</v>
      </c>
      <c r="H928" s="25" t="s">
        <v>27</v>
      </c>
      <c r="I928" s="25" t="s">
        <v>316</v>
      </c>
      <c r="J928" s="15" t="s">
        <v>360</v>
      </c>
      <c r="K928" s="16" t="s">
        <v>29</v>
      </c>
      <c r="L928" s="84"/>
      <c r="M928" s="15"/>
      <c r="N928" s="15" t="s">
        <v>212</v>
      </c>
      <c r="O928" s="15"/>
      <c r="P928" s="16" t="s">
        <v>106</v>
      </c>
      <c r="Q928" s="17">
        <v>6699</v>
      </c>
      <c r="R928" s="18">
        <v>61.52</v>
      </c>
      <c r="S928" s="19">
        <v>2964.4354999999996</v>
      </c>
      <c r="T928" s="20" t="s">
        <v>99</v>
      </c>
      <c r="U928" s="21" t="s">
        <v>42</v>
      </c>
      <c r="V928" s="22" t="s">
        <v>48</v>
      </c>
      <c r="W928" s="23">
        <v>1</v>
      </c>
      <c r="X928" s="24"/>
    </row>
    <row r="929" spans="1:24" s="1" customFormat="1" ht="35" customHeight="1" x14ac:dyDescent="0.3">
      <c r="A929" s="11" t="s">
        <v>607</v>
      </c>
      <c r="B929" s="11" t="s">
        <v>1695</v>
      </c>
      <c r="C929" s="12" t="s">
        <v>1696</v>
      </c>
      <c r="D929" s="85"/>
      <c r="E929" s="67" t="str">
        <f>HYPERLINK("https://www.google.ru/search?q=814845-RO&amp;newwindow=1&amp;tbm=isch","Еще фото")</f>
        <v>Еще фото</v>
      </c>
      <c r="F929" s="14"/>
      <c r="G929" s="11" t="s">
        <v>315</v>
      </c>
      <c r="H929" s="11" t="s">
        <v>27</v>
      </c>
      <c r="I929" s="15" t="s">
        <v>316</v>
      </c>
      <c r="J929" s="15" t="s">
        <v>360</v>
      </c>
      <c r="K929" s="16" t="s">
        <v>29</v>
      </c>
      <c r="L929" s="83" t="s">
        <v>1697</v>
      </c>
      <c r="M929" s="15"/>
      <c r="N929" s="15" t="s">
        <v>31</v>
      </c>
      <c r="O929" s="15"/>
      <c r="P929" s="16" t="s">
        <v>1698</v>
      </c>
      <c r="Q929" s="17">
        <v>3499</v>
      </c>
      <c r="R929" s="18">
        <v>61.48</v>
      </c>
      <c r="S929" s="19">
        <v>1549.9354999999998</v>
      </c>
      <c r="T929" s="20" t="s">
        <v>99</v>
      </c>
      <c r="U929" s="21" t="s">
        <v>442</v>
      </c>
      <c r="V929" s="22" t="s">
        <v>35</v>
      </c>
      <c r="W929" s="23">
        <v>1</v>
      </c>
      <c r="X929" s="24"/>
    </row>
    <row r="930" spans="1:24" s="1" customFormat="1" ht="35" customHeight="1" x14ac:dyDescent="0.3">
      <c r="A930" s="25" t="s">
        <v>607</v>
      </c>
      <c r="B930" s="25" t="s">
        <v>1695</v>
      </c>
      <c r="C930" s="12" t="s">
        <v>1696</v>
      </c>
      <c r="D930" s="86"/>
      <c r="E930" s="67" t="str">
        <f>HYPERLINK("https://www.google.ru/search?q=814845-RO&amp;newwindow=1&amp;tbm=isch","Еще фото")</f>
        <v>Еще фото</v>
      </c>
      <c r="F930" s="14"/>
      <c r="G930" s="25" t="s">
        <v>315</v>
      </c>
      <c r="H930" s="25" t="s">
        <v>27</v>
      </c>
      <c r="I930" s="25" t="s">
        <v>316</v>
      </c>
      <c r="J930" s="15" t="s">
        <v>360</v>
      </c>
      <c r="K930" s="16" t="s">
        <v>29</v>
      </c>
      <c r="L930" s="88"/>
      <c r="M930" s="15"/>
      <c r="N930" s="15" t="s">
        <v>31</v>
      </c>
      <c r="O930" s="15"/>
      <c r="P930" s="16" t="s">
        <v>1698</v>
      </c>
      <c r="Q930" s="17">
        <v>3499</v>
      </c>
      <c r="R930" s="18">
        <v>61.48</v>
      </c>
      <c r="S930" s="19">
        <v>1549.9354999999998</v>
      </c>
      <c r="T930" s="20" t="s">
        <v>99</v>
      </c>
      <c r="U930" s="21" t="s">
        <v>34</v>
      </c>
      <c r="V930" s="22" t="s">
        <v>53</v>
      </c>
      <c r="W930" s="23">
        <v>4</v>
      </c>
      <c r="X930" s="24"/>
    </row>
    <row r="931" spans="1:24" s="1" customFormat="1" ht="37.049999999999997" customHeight="1" x14ac:dyDescent="0.3">
      <c r="A931" s="25" t="s">
        <v>607</v>
      </c>
      <c r="B931" s="25" t="s">
        <v>1695</v>
      </c>
      <c r="C931" s="12" t="s">
        <v>1696</v>
      </c>
      <c r="D931" s="87"/>
      <c r="E931" s="67" t="str">
        <f>HYPERLINK("https://www.google.ru/search?q=814845-RO&amp;newwindow=1&amp;tbm=isch","Еще фото")</f>
        <v>Еще фото</v>
      </c>
      <c r="F931" s="14"/>
      <c r="G931" s="25" t="s">
        <v>315</v>
      </c>
      <c r="H931" s="25" t="s">
        <v>27</v>
      </c>
      <c r="I931" s="25" t="s">
        <v>316</v>
      </c>
      <c r="J931" s="15" t="s">
        <v>360</v>
      </c>
      <c r="K931" s="16" t="s">
        <v>29</v>
      </c>
      <c r="L931" s="84"/>
      <c r="M931" s="15"/>
      <c r="N931" s="15" t="s">
        <v>31</v>
      </c>
      <c r="O931" s="15"/>
      <c r="P931" s="16" t="s">
        <v>1698</v>
      </c>
      <c r="Q931" s="17">
        <v>3499</v>
      </c>
      <c r="R931" s="18">
        <v>61.48</v>
      </c>
      <c r="S931" s="19">
        <v>1549.9354999999998</v>
      </c>
      <c r="T931" s="20" t="s">
        <v>99</v>
      </c>
      <c r="U931" s="21" t="s">
        <v>52</v>
      </c>
      <c r="V931" s="22" t="s">
        <v>41</v>
      </c>
      <c r="W931" s="23">
        <v>2</v>
      </c>
      <c r="X931" s="24"/>
    </row>
    <row r="932" spans="1:24" s="1" customFormat="1" ht="26" customHeight="1" x14ac:dyDescent="0.3">
      <c r="A932" s="11" t="s">
        <v>607</v>
      </c>
      <c r="B932" s="11" t="s">
        <v>1699</v>
      </c>
      <c r="C932" s="12" t="s">
        <v>1700</v>
      </c>
      <c r="D932" s="85"/>
      <c r="E932" s="67" t="str">
        <f>HYPERLINK("https://www.google.ru/search?q=816785-BK&amp;newwindow=1&amp;tbm=isch","Еще фото")</f>
        <v>Еще фото</v>
      </c>
      <c r="F932" s="14"/>
      <c r="G932" s="11" t="s">
        <v>315</v>
      </c>
      <c r="H932" s="11" t="s">
        <v>27</v>
      </c>
      <c r="I932" s="15" t="s">
        <v>316</v>
      </c>
      <c r="J932" s="15" t="s">
        <v>360</v>
      </c>
      <c r="K932" s="16" t="s">
        <v>59</v>
      </c>
      <c r="L932" s="83" t="s">
        <v>1701</v>
      </c>
      <c r="M932" s="15"/>
      <c r="N932" s="15" t="s">
        <v>38</v>
      </c>
      <c r="O932" s="15"/>
      <c r="P932" s="16" t="s">
        <v>1698</v>
      </c>
      <c r="Q932" s="17">
        <v>2899</v>
      </c>
      <c r="R932" s="18">
        <v>61.44</v>
      </c>
      <c r="S932" s="19">
        <v>1285.4354999999998</v>
      </c>
      <c r="T932" s="20" t="s">
        <v>99</v>
      </c>
      <c r="U932" s="21" t="s">
        <v>125</v>
      </c>
      <c r="V932" s="23">
        <v>104</v>
      </c>
      <c r="W932" s="23">
        <v>2</v>
      </c>
      <c r="X932" s="24"/>
    </row>
    <row r="933" spans="1:24" s="1" customFormat="1" ht="26" customHeight="1" x14ac:dyDescent="0.3">
      <c r="A933" s="25" t="s">
        <v>607</v>
      </c>
      <c r="B933" s="25" t="s">
        <v>1699</v>
      </c>
      <c r="C933" s="12" t="s">
        <v>1700</v>
      </c>
      <c r="D933" s="86"/>
      <c r="E933" s="67" t="str">
        <f>HYPERLINK("https://www.google.ru/search?q=816785-BK&amp;newwindow=1&amp;tbm=isch","Еще фото")</f>
        <v>Еще фото</v>
      </c>
      <c r="F933" s="14"/>
      <c r="G933" s="25" t="s">
        <v>315</v>
      </c>
      <c r="H933" s="25" t="s">
        <v>27</v>
      </c>
      <c r="I933" s="25" t="s">
        <v>316</v>
      </c>
      <c r="J933" s="15" t="s">
        <v>360</v>
      </c>
      <c r="K933" s="16" t="s">
        <v>59</v>
      </c>
      <c r="L933" s="88"/>
      <c r="M933" s="15"/>
      <c r="N933" s="15" t="s">
        <v>38</v>
      </c>
      <c r="O933" s="15"/>
      <c r="P933" s="16" t="s">
        <v>1698</v>
      </c>
      <c r="Q933" s="17">
        <v>2899</v>
      </c>
      <c r="R933" s="18">
        <v>61.44</v>
      </c>
      <c r="S933" s="19">
        <v>1285.4354999999998</v>
      </c>
      <c r="T933" s="20" t="s">
        <v>99</v>
      </c>
      <c r="U933" s="21" t="s">
        <v>1702</v>
      </c>
      <c r="V933" s="23">
        <v>110</v>
      </c>
      <c r="W933" s="23">
        <v>1</v>
      </c>
      <c r="X933" s="24"/>
    </row>
    <row r="934" spans="1:24" s="1" customFormat="1" ht="26" customHeight="1" x14ac:dyDescent="0.3">
      <c r="A934" s="25" t="s">
        <v>607</v>
      </c>
      <c r="B934" s="25" t="s">
        <v>1699</v>
      </c>
      <c r="C934" s="12" t="s">
        <v>1700</v>
      </c>
      <c r="D934" s="86"/>
      <c r="E934" s="67" t="str">
        <f>HYPERLINK("https://www.google.ru/search?q=816785-BK&amp;newwindow=1&amp;tbm=isch","Еще фото")</f>
        <v>Еще фото</v>
      </c>
      <c r="F934" s="14"/>
      <c r="G934" s="25" t="s">
        <v>315</v>
      </c>
      <c r="H934" s="25" t="s">
        <v>27</v>
      </c>
      <c r="I934" s="25" t="s">
        <v>316</v>
      </c>
      <c r="J934" s="15" t="s">
        <v>360</v>
      </c>
      <c r="K934" s="16" t="s">
        <v>59</v>
      </c>
      <c r="L934" s="88"/>
      <c r="M934" s="15"/>
      <c r="N934" s="15" t="s">
        <v>38</v>
      </c>
      <c r="O934" s="15"/>
      <c r="P934" s="16" t="s">
        <v>1698</v>
      </c>
      <c r="Q934" s="17">
        <v>2899</v>
      </c>
      <c r="R934" s="18">
        <v>61.44</v>
      </c>
      <c r="S934" s="19">
        <v>1285.4354999999998</v>
      </c>
      <c r="T934" s="20" t="s">
        <v>99</v>
      </c>
      <c r="U934" s="21" t="s">
        <v>1703</v>
      </c>
      <c r="V934" s="23">
        <v>116</v>
      </c>
      <c r="W934" s="23">
        <v>4</v>
      </c>
      <c r="X934" s="24"/>
    </row>
    <row r="935" spans="1:24" s="1" customFormat="1" ht="26" customHeight="1" x14ac:dyDescent="0.3">
      <c r="A935" s="25" t="s">
        <v>607</v>
      </c>
      <c r="B935" s="25" t="s">
        <v>1699</v>
      </c>
      <c r="C935" s="12" t="s">
        <v>1700</v>
      </c>
      <c r="D935" s="87"/>
      <c r="E935" s="67" t="str">
        <f>HYPERLINK("https://www.google.ru/search?q=816785-BK&amp;newwindow=1&amp;tbm=isch","Еще фото")</f>
        <v>Еще фото</v>
      </c>
      <c r="F935" s="14"/>
      <c r="G935" s="25" t="s">
        <v>315</v>
      </c>
      <c r="H935" s="25" t="s">
        <v>27</v>
      </c>
      <c r="I935" s="25" t="s">
        <v>316</v>
      </c>
      <c r="J935" s="15" t="s">
        <v>360</v>
      </c>
      <c r="K935" s="16" t="s">
        <v>59</v>
      </c>
      <c r="L935" s="84"/>
      <c r="M935" s="15"/>
      <c r="N935" s="15" t="s">
        <v>38</v>
      </c>
      <c r="O935" s="15"/>
      <c r="P935" s="16" t="s">
        <v>1698</v>
      </c>
      <c r="Q935" s="17">
        <v>2899</v>
      </c>
      <c r="R935" s="18">
        <v>61.44</v>
      </c>
      <c r="S935" s="19">
        <v>1285.4354999999998</v>
      </c>
      <c r="T935" s="20" t="s">
        <v>99</v>
      </c>
      <c r="U935" s="21" t="s">
        <v>1704</v>
      </c>
      <c r="V935" s="23">
        <v>122</v>
      </c>
      <c r="W935" s="23">
        <v>1</v>
      </c>
      <c r="X935" s="24"/>
    </row>
    <row r="936" spans="1:24" s="1" customFormat="1" ht="35" customHeight="1" x14ac:dyDescent="0.3">
      <c r="A936" s="11" t="s">
        <v>607</v>
      </c>
      <c r="B936" s="11" t="s">
        <v>1705</v>
      </c>
      <c r="C936" s="12" t="s">
        <v>1706</v>
      </c>
      <c r="D936" s="85"/>
      <c r="E936" s="67" t="str">
        <f>HYPERLINK("https://www.google.ru/search?q=814735-NV&amp;newwindow=1&amp;tbm=isch","Еще фото")</f>
        <v>Еще фото</v>
      </c>
      <c r="F936" s="14"/>
      <c r="G936" s="11" t="s">
        <v>1668</v>
      </c>
      <c r="H936" s="11" t="s">
        <v>27</v>
      </c>
      <c r="I936" s="15" t="s">
        <v>316</v>
      </c>
      <c r="J936" s="15" t="s">
        <v>360</v>
      </c>
      <c r="K936" s="16" t="s">
        <v>29</v>
      </c>
      <c r="L936" s="83" t="s">
        <v>1707</v>
      </c>
      <c r="M936" s="15"/>
      <c r="N936" s="15" t="s">
        <v>31</v>
      </c>
      <c r="O936" s="15"/>
      <c r="P936" s="16" t="s">
        <v>106</v>
      </c>
      <c r="Q936" s="17">
        <v>3999</v>
      </c>
      <c r="R936" s="18">
        <v>61.3</v>
      </c>
      <c r="S936" s="19">
        <v>1779.9354999999998</v>
      </c>
      <c r="T936" s="20" t="s">
        <v>99</v>
      </c>
      <c r="U936" s="21" t="s">
        <v>442</v>
      </c>
      <c r="V936" s="22" t="s">
        <v>35</v>
      </c>
      <c r="W936" s="23">
        <v>1</v>
      </c>
      <c r="X936" s="24"/>
    </row>
    <row r="937" spans="1:24" s="1" customFormat="1" ht="35" customHeight="1" x14ac:dyDescent="0.3">
      <c r="A937" s="25" t="s">
        <v>607</v>
      </c>
      <c r="B937" s="25" t="s">
        <v>1705</v>
      </c>
      <c r="C937" s="12" t="s">
        <v>1706</v>
      </c>
      <c r="D937" s="86"/>
      <c r="E937" s="67" t="str">
        <f>HYPERLINK("https://www.google.ru/search?q=814735-NV&amp;newwindow=1&amp;tbm=isch","Еще фото")</f>
        <v>Еще фото</v>
      </c>
      <c r="F937" s="14"/>
      <c r="G937" s="25" t="s">
        <v>1668</v>
      </c>
      <c r="H937" s="25" t="s">
        <v>27</v>
      </c>
      <c r="I937" s="25" t="s">
        <v>316</v>
      </c>
      <c r="J937" s="15" t="s">
        <v>360</v>
      </c>
      <c r="K937" s="16" t="s">
        <v>29</v>
      </c>
      <c r="L937" s="88"/>
      <c r="M937" s="15"/>
      <c r="N937" s="15" t="s">
        <v>31</v>
      </c>
      <c r="O937" s="15"/>
      <c r="P937" s="16" t="s">
        <v>106</v>
      </c>
      <c r="Q937" s="17">
        <v>3999</v>
      </c>
      <c r="R937" s="18">
        <v>61.3</v>
      </c>
      <c r="S937" s="19">
        <v>1779.9354999999998</v>
      </c>
      <c r="T937" s="20" t="s">
        <v>99</v>
      </c>
      <c r="U937" s="21" t="s">
        <v>34</v>
      </c>
      <c r="V937" s="22" t="s">
        <v>53</v>
      </c>
      <c r="W937" s="23">
        <v>5</v>
      </c>
      <c r="X937" s="24"/>
    </row>
    <row r="938" spans="1:24" s="1" customFormat="1" ht="37.049999999999997" customHeight="1" x14ac:dyDescent="0.3">
      <c r="A938" s="25" t="s">
        <v>607</v>
      </c>
      <c r="B938" s="25" t="s">
        <v>1705</v>
      </c>
      <c r="C938" s="12" t="s">
        <v>1706</v>
      </c>
      <c r="D938" s="87"/>
      <c r="E938" s="67" t="str">
        <f>HYPERLINK("https://www.google.ru/search?q=814735-NV&amp;newwindow=1&amp;tbm=isch","Еще фото")</f>
        <v>Еще фото</v>
      </c>
      <c r="F938" s="14"/>
      <c r="G938" s="25" t="s">
        <v>1668</v>
      </c>
      <c r="H938" s="25" t="s">
        <v>27</v>
      </c>
      <c r="I938" s="25" t="s">
        <v>316</v>
      </c>
      <c r="J938" s="15" t="s">
        <v>360</v>
      </c>
      <c r="K938" s="16" t="s">
        <v>29</v>
      </c>
      <c r="L938" s="84"/>
      <c r="M938" s="15"/>
      <c r="N938" s="15" t="s">
        <v>31</v>
      </c>
      <c r="O938" s="15"/>
      <c r="P938" s="16" t="s">
        <v>106</v>
      </c>
      <c r="Q938" s="17">
        <v>3999</v>
      </c>
      <c r="R938" s="18">
        <v>61.3</v>
      </c>
      <c r="S938" s="19">
        <v>1779.9354999999998</v>
      </c>
      <c r="T938" s="20" t="s">
        <v>99</v>
      </c>
      <c r="U938" s="21" t="s">
        <v>52</v>
      </c>
      <c r="V938" s="22" t="s">
        <v>41</v>
      </c>
      <c r="W938" s="23">
        <v>4</v>
      </c>
      <c r="X938" s="24"/>
    </row>
    <row r="939" spans="1:24" s="1" customFormat="1" ht="26" customHeight="1" x14ac:dyDescent="0.3">
      <c r="A939" s="11" t="s">
        <v>607</v>
      </c>
      <c r="B939" s="11" t="s">
        <v>1705</v>
      </c>
      <c r="C939" s="12" t="s">
        <v>1708</v>
      </c>
      <c r="D939" s="85"/>
      <c r="E939" s="67" t="str">
        <f>HYPERLINK("https://www.google.ru/search?q=814735-RDWH&amp;newwindow=1&amp;tbm=isch","Еще фото")</f>
        <v>Еще фото</v>
      </c>
      <c r="F939" s="14"/>
      <c r="G939" s="11" t="s">
        <v>1668</v>
      </c>
      <c r="H939" s="11" t="s">
        <v>27</v>
      </c>
      <c r="I939" s="15" t="s">
        <v>316</v>
      </c>
      <c r="J939" s="15" t="s">
        <v>360</v>
      </c>
      <c r="K939" s="16" t="s">
        <v>29</v>
      </c>
      <c r="L939" s="83" t="s">
        <v>1707</v>
      </c>
      <c r="M939" s="15"/>
      <c r="N939" s="15" t="s">
        <v>173</v>
      </c>
      <c r="O939" s="15"/>
      <c r="P939" s="16" t="s">
        <v>106</v>
      </c>
      <c r="Q939" s="17">
        <v>3999</v>
      </c>
      <c r="R939" s="18">
        <v>61.3</v>
      </c>
      <c r="S939" s="19">
        <v>1779.9354999999998</v>
      </c>
      <c r="T939" s="20" t="s">
        <v>99</v>
      </c>
      <c r="U939" s="21" t="s">
        <v>442</v>
      </c>
      <c r="V939" s="22" t="s">
        <v>35</v>
      </c>
      <c r="W939" s="23">
        <v>3</v>
      </c>
      <c r="X939" s="24"/>
    </row>
    <row r="940" spans="1:24" s="1" customFormat="1" ht="26" customHeight="1" x14ac:dyDescent="0.3">
      <c r="A940" s="25" t="s">
        <v>607</v>
      </c>
      <c r="B940" s="25" t="s">
        <v>1705</v>
      </c>
      <c r="C940" s="12" t="s">
        <v>1708</v>
      </c>
      <c r="D940" s="86"/>
      <c r="E940" s="67" t="str">
        <f>HYPERLINK("https://www.google.ru/search?q=814735-RDWH&amp;newwindow=1&amp;tbm=isch","Еще фото")</f>
        <v>Еще фото</v>
      </c>
      <c r="F940" s="14"/>
      <c r="G940" s="25" t="s">
        <v>1668</v>
      </c>
      <c r="H940" s="25" t="s">
        <v>27</v>
      </c>
      <c r="I940" s="25" t="s">
        <v>316</v>
      </c>
      <c r="J940" s="15" t="s">
        <v>360</v>
      </c>
      <c r="K940" s="16" t="s">
        <v>29</v>
      </c>
      <c r="L940" s="88"/>
      <c r="M940" s="15"/>
      <c r="N940" s="15" t="s">
        <v>173</v>
      </c>
      <c r="O940" s="15"/>
      <c r="P940" s="16" t="s">
        <v>106</v>
      </c>
      <c r="Q940" s="17">
        <v>3999</v>
      </c>
      <c r="R940" s="18">
        <v>61.3</v>
      </c>
      <c r="S940" s="19">
        <v>1779.9354999999998</v>
      </c>
      <c r="T940" s="20" t="s">
        <v>99</v>
      </c>
      <c r="U940" s="21" t="s">
        <v>34</v>
      </c>
      <c r="V940" s="22" t="s">
        <v>53</v>
      </c>
      <c r="W940" s="23">
        <v>5</v>
      </c>
      <c r="X940" s="24"/>
    </row>
    <row r="941" spans="1:24" s="1" customFormat="1" ht="26" customHeight="1" x14ac:dyDescent="0.3">
      <c r="A941" s="25" t="s">
        <v>607</v>
      </c>
      <c r="B941" s="25" t="s">
        <v>1705</v>
      </c>
      <c r="C941" s="12" t="s">
        <v>1708</v>
      </c>
      <c r="D941" s="86"/>
      <c r="E941" s="67" t="str">
        <f>HYPERLINK("https://www.google.ru/search?q=814735-RDWH&amp;newwindow=1&amp;tbm=isch","Еще фото")</f>
        <v>Еще фото</v>
      </c>
      <c r="F941" s="14"/>
      <c r="G941" s="25" t="s">
        <v>1668</v>
      </c>
      <c r="H941" s="25" t="s">
        <v>27</v>
      </c>
      <c r="I941" s="25" t="s">
        <v>316</v>
      </c>
      <c r="J941" s="15" t="s">
        <v>360</v>
      </c>
      <c r="K941" s="16" t="s">
        <v>29</v>
      </c>
      <c r="L941" s="88"/>
      <c r="M941" s="15"/>
      <c r="N941" s="15" t="s">
        <v>173</v>
      </c>
      <c r="O941" s="15"/>
      <c r="P941" s="16" t="s">
        <v>106</v>
      </c>
      <c r="Q941" s="17">
        <v>3999</v>
      </c>
      <c r="R941" s="18">
        <v>61.3</v>
      </c>
      <c r="S941" s="19">
        <v>1779.9354999999998</v>
      </c>
      <c r="T941" s="20" t="s">
        <v>99</v>
      </c>
      <c r="U941" s="21" t="s">
        <v>52</v>
      </c>
      <c r="V941" s="22" t="s">
        <v>41</v>
      </c>
      <c r="W941" s="23">
        <v>2</v>
      </c>
      <c r="X941" s="24"/>
    </row>
    <row r="942" spans="1:24" s="1" customFormat="1" ht="26" customHeight="1" x14ac:dyDescent="0.3">
      <c r="A942" s="25" t="s">
        <v>607</v>
      </c>
      <c r="B942" s="25" t="s">
        <v>1705</v>
      </c>
      <c r="C942" s="12" t="s">
        <v>1708</v>
      </c>
      <c r="D942" s="87"/>
      <c r="E942" s="67" t="str">
        <f>HYPERLINK("https://www.google.ru/search?q=814735-RDWH&amp;newwindow=1&amp;tbm=isch","Еще фото")</f>
        <v>Еще фото</v>
      </c>
      <c r="F942" s="14"/>
      <c r="G942" s="25" t="s">
        <v>1668</v>
      </c>
      <c r="H942" s="25" t="s">
        <v>27</v>
      </c>
      <c r="I942" s="25" t="s">
        <v>316</v>
      </c>
      <c r="J942" s="15" t="s">
        <v>360</v>
      </c>
      <c r="K942" s="16" t="s">
        <v>29</v>
      </c>
      <c r="L942" s="84"/>
      <c r="M942" s="15"/>
      <c r="N942" s="15" t="s">
        <v>173</v>
      </c>
      <c r="O942" s="15"/>
      <c r="P942" s="16" t="s">
        <v>106</v>
      </c>
      <c r="Q942" s="17">
        <v>3999</v>
      </c>
      <c r="R942" s="18">
        <v>61.3</v>
      </c>
      <c r="S942" s="19">
        <v>1779.9354999999998</v>
      </c>
      <c r="T942" s="20" t="s">
        <v>99</v>
      </c>
      <c r="U942" s="21" t="s">
        <v>40</v>
      </c>
      <c r="V942" s="22" t="s">
        <v>43</v>
      </c>
      <c r="W942" s="23">
        <v>2</v>
      </c>
      <c r="X942" s="24"/>
    </row>
    <row r="943" spans="1:24" s="1" customFormat="1" ht="108" customHeight="1" x14ac:dyDescent="0.3">
      <c r="A943" s="11" t="s">
        <v>607</v>
      </c>
      <c r="B943" s="11" t="s">
        <v>1705</v>
      </c>
      <c r="C943" s="12" t="s">
        <v>1709</v>
      </c>
      <c r="D943" s="13"/>
      <c r="E943" s="67" t="str">
        <f>HYPERLINK("https://www.google.ru/search?q=814735-ROWH&amp;newwindow=1&amp;tbm=isch","Еще фото")</f>
        <v>Еще фото</v>
      </c>
      <c r="F943" s="14"/>
      <c r="G943" s="11" t="s">
        <v>1668</v>
      </c>
      <c r="H943" s="11" t="s">
        <v>27</v>
      </c>
      <c r="I943" s="15" t="s">
        <v>316</v>
      </c>
      <c r="J943" s="15" t="s">
        <v>360</v>
      </c>
      <c r="K943" s="16" t="s">
        <v>29</v>
      </c>
      <c r="L943" s="15" t="s">
        <v>1707</v>
      </c>
      <c r="M943" s="15"/>
      <c r="N943" s="15" t="s">
        <v>391</v>
      </c>
      <c r="O943" s="15"/>
      <c r="P943" s="16" t="s">
        <v>106</v>
      </c>
      <c r="Q943" s="17">
        <v>3999</v>
      </c>
      <c r="R943" s="18">
        <v>61.3</v>
      </c>
      <c r="S943" s="19">
        <v>1779.9354999999998</v>
      </c>
      <c r="T943" s="20" t="s">
        <v>99</v>
      </c>
      <c r="U943" s="21" t="s">
        <v>34</v>
      </c>
      <c r="V943" s="22" t="s">
        <v>53</v>
      </c>
      <c r="W943" s="23">
        <v>6</v>
      </c>
      <c r="X943" s="24"/>
    </row>
    <row r="944" spans="1:24" s="1" customFormat="1" ht="35" customHeight="1" x14ac:dyDescent="0.3">
      <c r="A944" s="11" t="s">
        <v>607</v>
      </c>
      <c r="B944" s="11" t="s">
        <v>1710</v>
      </c>
      <c r="C944" s="12" t="s">
        <v>1711</v>
      </c>
      <c r="D944" s="85"/>
      <c r="E944" s="67" t="str">
        <f>HYPERLINK("https://www.google.ru/search?q=816725-NV&amp;newwindow=1&amp;tbm=isch","Еще фото")</f>
        <v>Еще фото</v>
      </c>
      <c r="F944" s="14"/>
      <c r="G944" s="11" t="s">
        <v>315</v>
      </c>
      <c r="H944" s="11" t="s">
        <v>27</v>
      </c>
      <c r="I944" s="15" t="s">
        <v>316</v>
      </c>
      <c r="J944" s="15" t="s">
        <v>360</v>
      </c>
      <c r="K944" s="16" t="s">
        <v>59</v>
      </c>
      <c r="L944" s="83" t="s">
        <v>1712</v>
      </c>
      <c r="M944" s="15"/>
      <c r="N944" s="15" t="s">
        <v>31</v>
      </c>
      <c r="O944" s="15"/>
      <c r="P944" s="16" t="s">
        <v>106</v>
      </c>
      <c r="Q944" s="17">
        <v>3999</v>
      </c>
      <c r="R944" s="18">
        <v>61.3</v>
      </c>
      <c r="S944" s="19">
        <v>1779.9354999999998</v>
      </c>
      <c r="T944" s="20" t="s">
        <v>99</v>
      </c>
      <c r="U944" s="21" t="s">
        <v>1670</v>
      </c>
      <c r="V944" s="23">
        <v>140</v>
      </c>
      <c r="W944" s="23">
        <v>4</v>
      </c>
      <c r="X944" s="24"/>
    </row>
    <row r="945" spans="1:24" s="1" customFormat="1" ht="35" customHeight="1" x14ac:dyDescent="0.3">
      <c r="A945" s="25" t="s">
        <v>607</v>
      </c>
      <c r="B945" s="25" t="s">
        <v>1710</v>
      </c>
      <c r="C945" s="12" t="s">
        <v>1711</v>
      </c>
      <c r="D945" s="86"/>
      <c r="E945" s="67" t="str">
        <f>HYPERLINK("https://www.google.ru/search?q=816725-NV&amp;newwindow=1&amp;tbm=isch","Еще фото")</f>
        <v>Еще фото</v>
      </c>
      <c r="F945" s="14"/>
      <c r="G945" s="25" t="s">
        <v>315</v>
      </c>
      <c r="H945" s="25" t="s">
        <v>27</v>
      </c>
      <c r="I945" s="25" t="s">
        <v>316</v>
      </c>
      <c r="J945" s="15" t="s">
        <v>360</v>
      </c>
      <c r="K945" s="16" t="s">
        <v>59</v>
      </c>
      <c r="L945" s="88"/>
      <c r="M945" s="15"/>
      <c r="N945" s="15" t="s">
        <v>31</v>
      </c>
      <c r="O945" s="15"/>
      <c r="P945" s="16" t="s">
        <v>106</v>
      </c>
      <c r="Q945" s="17">
        <v>3999</v>
      </c>
      <c r="R945" s="18">
        <v>61.3</v>
      </c>
      <c r="S945" s="19">
        <v>1779.9354999999998</v>
      </c>
      <c r="T945" s="20" t="s">
        <v>99</v>
      </c>
      <c r="U945" s="21" t="s">
        <v>1671</v>
      </c>
      <c r="V945" s="23">
        <v>152</v>
      </c>
      <c r="W945" s="23">
        <v>1</v>
      </c>
      <c r="X945" s="24"/>
    </row>
    <row r="946" spans="1:24" s="1" customFormat="1" ht="37.049999999999997" customHeight="1" x14ac:dyDescent="0.3">
      <c r="A946" s="25" t="s">
        <v>607</v>
      </c>
      <c r="B946" s="25" t="s">
        <v>1710</v>
      </c>
      <c r="C946" s="12" t="s">
        <v>1711</v>
      </c>
      <c r="D946" s="87"/>
      <c r="E946" s="67" t="str">
        <f>HYPERLINK("https://www.google.ru/search?q=816725-NV&amp;newwindow=1&amp;tbm=isch","Еще фото")</f>
        <v>Еще фото</v>
      </c>
      <c r="F946" s="14"/>
      <c r="G946" s="25" t="s">
        <v>315</v>
      </c>
      <c r="H946" s="25" t="s">
        <v>27</v>
      </c>
      <c r="I946" s="25" t="s">
        <v>316</v>
      </c>
      <c r="J946" s="15" t="s">
        <v>360</v>
      </c>
      <c r="K946" s="16" t="s">
        <v>59</v>
      </c>
      <c r="L946" s="84"/>
      <c r="M946" s="15"/>
      <c r="N946" s="15" t="s">
        <v>31</v>
      </c>
      <c r="O946" s="15"/>
      <c r="P946" s="16" t="s">
        <v>106</v>
      </c>
      <c r="Q946" s="17">
        <v>3999</v>
      </c>
      <c r="R946" s="18">
        <v>61.3</v>
      </c>
      <c r="S946" s="19">
        <v>1779.9354999999998</v>
      </c>
      <c r="T946" s="20" t="s">
        <v>99</v>
      </c>
      <c r="U946" s="21" t="s">
        <v>1672</v>
      </c>
      <c r="V946" s="23">
        <v>164</v>
      </c>
      <c r="W946" s="23">
        <v>3</v>
      </c>
      <c r="X946" s="24"/>
    </row>
    <row r="947" spans="1:24" s="1" customFormat="1" ht="21" customHeight="1" x14ac:dyDescent="0.3">
      <c r="A947" s="11" t="s">
        <v>607</v>
      </c>
      <c r="B947" s="11" t="s">
        <v>1713</v>
      </c>
      <c r="C947" s="27" t="s">
        <v>1714</v>
      </c>
      <c r="D947" s="85"/>
      <c r="E947" s="67" t="str">
        <f>HYPERLINK("https://www.google.ru/search?q=816735-NVWH&amp;newwindow=1&amp;tbm=isch","Еще фото")</f>
        <v>Еще фото</v>
      </c>
      <c r="F947" s="14"/>
      <c r="G947" s="11" t="s">
        <v>1668</v>
      </c>
      <c r="H947" s="11" t="s">
        <v>27</v>
      </c>
      <c r="I947" s="15" t="s">
        <v>316</v>
      </c>
      <c r="J947" s="15" t="s">
        <v>360</v>
      </c>
      <c r="K947" s="16" t="s">
        <v>59</v>
      </c>
      <c r="L947" s="83" t="s">
        <v>1715</v>
      </c>
      <c r="M947" s="15"/>
      <c r="N947" s="15" t="s">
        <v>391</v>
      </c>
      <c r="O947" s="15"/>
      <c r="P947" s="16" t="s">
        <v>106</v>
      </c>
      <c r="Q947" s="17">
        <v>3999</v>
      </c>
      <c r="R947" s="18">
        <v>61.3</v>
      </c>
      <c r="S947" s="19">
        <v>1779.9354999999998</v>
      </c>
      <c r="T947" s="20" t="s">
        <v>99</v>
      </c>
      <c r="U947" s="21" t="s">
        <v>611</v>
      </c>
      <c r="V947" s="23">
        <v>128</v>
      </c>
      <c r="W947" s="23">
        <v>1</v>
      </c>
      <c r="X947" s="24"/>
    </row>
    <row r="948" spans="1:24" s="1" customFormat="1" ht="21" customHeight="1" x14ac:dyDescent="0.3">
      <c r="A948" s="25" t="s">
        <v>607</v>
      </c>
      <c r="B948" s="25" t="s">
        <v>1713</v>
      </c>
      <c r="C948" s="28" t="s">
        <v>1714</v>
      </c>
      <c r="D948" s="86"/>
      <c r="E948" s="67" t="str">
        <f>HYPERLINK("https://www.google.ru/search?q=816735-NVWH&amp;newwindow=1&amp;tbm=isch","Еще фото")</f>
        <v>Еще фото</v>
      </c>
      <c r="F948" s="14"/>
      <c r="G948" s="25" t="s">
        <v>1668</v>
      </c>
      <c r="H948" s="25" t="s">
        <v>27</v>
      </c>
      <c r="I948" s="25" t="s">
        <v>316</v>
      </c>
      <c r="J948" s="15" t="s">
        <v>360</v>
      </c>
      <c r="K948" s="16" t="s">
        <v>59</v>
      </c>
      <c r="L948" s="88"/>
      <c r="M948" s="15"/>
      <c r="N948" s="15" t="s">
        <v>391</v>
      </c>
      <c r="O948" s="15"/>
      <c r="P948" s="16" t="s">
        <v>106</v>
      </c>
      <c r="Q948" s="17">
        <v>3999</v>
      </c>
      <c r="R948" s="18">
        <v>61.3</v>
      </c>
      <c r="S948" s="19">
        <v>1779.9354999999998</v>
      </c>
      <c r="T948" s="20" t="s">
        <v>99</v>
      </c>
      <c r="U948" s="21" t="s">
        <v>1670</v>
      </c>
      <c r="V948" s="23">
        <v>140</v>
      </c>
      <c r="W948" s="23">
        <v>2</v>
      </c>
      <c r="X948" s="24"/>
    </row>
    <row r="949" spans="1:24" s="1" customFormat="1" ht="21" customHeight="1" x14ac:dyDescent="0.3">
      <c r="A949" s="25" t="s">
        <v>607</v>
      </c>
      <c r="B949" s="25" t="s">
        <v>1713</v>
      </c>
      <c r="C949" s="28" t="s">
        <v>1714</v>
      </c>
      <c r="D949" s="86"/>
      <c r="E949" s="67" t="str">
        <f>HYPERLINK("https://www.google.ru/search?q=816735-NVWH&amp;newwindow=1&amp;tbm=isch","Еще фото")</f>
        <v>Еще фото</v>
      </c>
      <c r="F949" s="14"/>
      <c r="G949" s="25" t="s">
        <v>1668</v>
      </c>
      <c r="H949" s="25" t="s">
        <v>27</v>
      </c>
      <c r="I949" s="25" t="s">
        <v>316</v>
      </c>
      <c r="J949" s="15" t="s">
        <v>360</v>
      </c>
      <c r="K949" s="16" t="s">
        <v>59</v>
      </c>
      <c r="L949" s="88"/>
      <c r="M949" s="15"/>
      <c r="N949" s="15" t="s">
        <v>391</v>
      </c>
      <c r="O949" s="15"/>
      <c r="P949" s="16" t="s">
        <v>106</v>
      </c>
      <c r="Q949" s="17">
        <v>3999</v>
      </c>
      <c r="R949" s="18">
        <v>61.3</v>
      </c>
      <c r="S949" s="19">
        <v>1779.9354999999998</v>
      </c>
      <c r="T949" s="20" t="s">
        <v>99</v>
      </c>
      <c r="U949" s="21" t="s">
        <v>1671</v>
      </c>
      <c r="V949" s="23">
        <v>152</v>
      </c>
      <c r="W949" s="23">
        <v>4</v>
      </c>
      <c r="X949" s="24"/>
    </row>
    <row r="950" spans="1:24" s="1" customFormat="1" ht="21" customHeight="1" x14ac:dyDescent="0.3">
      <c r="A950" s="25" t="s">
        <v>607</v>
      </c>
      <c r="B950" s="25" t="s">
        <v>1713</v>
      </c>
      <c r="C950" s="28" t="s">
        <v>1714</v>
      </c>
      <c r="D950" s="86"/>
      <c r="E950" s="67" t="str">
        <f>HYPERLINK("https://www.google.ru/search?q=816735-NVWH&amp;newwindow=1&amp;tbm=isch","Еще фото")</f>
        <v>Еще фото</v>
      </c>
      <c r="F950" s="14"/>
      <c r="G950" s="25" t="s">
        <v>1668</v>
      </c>
      <c r="H950" s="25" t="s">
        <v>27</v>
      </c>
      <c r="I950" s="25" t="s">
        <v>316</v>
      </c>
      <c r="J950" s="15" t="s">
        <v>360</v>
      </c>
      <c r="K950" s="16" t="s">
        <v>59</v>
      </c>
      <c r="L950" s="88"/>
      <c r="M950" s="15"/>
      <c r="N950" s="15" t="s">
        <v>391</v>
      </c>
      <c r="O950" s="15"/>
      <c r="P950" s="16" t="s">
        <v>106</v>
      </c>
      <c r="Q950" s="17">
        <v>3999</v>
      </c>
      <c r="R950" s="18">
        <v>61.3</v>
      </c>
      <c r="S950" s="19">
        <v>1779.9354999999998</v>
      </c>
      <c r="T950" s="20" t="s">
        <v>99</v>
      </c>
      <c r="U950" s="21" t="s">
        <v>1672</v>
      </c>
      <c r="V950" s="23">
        <v>164</v>
      </c>
      <c r="W950" s="23">
        <v>3</v>
      </c>
      <c r="X950" s="24"/>
    </row>
    <row r="951" spans="1:24" s="1" customFormat="1" ht="32" customHeight="1" x14ac:dyDescent="0.3">
      <c r="A951" s="25" t="s">
        <v>607</v>
      </c>
      <c r="B951" s="25" t="s">
        <v>1713</v>
      </c>
      <c r="C951" s="28" t="s">
        <v>1714</v>
      </c>
      <c r="D951" s="87"/>
      <c r="E951" s="67" t="str">
        <f>HYPERLINK("https://www.google.ru/search?q=816735-NVWH&amp;newwindow=1&amp;tbm=isch","Еще фото")</f>
        <v>Еще фото</v>
      </c>
      <c r="F951" s="14"/>
      <c r="G951" s="25" t="s">
        <v>1668</v>
      </c>
      <c r="H951" s="25" t="s">
        <v>27</v>
      </c>
      <c r="I951" s="25" t="s">
        <v>316</v>
      </c>
      <c r="J951" s="15" t="s">
        <v>360</v>
      </c>
      <c r="K951" s="16" t="s">
        <v>59</v>
      </c>
      <c r="L951" s="84"/>
      <c r="M951" s="15"/>
      <c r="N951" s="15" t="s">
        <v>391</v>
      </c>
      <c r="O951" s="15"/>
      <c r="P951" s="16" t="s">
        <v>106</v>
      </c>
      <c r="Q951" s="17">
        <v>3999</v>
      </c>
      <c r="R951" s="18">
        <v>61.3</v>
      </c>
      <c r="S951" s="19">
        <v>1779.9354999999998</v>
      </c>
      <c r="T951" s="20" t="s">
        <v>99</v>
      </c>
      <c r="U951" s="21" t="s">
        <v>1673</v>
      </c>
      <c r="V951" s="23">
        <v>176</v>
      </c>
      <c r="W951" s="23">
        <v>1</v>
      </c>
      <c r="X951" s="24"/>
    </row>
    <row r="952" spans="1:24" s="1" customFormat="1" ht="26" customHeight="1" x14ac:dyDescent="0.3">
      <c r="A952" s="11" t="s">
        <v>607</v>
      </c>
      <c r="B952" s="11" t="s">
        <v>1713</v>
      </c>
      <c r="C952" s="12" t="s">
        <v>1716</v>
      </c>
      <c r="D952" s="85"/>
      <c r="E952" s="67" t="str">
        <f>HYPERLINK("https://www.google.ru/search?q=816735-WH&amp;newwindow=1&amp;tbm=isch","Еще фото")</f>
        <v>Еще фото</v>
      </c>
      <c r="F952" s="14"/>
      <c r="G952" s="11" t="s">
        <v>1668</v>
      </c>
      <c r="H952" s="11" t="s">
        <v>27</v>
      </c>
      <c r="I952" s="15" t="s">
        <v>316</v>
      </c>
      <c r="J952" s="15" t="s">
        <v>360</v>
      </c>
      <c r="K952" s="16" t="s">
        <v>59</v>
      </c>
      <c r="L952" s="83" t="s">
        <v>1715</v>
      </c>
      <c r="M952" s="15"/>
      <c r="N952" s="15" t="s">
        <v>173</v>
      </c>
      <c r="O952" s="15"/>
      <c r="P952" s="16" t="s">
        <v>106</v>
      </c>
      <c r="Q952" s="17">
        <v>3999</v>
      </c>
      <c r="R952" s="18">
        <v>61.3</v>
      </c>
      <c r="S952" s="19">
        <v>1779.9354999999998</v>
      </c>
      <c r="T952" s="20" t="s">
        <v>99</v>
      </c>
      <c r="U952" s="21" t="s">
        <v>611</v>
      </c>
      <c r="V952" s="23">
        <v>128</v>
      </c>
      <c r="W952" s="23">
        <v>1</v>
      </c>
      <c r="X952" s="24"/>
    </row>
    <row r="953" spans="1:24" s="1" customFormat="1" ht="26" customHeight="1" x14ac:dyDescent="0.3">
      <c r="A953" s="25" t="s">
        <v>607</v>
      </c>
      <c r="B953" s="25" t="s">
        <v>1713</v>
      </c>
      <c r="C953" s="12" t="s">
        <v>1716</v>
      </c>
      <c r="D953" s="86"/>
      <c r="E953" s="67" t="str">
        <f>HYPERLINK("https://www.google.ru/search?q=816735-WH&amp;newwindow=1&amp;tbm=isch","Еще фото")</f>
        <v>Еще фото</v>
      </c>
      <c r="F953" s="14"/>
      <c r="G953" s="25" t="s">
        <v>1668</v>
      </c>
      <c r="H953" s="25" t="s">
        <v>27</v>
      </c>
      <c r="I953" s="25" t="s">
        <v>316</v>
      </c>
      <c r="J953" s="15" t="s">
        <v>360</v>
      </c>
      <c r="K953" s="16" t="s">
        <v>59</v>
      </c>
      <c r="L953" s="88"/>
      <c r="M953" s="15"/>
      <c r="N953" s="15" t="s">
        <v>173</v>
      </c>
      <c r="O953" s="15"/>
      <c r="P953" s="16" t="s">
        <v>106</v>
      </c>
      <c r="Q953" s="17">
        <v>3999</v>
      </c>
      <c r="R953" s="18">
        <v>61.3</v>
      </c>
      <c r="S953" s="19">
        <v>1779.9354999999998</v>
      </c>
      <c r="T953" s="20" t="s">
        <v>99</v>
      </c>
      <c r="U953" s="21" t="s">
        <v>1670</v>
      </c>
      <c r="V953" s="23">
        <v>140</v>
      </c>
      <c r="W953" s="23">
        <v>5</v>
      </c>
      <c r="X953" s="24"/>
    </row>
    <row r="954" spans="1:24" s="1" customFormat="1" ht="26" customHeight="1" x14ac:dyDescent="0.3">
      <c r="A954" s="25" t="s">
        <v>607</v>
      </c>
      <c r="B954" s="25" t="s">
        <v>1713</v>
      </c>
      <c r="C954" s="12" t="s">
        <v>1716</v>
      </c>
      <c r="D954" s="86"/>
      <c r="E954" s="67" t="str">
        <f>HYPERLINK("https://www.google.ru/search?q=816735-WH&amp;newwindow=1&amp;tbm=isch","Еще фото")</f>
        <v>Еще фото</v>
      </c>
      <c r="F954" s="14"/>
      <c r="G954" s="25" t="s">
        <v>1668</v>
      </c>
      <c r="H954" s="25" t="s">
        <v>27</v>
      </c>
      <c r="I954" s="25" t="s">
        <v>316</v>
      </c>
      <c r="J954" s="15" t="s">
        <v>360</v>
      </c>
      <c r="K954" s="16" t="s">
        <v>59</v>
      </c>
      <c r="L954" s="88"/>
      <c r="M954" s="15"/>
      <c r="N954" s="15" t="s">
        <v>173</v>
      </c>
      <c r="O954" s="15"/>
      <c r="P954" s="16" t="s">
        <v>106</v>
      </c>
      <c r="Q954" s="17">
        <v>3999</v>
      </c>
      <c r="R954" s="18">
        <v>61.3</v>
      </c>
      <c r="S954" s="19">
        <v>1779.9354999999998</v>
      </c>
      <c r="T954" s="20" t="s">
        <v>99</v>
      </c>
      <c r="U954" s="21" t="s">
        <v>1671</v>
      </c>
      <c r="V954" s="23">
        <v>152</v>
      </c>
      <c r="W954" s="23">
        <v>4</v>
      </c>
      <c r="X954" s="24"/>
    </row>
    <row r="955" spans="1:24" s="1" customFormat="1" ht="26" customHeight="1" x14ac:dyDescent="0.3">
      <c r="A955" s="25" t="s">
        <v>607</v>
      </c>
      <c r="B955" s="25" t="s">
        <v>1713</v>
      </c>
      <c r="C955" s="12" t="s">
        <v>1716</v>
      </c>
      <c r="D955" s="87"/>
      <c r="E955" s="67" t="str">
        <f>HYPERLINK("https://www.google.ru/search?q=816735-WH&amp;newwindow=1&amp;tbm=isch","Еще фото")</f>
        <v>Еще фото</v>
      </c>
      <c r="F955" s="14"/>
      <c r="G955" s="25" t="s">
        <v>1668</v>
      </c>
      <c r="H955" s="25" t="s">
        <v>27</v>
      </c>
      <c r="I955" s="25" t="s">
        <v>316</v>
      </c>
      <c r="J955" s="15" t="s">
        <v>360</v>
      </c>
      <c r="K955" s="16" t="s">
        <v>59</v>
      </c>
      <c r="L955" s="84"/>
      <c r="M955" s="15"/>
      <c r="N955" s="15" t="s">
        <v>173</v>
      </c>
      <c r="O955" s="15"/>
      <c r="P955" s="16" t="s">
        <v>106</v>
      </c>
      <c r="Q955" s="17">
        <v>3999</v>
      </c>
      <c r="R955" s="18">
        <v>61.3</v>
      </c>
      <c r="S955" s="19">
        <v>1779.9354999999998</v>
      </c>
      <c r="T955" s="20" t="s">
        <v>99</v>
      </c>
      <c r="U955" s="21" t="s">
        <v>1672</v>
      </c>
      <c r="V955" s="23">
        <v>164</v>
      </c>
      <c r="W955" s="23">
        <v>3</v>
      </c>
      <c r="X955" s="24"/>
    </row>
    <row r="956" spans="1:24" s="1" customFormat="1" ht="26" customHeight="1" x14ac:dyDescent="0.3">
      <c r="A956" s="11" t="s">
        <v>607</v>
      </c>
      <c r="B956" s="11" t="s">
        <v>1717</v>
      </c>
      <c r="C956" s="12" t="s">
        <v>1718</v>
      </c>
      <c r="D956" s="85"/>
      <c r="E956" s="67" t="str">
        <f>HYPERLINK("https://www.google.ru/search?q=816765-NV&amp;newwindow=1&amp;tbm=isch","Еще фото")</f>
        <v>Еще фото</v>
      </c>
      <c r="F956" s="14"/>
      <c r="G956" s="11" t="s">
        <v>315</v>
      </c>
      <c r="H956" s="11" t="s">
        <v>27</v>
      </c>
      <c r="I956" s="15" t="s">
        <v>316</v>
      </c>
      <c r="J956" s="15" t="s">
        <v>360</v>
      </c>
      <c r="K956" s="16" t="s">
        <v>59</v>
      </c>
      <c r="L956" s="83" t="s">
        <v>1719</v>
      </c>
      <c r="M956" s="15"/>
      <c r="N956" s="15" t="s">
        <v>31</v>
      </c>
      <c r="O956" s="15"/>
      <c r="P956" s="16" t="s">
        <v>106</v>
      </c>
      <c r="Q956" s="17">
        <v>3999</v>
      </c>
      <c r="R956" s="18">
        <v>61.3</v>
      </c>
      <c r="S956" s="19">
        <v>1779.9354999999998</v>
      </c>
      <c r="T956" s="20" t="s">
        <v>99</v>
      </c>
      <c r="U956" s="21" t="s">
        <v>611</v>
      </c>
      <c r="V956" s="23">
        <v>128</v>
      </c>
      <c r="W956" s="23">
        <v>4</v>
      </c>
      <c r="X956" s="24"/>
    </row>
    <row r="957" spans="1:24" s="1" customFormat="1" ht="26" customHeight="1" x14ac:dyDescent="0.3">
      <c r="A957" s="25" t="s">
        <v>607</v>
      </c>
      <c r="B957" s="25" t="s">
        <v>1717</v>
      </c>
      <c r="C957" s="12" t="s">
        <v>1718</v>
      </c>
      <c r="D957" s="86"/>
      <c r="E957" s="67" t="str">
        <f>HYPERLINK("https://www.google.ru/search?q=816765-NV&amp;newwindow=1&amp;tbm=isch","Еще фото")</f>
        <v>Еще фото</v>
      </c>
      <c r="F957" s="14"/>
      <c r="G957" s="25" t="s">
        <v>315</v>
      </c>
      <c r="H957" s="25" t="s">
        <v>27</v>
      </c>
      <c r="I957" s="25" t="s">
        <v>316</v>
      </c>
      <c r="J957" s="15" t="s">
        <v>360</v>
      </c>
      <c r="K957" s="16" t="s">
        <v>59</v>
      </c>
      <c r="L957" s="88"/>
      <c r="M957" s="15"/>
      <c r="N957" s="15" t="s">
        <v>31</v>
      </c>
      <c r="O957" s="15"/>
      <c r="P957" s="16" t="s">
        <v>106</v>
      </c>
      <c r="Q957" s="17">
        <v>3999</v>
      </c>
      <c r="R957" s="18">
        <v>61.3</v>
      </c>
      <c r="S957" s="19">
        <v>1779.9354999999998</v>
      </c>
      <c r="T957" s="20" t="s">
        <v>99</v>
      </c>
      <c r="U957" s="21" t="s">
        <v>1670</v>
      </c>
      <c r="V957" s="23">
        <v>140</v>
      </c>
      <c r="W957" s="23">
        <v>5</v>
      </c>
      <c r="X957" s="24"/>
    </row>
    <row r="958" spans="1:24" s="1" customFormat="1" ht="26" customHeight="1" x14ac:dyDescent="0.3">
      <c r="A958" s="25" t="s">
        <v>607</v>
      </c>
      <c r="B958" s="25" t="s">
        <v>1717</v>
      </c>
      <c r="C958" s="12" t="s">
        <v>1718</v>
      </c>
      <c r="D958" s="86"/>
      <c r="E958" s="67" t="str">
        <f>HYPERLINK("https://www.google.ru/search?q=816765-NV&amp;newwindow=1&amp;tbm=isch","Еще фото")</f>
        <v>Еще фото</v>
      </c>
      <c r="F958" s="14"/>
      <c r="G958" s="25" t="s">
        <v>315</v>
      </c>
      <c r="H958" s="25" t="s">
        <v>27</v>
      </c>
      <c r="I958" s="25" t="s">
        <v>316</v>
      </c>
      <c r="J958" s="15" t="s">
        <v>360</v>
      </c>
      <c r="K958" s="16" t="s">
        <v>59</v>
      </c>
      <c r="L958" s="88"/>
      <c r="M958" s="15"/>
      <c r="N958" s="15" t="s">
        <v>31</v>
      </c>
      <c r="O958" s="15"/>
      <c r="P958" s="16" t="s">
        <v>106</v>
      </c>
      <c r="Q958" s="17">
        <v>3999</v>
      </c>
      <c r="R958" s="18">
        <v>61.3</v>
      </c>
      <c r="S958" s="19">
        <v>1779.9354999999998</v>
      </c>
      <c r="T958" s="20" t="s">
        <v>99</v>
      </c>
      <c r="U958" s="21" t="s">
        <v>1671</v>
      </c>
      <c r="V958" s="23">
        <v>152</v>
      </c>
      <c r="W958" s="23">
        <v>5</v>
      </c>
      <c r="X958" s="24"/>
    </row>
    <row r="959" spans="1:24" s="1" customFormat="1" ht="26" customHeight="1" x14ac:dyDescent="0.3">
      <c r="A959" s="25" t="s">
        <v>607</v>
      </c>
      <c r="B959" s="25" t="s">
        <v>1717</v>
      </c>
      <c r="C959" s="12" t="s">
        <v>1718</v>
      </c>
      <c r="D959" s="87"/>
      <c r="E959" s="67" t="str">
        <f>HYPERLINK("https://www.google.ru/search?q=816765-NV&amp;newwindow=1&amp;tbm=isch","Еще фото")</f>
        <v>Еще фото</v>
      </c>
      <c r="F959" s="14"/>
      <c r="G959" s="25" t="s">
        <v>315</v>
      </c>
      <c r="H959" s="25" t="s">
        <v>27</v>
      </c>
      <c r="I959" s="25" t="s">
        <v>316</v>
      </c>
      <c r="J959" s="15" t="s">
        <v>360</v>
      </c>
      <c r="K959" s="16" t="s">
        <v>59</v>
      </c>
      <c r="L959" s="84"/>
      <c r="M959" s="15"/>
      <c r="N959" s="15" t="s">
        <v>31</v>
      </c>
      <c r="O959" s="15"/>
      <c r="P959" s="16" t="s">
        <v>106</v>
      </c>
      <c r="Q959" s="17">
        <v>3999</v>
      </c>
      <c r="R959" s="18">
        <v>61.3</v>
      </c>
      <c r="S959" s="19">
        <v>1779.9354999999998</v>
      </c>
      <c r="T959" s="20" t="s">
        <v>99</v>
      </c>
      <c r="U959" s="21" t="s">
        <v>1672</v>
      </c>
      <c r="V959" s="23">
        <v>164</v>
      </c>
      <c r="W959" s="23">
        <v>1</v>
      </c>
      <c r="X959" s="24"/>
    </row>
    <row r="960" spans="1:24" s="1" customFormat="1" ht="35" customHeight="1" x14ac:dyDescent="0.3">
      <c r="A960" s="11" t="s">
        <v>607</v>
      </c>
      <c r="B960" s="11" t="s">
        <v>1688</v>
      </c>
      <c r="C960" s="12" t="s">
        <v>1720</v>
      </c>
      <c r="D960" s="85"/>
      <c r="E960" s="67" t="str">
        <f>HYPERLINK("https://www.google.ru/search?q=811215-NV&amp;newwindow=1&amp;tbm=isch","Еще фото")</f>
        <v>Еще фото</v>
      </c>
      <c r="F960" s="14"/>
      <c r="G960" s="11" t="s">
        <v>315</v>
      </c>
      <c r="H960" s="11" t="s">
        <v>27</v>
      </c>
      <c r="I960" s="15" t="s">
        <v>316</v>
      </c>
      <c r="J960" s="15" t="s">
        <v>360</v>
      </c>
      <c r="K960" s="16" t="s">
        <v>45</v>
      </c>
      <c r="L960" s="83" t="s">
        <v>1690</v>
      </c>
      <c r="M960" s="15"/>
      <c r="N960" s="15" t="s">
        <v>31</v>
      </c>
      <c r="O960" s="15"/>
      <c r="P960" s="16" t="s">
        <v>106</v>
      </c>
      <c r="Q960" s="17">
        <v>6699</v>
      </c>
      <c r="R960" s="18">
        <v>58.68</v>
      </c>
      <c r="S960" s="19">
        <v>3182.9354999999996</v>
      </c>
      <c r="T960" s="20" t="s">
        <v>99</v>
      </c>
      <c r="U960" s="21" t="s">
        <v>34</v>
      </c>
      <c r="V960" s="22" t="s">
        <v>35</v>
      </c>
      <c r="W960" s="23">
        <v>1</v>
      </c>
      <c r="X960" s="24"/>
    </row>
    <row r="961" spans="1:24" s="1" customFormat="1" ht="35" customHeight="1" x14ac:dyDescent="0.3">
      <c r="A961" s="25" t="s">
        <v>607</v>
      </c>
      <c r="B961" s="25" t="s">
        <v>1688</v>
      </c>
      <c r="C961" s="12" t="s">
        <v>1720</v>
      </c>
      <c r="D961" s="86"/>
      <c r="E961" s="67" t="str">
        <f>HYPERLINK("https://www.google.ru/search?q=811215-NV&amp;newwindow=1&amp;tbm=isch","Еще фото")</f>
        <v>Еще фото</v>
      </c>
      <c r="F961" s="14"/>
      <c r="G961" s="25" t="s">
        <v>315</v>
      </c>
      <c r="H961" s="25" t="s">
        <v>27</v>
      </c>
      <c r="I961" s="25" t="s">
        <v>316</v>
      </c>
      <c r="J961" s="15" t="s">
        <v>360</v>
      </c>
      <c r="K961" s="16" t="s">
        <v>45</v>
      </c>
      <c r="L961" s="88"/>
      <c r="M961" s="15"/>
      <c r="N961" s="15" t="s">
        <v>31</v>
      </c>
      <c r="O961" s="15"/>
      <c r="P961" s="16" t="s">
        <v>106</v>
      </c>
      <c r="Q961" s="17">
        <v>6699</v>
      </c>
      <c r="R961" s="18">
        <v>58.68</v>
      </c>
      <c r="S961" s="19">
        <v>3182.9354999999996</v>
      </c>
      <c r="T961" s="20" t="s">
        <v>99</v>
      </c>
      <c r="U961" s="21" t="s">
        <v>52</v>
      </c>
      <c r="V961" s="22" t="s">
        <v>53</v>
      </c>
      <c r="W961" s="23">
        <v>4</v>
      </c>
      <c r="X961" s="24"/>
    </row>
    <row r="962" spans="1:24" s="1" customFormat="1" ht="37.049999999999997" customHeight="1" x14ac:dyDescent="0.3">
      <c r="A962" s="25" t="s">
        <v>607</v>
      </c>
      <c r="B962" s="25" t="s">
        <v>1688</v>
      </c>
      <c r="C962" s="12" t="s">
        <v>1720</v>
      </c>
      <c r="D962" s="87"/>
      <c r="E962" s="67" t="str">
        <f>HYPERLINK("https://www.google.ru/search?q=811215-NV&amp;newwindow=1&amp;tbm=isch","Еще фото")</f>
        <v>Еще фото</v>
      </c>
      <c r="F962" s="14"/>
      <c r="G962" s="25" t="s">
        <v>315</v>
      </c>
      <c r="H962" s="25" t="s">
        <v>27</v>
      </c>
      <c r="I962" s="25" t="s">
        <v>316</v>
      </c>
      <c r="J962" s="15" t="s">
        <v>360</v>
      </c>
      <c r="K962" s="16" t="s">
        <v>45</v>
      </c>
      <c r="L962" s="84"/>
      <c r="M962" s="15"/>
      <c r="N962" s="15" t="s">
        <v>31</v>
      </c>
      <c r="O962" s="15"/>
      <c r="P962" s="16" t="s">
        <v>106</v>
      </c>
      <c r="Q962" s="17">
        <v>6699</v>
      </c>
      <c r="R962" s="18">
        <v>58.68</v>
      </c>
      <c r="S962" s="19">
        <v>3182.9354999999996</v>
      </c>
      <c r="T962" s="20" t="s">
        <v>99</v>
      </c>
      <c r="U962" s="21" t="s">
        <v>40</v>
      </c>
      <c r="V962" s="22" t="s">
        <v>41</v>
      </c>
      <c r="W962" s="23">
        <v>2</v>
      </c>
      <c r="X962" s="24"/>
    </row>
    <row r="963" spans="1:24" s="1" customFormat="1" ht="21" customHeight="1" x14ac:dyDescent="0.3">
      <c r="A963" s="11" t="s">
        <v>607</v>
      </c>
      <c r="B963" s="11" t="s">
        <v>1691</v>
      </c>
      <c r="C963" s="27" t="s">
        <v>1721</v>
      </c>
      <c r="D963" s="85"/>
      <c r="E963" s="67" t="str">
        <f>HYPERLINK("https://www.google.ru/search?q=814225-NV&amp;newwindow=1&amp;tbm=isch","Еще фото")</f>
        <v>Еще фото</v>
      </c>
      <c r="F963" s="14"/>
      <c r="G963" s="11" t="s">
        <v>1668</v>
      </c>
      <c r="H963" s="11" t="s">
        <v>27</v>
      </c>
      <c r="I963" s="15" t="s">
        <v>316</v>
      </c>
      <c r="J963" s="15" t="s">
        <v>360</v>
      </c>
      <c r="K963" s="16" t="s">
        <v>29</v>
      </c>
      <c r="L963" s="83" t="s">
        <v>1693</v>
      </c>
      <c r="M963" s="15"/>
      <c r="N963" s="15" t="s">
        <v>31</v>
      </c>
      <c r="O963" s="15"/>
      <c r="P963" s="16" t="s">
        <v>106</v>
      </c>
      <c r="Q963" s="17">
        <v>6699</v>
      </c>
      <c r="R963" s="18">
        <v>58.68</v>
      </c>
      <c r="S963" s="19">
        <v>3182.9354999999996</v>
      </c>
      <c r="T963" s="20" t="s">
        <v>99</v>
      </c>
      <c r="U963" s="21" t="s">
        <v>442</v>
      </c>
      <c r="V963" s="22" t="s">
        <v>35</v>
      </c>
      <c r="W963" s="23">
        <v>2</v>
      </c>
      <c r="X963" s="24"/>
    </row>
    <row r="964" spans="1:24" s="1" customFormat="1" ht="21" customHeight="1" x14ac:dyDescent="0.3">
      <c r="A964" s="25" t="s">
        <v>607</v>
      </c>
      <c r="B964" s="25" t="s">
        <v>1691</v>
      </c>
      <c r="C964" s="28" t="s">
        <v>1721</v>
      </c>
      <c r="D964" s="86"/>
      <c r="E964" s="67" t="str">
        <f>HYPERLINK("https://www.google.ru/search?q=814225-NV&amp;newwindow=1&amp;tbm=isch","Еще фото")</f>
        <v>Еще фото</v>
      </c>
      <c r="F964" s="14"/>
      <c r="G964" s="25" t="s">
        <v>1668</v>
      </c>
      <c r="H964" s="25" t="s">
        <v>27</v>
      </c>
      <c r="I964" s="25" t="s">
        <v>316</v>
      </c>
      <c r="J964" s="15" t="s">
        <v>360</v>
      </c>
      <c r="K964" s="16" t="s">
        <v>29</v>
      </c>
      <c r="L964" s="88"/>
      <c r="M964" s="15"/>
      <c r="N964" s="15" t="s">
        <v>31</v>
      </c>
      <c r="O964" s="15"/>
      <c r="P964" s="16" t="s">
        <v>106</v>
      </c>
      <c r="Q964" s="17">
        <v>6699</v>
      </c>
      <c r="R964" s="18">
        <v>58.68</v>
      </c>
      <c r="S964" s="19">
        <v>3182.9354999999996</v>
      </c>
      <c r="T964" s="20" t="s">
        <v>99</v>
      </c>
      <c r="U964" s="21" t="s">
        <v>34</v>
      </c>
      <c r="V964" s="22" t="s">
        <v>53</v>
      </c>
      <c r="W964" s="23">
        <v>5</v>
      </c>
      <c r="X964" s="24"/>
    </row>
    <row r="965" spans="1:24" s="1" customFormat="1" ht="21" customHeight="1" x14ac:dyDescent="0.3">
      <c r="A965" s="25" t="s">
        <v>607</v>
      </c>
      <c r="B965" s="25" t="s">
        <v>1691</v>
      </c>
      <c r="C965" s="28" t="s">
        <v>1721</v>
      </c>
      <c r="D965" s="86"/>
      <c r="E965" s="67" t="str">
        <f>HYPERLINK("https://www.google.ru/search?q=814225-NV&amp;newwindow=1&amp;tbm=isch","Еще фото")</f>
        <v>Еще фото</v>
      </c>
      <c r="F965" s="14"/>
      <c r="G965" s="25" t="s">
        <v>1668</v>
      </c>
      <c r="H965" s="25" t="s">
        <v>27</v>
      </c>
      <c r="I965" s="25" t="s">
        <v>316</v>
      </c>
      <c r="J965" s="15" t="s">
        <v>360</v>
      </c>
      <c r="K965" s="16" t="s">
        <v>29</v>
      </c>
      <c r="L965" s="88"/>
      <c r="M965" s="15"/>
      <c r="N965" s="15" t="s">
        <v>31</v>
      </c>
      <c r="O965" s="15"/>
      <c r="P965" s="16" t="s">
        <v>106</v>
      </c>
      <c r="Q965" s="17">
        <v>6699</v>
      </c>
      <c r="R965" s="18">
        <v>58.68</v>
      </c>
      <c r="S965" s="19">
        <v>3182.9354999999996</v>
      </c>
      <c r="T965" s="20" t="s">
        <v>99</v>
      </c>
      <c r="U965" s="21" t="s">
        <v>52</v>
      </c>
      <c r="V965" s="22" t="s">
        <v>41</v>
      </c>
      <c r="W965" s="23">
        <v>5</v>
      </c>
      <c r="X965" s="24"/>
    </row>
    <row r="966" spans="1:24" s="1" customFormat="1" ht="21" customHeight="1" x14ac:dyDescent="0.3">
      <c r="A966" s="25" t="s">
        <v>607</v>
      </c>
      <c r="B966" s="25" t="s">
        <v>1691</v>
      </c>
      <c r="C966" s="28" t="s">
        <v>1721</v>
      </c>
      <c r="D966" s="86"/>
      <c r="E966" s="67" t="str">
        <f>HYPERLINK("https://www.google.ru/search?q=814225-NV&amp;newwindow=1&amp;tbm=isch","Еще фото")</f>
        <v>Еще фото</v>
      </c>
      <c r="F966" s="14"/>
      <c r="G966" s="25" t="s">
        <v>1668</v>
      </c>
      <c r="H966" s="25" t="s">
        <v>27</v>
      </c>
      <c r="I966" s="25" t="s">
        <v>316</v>
      </c>
      <c r="J966" s="15" t="s">
        <v>360</v>
      </c>
      <c r="K966" s="16" t="s">
        <v>29</v>
      </c>
      <c r="L966" s="88"/>
      <c r="M966" s="15"/>
      <c r="N966" s="15" t="s">
        <v>31</v>
      </c>
      <c r="O966" s="15"/>
      <c r="P966" s="16" t="s">
        <v>106</v>
      </c>
      <c r="Q966" s="17">
        <v>6699</v>
      </c>
      <c r="R966" s="18">
        <v>58.68</v>
      </c>
      <c r="S966" s="19">
        <v>3182.9354999999996</v>
      </c>
      <c r="T966" s="20" t="s">
        <v>99</v>
      </c>
      <c r="U966" s="21" t="s">
        <v>40</v>
      </c>
      <c r="V966" s="22" t="s">
        <v>43</v>
      </c>
      <c r="W966" s="23">
        <v>2</v>
      </c>
      <c r="X966" s="24"/>
    </row>
    <row r="967" spans="1:24" s="1" customFormat="1" ht="32" customHeight="1" x14ac:dyDescent="0.3">
      <c r="A967" s="25" t="s">
        <v>607</v>
      </c>
      <c r="B967" s="25" t="s">
        <v>1691</v>
      </c>
      <c r="C967" s="28" t="s">
        <v>1721</v>
      </c>
      <c r="D967" s="87"/>
      <c r="E967" s="67" t="str">
        <f>HYPERLINK("https://www.google.ru/search?q=814225-NV&amp;newwindow=1&amp;tbm=isch","Еще фото")</f>
        <v>Еще фото</v>
      </c>
      <c r="F967" s="14"/>
      <c r="G967" s="25" t="s">
        <v>1668</v>
      </c>
      <c r="H967" s="25" t="s">
        <v>27</v>
      </c>
      <c r="I967" s="25" t="s">
        <v>316</v>
      </c>
      <c r="J967" s="15" t="s">
        <v>360</v>
      </c>
      <c r="K967" s="16" t="s">
        <v>29</v>
      </c>
      <c r="L967" s="84"/>
      <c r="M967" s="15"/>
      <c r="N967" s="15" t="s">
        <v>31</v>
      </c>
      <c r="O967" s="15"/>
      <c r="P967" s="16" t="s">
        <v>106</v>
      </c>
      <c r="Q967" s="17">
        <v>6699</v>
      </c>
      <c r="R967" s="18">
        <v>58.68</v>
      </c>
      <c r="S967" s="19">
        <v>3182.9354999999996</v>
      </c>
      <c r="T967" s="20" t="s">
        <v>99</v>
      </c>
      <c r="U967" s="21" t="s">
        <v>42</v>
      </c>
      <c r="V967" s="22" t="s">
        <v>48</v>
      </c>
      <c r="W967" s="23">
        <v>1</v>
      </c>
      <c r="X967" s="24"/>
    </row>
    <row r="968" spans="1:24" s="1" customFormat="1" ht="26" customHeight="1" x14ac:dyDescent="0.3">
      <c r="A968" s="11" t="s">
        <v>607</v>
      </c>
      <c r="B968" s="11" t="s">
        <v>1695</v>
      </c>
      <c r="C968" s="12" t="s">
        <v>1722</v>
      </c>
      <c r="D968" s="85"/>
      <c r="E968" s="67" t="str">
        <f>HYPERLINK("https://www.google.ru/search?q=814845-WH&amp;newwindow=1&amp;tbm=isch","Еще фото")</f>
        <v>Еще фото</v>
      </c>
      <c r="F968" s="14"/>
      <c r="G968" s="11" t="s">
        <v>315</v>
      </c>
      <c r="H968" s="11" t="s">
        <v>27</v>
      </c>
      <c r="I968" s="15" t="s">
        <v>316</v>
      </c>
      <c r="J968" s="15" t="s">
        <v>360</v>
      </c>
      <c r="K968" s="16" t="s">
        <v>29</v>
      </c>
      <c r="L968" s="83" t="s">
        <v>1697</v>
      </c>
      <c r="M968" s="15"/>
      <c r="N968" s="15" t="s">
        <v>173</v>
      </c>
      <c r="O968" s="15"/>
      <c r="P968" s="16" t="s">
        <v>1698</v>
      </c>
      <c r="Q968" s="17">
        <v>3499</v>
      </c>
      <c r="R968" s="18">
        <v>58.62</v>
      </c>
      <c r="S968" s="19">
        <v>1664.9354999999998</v>
      </c>
      <c r="T968" s="20" t="s">
        <v>99</v>
      </c>
      <c r="U968" s="21" t="s">
        <v>442</v>
      </c>
      <c r="V968" s="22" t="s">
        <v>35</v>
      </c>
      <c r="W968" s="23">
        <v>1</v>
      </c>
      <c r="X968" s="24"/>
    </row>
    <row r="969" spans="1:24" s="1" customFormat="1" ht="26" customHeight="1" x14ac:dyDescent="0.3">
      <c r="A969" s="25" t="s">
        <v>607</v>
      </c>
      <c r="B969" s="25" t="s">
        <v>1695</v>
      </c>
      <c r="C969" s="12" t="s">
        <v>1722</v>
      </c>
      <c r="D969" s="86"/>
      <c r="E969" s="67" t="str">
        <f>HYPERLINK("https://www.google.ru/search?q=814845-WH&amp;newwindow=1&amp;tbm=isch","Еще фото")</f>
        <v>Еще фото</v>
      </c>
      <c r="F969" s="14"/>
      <c r="G969" s="25" t="s">
        <v>315</v>
      </c>
      <c r="H969" s="25" t="s">
        <v>27</v>
      </c>
      <c r="I969" s="25" t="s">
        <v>316</v>
      </c>
      <c r="J969" s="15" t="s">
        <v>360</v>
      </c>
      <c r="K969" s="16" t="s">
        <v>29</v>
      </c>
      <c r="L969" s="88"/>
      <c r="M969" s="15"/>
      <c r="N969" s="15" t="s">
        <v>173</v>
      </c>
      <c r="O969" s="15"/>
      <c r="P969" s="16" t="s">
        <v>1698</v>
      </c>
      <c r="Q969" s="17">
        <v>3499</v>
      </c>
      <c r="R969" s="18">
        <v>58.62</v>
      </c>
      <c r="S969" s="19">
        <v>1664.9354999999998</v>
      </c>
      <c r="T969" s="20" t="s">
        <v>99</v>
      </c>
      <c r="U969" s="21" t="s">
        <v>34</v>
      </c>
      <c r="V969" s="22" t="s">
        <v>53</v>
      </c>
      <c r="W969" s="23">
        <v>5</v>
      </c>
      <c r="X969" s="24"/>
    </row>
    <row r="970" spans="1:24" s="1" customFormat="1" ht="26" customHeight="1" x14ac:dyDescent="0.3">
      <c r="A970" s="25" t="s">
        <v>607</v>
      </c>
      <c r="B970" s="25" t="s">
        <v>1695</v>
      </c>
      <c r="C970" s="12" t="s">
        <v>1722</v>
      </c>
      <c r="D970" s="86"/>
      <c r="E970" s="67" t="str">
        <f>HYPERLINK("https://www.google.ru/search?q=814845-WH&amp;newwindow=1&amp;tbm=isch","Еще фото")</f>
        <v>Еще фото</v>
      </c>
      <c r="F970" s="14"/>
      <c r="G970" s="25" t="s">
        <v>315</v>
      </c>
      <c r="H970" s="25" t="s">
        <v>27</v>
      </c>
      <c r="I970" s="25" t="s">
        <v>316</v>
      </c>
      <c r="J970" s="15" t="s">
        <v>360</v>
      </c>
      <c r="K970" s="16" t="s">
        <v>29</v>
      </c>
      <c r="L970" s="88"/>
      <c r="M970" s="15"/>
      <c r="N970" s="15" t="s">
        <v>173</v>
      </c>
      <c r="O970" s="15"/>
      <c r="P970" s="16" t="s">
        <v>1698</v>
      </c>
      <c r="Q970" s="17">
        <v>3499</v>
      </c>
      <c r="R970" s="18">
        <v>58.62</v>
      </c>
      <c r="S970" s="19">
        <v>1664.9354999999998</v>
      </c>
      <c r="T970" s="20" t="s">
        <v>99</v>
      </c>
      <c r="U970" s="21" t="s">
        <v>52</v>
      </c>
      <c r="V970" s="22" t="s">
        <v>41</v>
      </c>
      <c r="W970" s="23">
        <v>3</v>
      </c>
      <c r="X970" s="24"/>
    </row>
    <row r="971" spans="1:24" s="1" customFormat="1" ht="26" customHeight="1" x14ac:dyDescent="0.3">
      <c r="A971" s="25" t="s">
        <v>607</v>
      </c>
      <c r="B971" s="25" t="s">
        <v>1695</v>
      </c>
      <c r="C971" s="12" t="s">
        <v>1722</v>
      </c>
      <c r="D971" s="87"/>
      <c r="E971" s="67" t="str">
        <f>HYPERLINK("https://www.google.ru/search?q=814845-WH&amp;newwindow=1&amp;tbm=isch","Еще фото")</f>
        <v>Еще фото</v>
      </c>
      <c r="F971" s="14"/>
      <c r="G971" s="25" t="s">
        <v>315</v>
      </c>
      <c r="H971" s="25" t="s">
        <v>27</v>
      </c>
      <c r="I971" s="25" t="s">
        <v>316</v>
      </c>
      <c r="J971" s="15" t="s">
        <v>360</v>
      </c>
      <c r="K971" s="16" t="s">
        <v>29</v>
      </c>
      <c r="L971" s="84"/>
      <c r="M971" s="15"/>
      <c r="N971" s="15" t="s">
        <v>173</v>
      </c>
      <c r="O971" s="15"/>
      <c r="P971" s="16" t="s">
        <v>1698</v>
      </c>
      <c r="Q971" s="17">
        <v>3499</v>
      </c>
      <c r="R971" s="18">
        <v>58.62</v>
      </c>
      <c r="S971" s="19">
        <v>1664.9354999999998</v>
      </c>
      <c r="T971" s="20" t="s">
        <v>99</v>
      </c>
      <c r="U971" s="21" t="s">
        <v>40</v>
      </c>
      <c r="V971" s="22" t="s">
        <v>43</v>
      </c>
      <c r="W971" s="23">
        <v>1</v>
      </c>
      <c r="X971" s="24"/>
    </row>
    <row r="972" spans="1:24" s="1" customFormat="1" ht="108" customHeight="1" x14ac:dyDescent="0.3">
      <c r="A972" s="11" t="s">
        <v>607</v>
      </c>
      <c r="B972" s="11" t="s">
        <v>1723</v>
      </c>
      <c r="C972" s="12" t="s">
        <v>1724</v>
      </c>
      <c r="D972" s="13"/>
      <c r="E972" s="67" t="str">
        <f>HYPERLINK("https://www.google.ru/search?q=811265-TE&amp;newwindow=1&amp;tbm=isch","Еще фото")</f>
        <v>Еще фото</v>
      </c>
      <c r="F972" s="14"/>
      <c r="G972" s="11" t="s">
        <v>315</v>
      </c>
      <c r="H972" s="11" t="s">
        <v>27</v>
      </c>
      <c r="I972" s="15" t="s">
        <v>316</v>
      </c>
      <c r="J972" s="15" t="s">
        <v>360</v>
      </c>
      <c r="K972" s="16" t="s">
        <v>45</v>
      </c>
      <c r="L972" s="15" t="s">
        <v>1725</v>
      </c>
      <c r="M972" s="15"/>
      <c r="N972" s="15" t="s">
        <v>31</v>
      </c>
      <c r="O972" s="15"/>
      <c r="P972" s="16" t="s">
        <v>106</v>
      </c>
      <c r="Q972" s="17">
        <v>5999</v>
      </c>
      <c r="R972" s="18">
        <v>53.86</v>
      </c>
      <c r="S972" s="19">
        <v>3182.9354999999996</v>
      </c>
      <c r="T972" s="20" t="s">
        <v>99</v>
      </c>
      <c r="U972" s="21" t="s">
        <v>34</v>
      </c>
      <c r="V972" s="22" t="s">
        <v>35</v>
      </c>
      <c r="W972" s="23">
        <v>2</v>
      </c>
      <c r="X972" s="24"/>
    </row>
    <row r="973" spans="1:24" s="1" customFormat="1" ht="108" customHeight="1" x14ac:dyDescent="0.3">
      <c r="A973" s="11" t="s">
        <v>607</v>
      </c>
      <c r="B973" s="11" t="s">
        <v>1726</v>
      </c>
      <c r="C973" s="12" t="s">
        <v>1727</v>
      </c>
      <c r="D973" s="13"/>
      <c r="E973" s="67" t="str">
        <f>HYPERLINK("https://www.google.ru/search?q=811075-WG&amp;newwindow=1&amp;tbm=isch","Еще фото")</f>
        <v>Еще фото</v>
      </c>
      <c r="F973" s="14"/>
      <c r="G973" s="11" t="s">
        <v>528</v>
      </c>
      <c r="H973" s="11" t="s">
        <v>27</v>
      </c>
      <c r="I973" s="15" t="s">
        <v>316</v>
      </c>
      <c r="J973" s="15" t="s">
        <v>360</v>
      </c>
      <c r="K973" s="16" t="s">
        <v>45</v>
      </c>
      <c r="L973" s="15" t="s">
        <v>1728</v>
      </c>
      <c r="M973" s="15"/>
      <c r="N973" s="15" t="s">
        <v>218</v>
      </c>
      <c r="O973" s="15"/>
      <c r="P973" s="16" t="s">
        <v>1729</v>
      </c>
      <c r="Q973" s="17">
        <v>8499</v>
      </c>
      <c r="R973" s="18">
        <v>53.2</v>
      </c>
      <c r="S973" s="19">
        <v>4574.4354999999996</v>
      </c>
      <c r="T973" s="20" t="s">
        <v>99</v>
      </c>
      <c r="U973" s="21" t="s">
        <v>34</v>
      </c>
      <c r="V973" s="22" t="s">
        <v>35</v>
      </c>
      <c r="W973" s="23">
        <v>2</v>
      </c>
      <c r="X973" s="24"/>
    </row>
    <row r="974" spans="1:24" s="1" customFormat="1" ht="108" customHeight="1" x14ac:dyDescent="0.3">
      <c r="A974" s="11" t="s">
        <v>607</v>
      </c>
      <c r="B974" s="11" t="s">
        <v>1730</v>
      </c>
      <c r="C974" s="12" t="s">
        <v>1731</v>
      </c>
      <c r="D974" s="13"/>
      <c r="E974" s="67" t="str">
        <f>HYPERLINK("https://www.google.ru/search?q=811715-NV&amp;newwindow=1&amp;tbm=isch","Еще фото")</f>
        <v>Еще фото</v>
      </c>
      <c r="F974" s="14"/>
      <c r="G974" s="11" t="s">
        <v>528</v>
      </c>
      <c r="H974" s="11" t="s">
        <v>27</v>
      </c>
      <c r="I974" s="15" t="s">
        <v>316</v>
      </c>
      <c r="J974" s="15" t="s">
        <v>360</v>
      </c>
      <c r="K974" s="16" t="s">
        <v>45</v>
      </c>
      <c r="L974" s="15" t="s">
        <v>1732</v>
      </c>
      <c r="M974" s="15"/>
      <c r="N974" s="15" t="s">
        <v>31</v>
      </c>
      <c r="O974" s="15"/>
      <c r="P974" s="16" t="s">
        <v>106</v>
      </c>
      <c r="Q974" s="17">
        <v>5799</v>
      </c>
      <c r="R974" s="18">
        <v>50.2</v>
      </c>
      <c r="S974" s="19">
        <v>3320.9354999999996</v>
      </c>
      <c r="T974" s="20" t="s">
        <v>99</v>
      </c>
      <c r="U974" s="21" t="s">
        <v>34</v>
      </c>
      <c r="V974" s="22" t="s">
        <v>35</v>
      </c>
      <c r="W974" s="23">
        <v>2</v>
      </c>
      <c r="X974" s="24"/>
    </row>
    <row r="975" spans="1:24" s="1" customFormat="1" ht="108" customHeight="1" x14ac:dyDescent="0.3">
      <c r="A975" s="11" t="s">
        <v>607</v>
      </c>
      <c r="B975" s="11" t="s">
        <v>1733</v>
      </c>
      <c r="C975" s="12" t="s">
        <v>1734</v>
      </c>
      <c r="D975" s="13"/>
      <c r="E975" s="67" t="str">
        <f>HYPERLINK("https://www.google.ru/search?q=811725-NV&amp;newwindow=1&amp;tbm=isch","Еще фото")</f>
        <v>Еще фото</v>
      </c>
      <c r="F975" s="14"/>
      <c r="G975" s="11" t="s">
        <v>315</v>
      </c>
      <c r="H975" s="11" t="s">
        <v>27</v>
      </c>
      <c r="I975" s="15" t="s">
        <v>316</v>
      </c>
      <c r="J975" s="15" t="s">
        <v>360</v>
      </c>
      <c r="K975" s="16" t="s">
        <v>45</v>
      </c>
      <c r="L975" s="15" t="s">
        <v>1735</v>
      </c>
      <c r="M975" s="15"/>
      <c r="N975" s="15" t="s">
        <v>31</v>
      </c>
      <c r="O975" s="15"/>
      <c r="P975" s="16" t="s">
        <v>106</v>
      </c>
      <c r="Q975" s="17">
        <v>4699</v>
      </c>
      <c r="R975" s="18">
        <v>46.8</v>
      </c>
      <c r="S975" s="19">
        <v>2874.9884999999995</v>
      </c>
      <c r="T975" s="20" t="s">
        <v>99</v>
      </c>
      <c r="U975" s="21" t="s">
        <v>34</v>
      </c>
      <c r="V975" s="22" t="s">
        <v>35</v>
      </c>
      <c r="W975" s="23">
        <v>3</v>
      </c>
      <c r="X975" s="24"/>
    </row>
    <row r="976" spans="1:24" s="1" customFormat="1" ht="108" customHeight="1" x14ac:dyDescent="0.3">
      <c r="A976" s="11" t="s">
        <v>607</v>
      </c>
      <c r="B976" s="11" t="s">
        <v>1733</v>
      </c>
      <c r="C976" s="12" t="s">
        <v>1736</v>
      </c>
      <c r="D976" s="13"/>
      <c r="E976" s="67" t="str">
        <f>HYPERLINK("https://www.google.ru/search?q=811725-ROWH&amp;newwindow=1&amp;tbm=isch","Еще фото")</f>
        <v>Еще фото</v>
      </c>
      <c r="F976" s="14"/>
      <c r="G976" s="11" t="s">
        <v>315</v>
      </c>
      <c r="H976" s="11" t="s">
        <v>27</v>
      </c>
      <c r="I976" s="15" t="s">
        <v>316</v>
      </c>
      <c r="J976" s="15" t="s">
        <v>360</v>
      </c>
      <c r="K976" s="16" t="s">
        <v>45</v>
      </c>
      <c r="L976" s="15" t="s">
        <v>1735</v>
      </c>
      <c r="M976" s="15"/>
      <c r="N976" s="15" t="s">
        <v>391</v>
      </c>
      <c r="O976" s="15"/>
      <c r="P976" s="16" t="s">
        <v>106</v>
      </c>
      <c r="Q976" s="17">
        <v>4699</v>
      </c>
      <c r="R976" s="18">
        <v>46.8</v>
      </c>
      <c r="S976" s="19">
        <v>2874.9884999999995</v>
      </c>
      <c r="T976" s="20" t="s">
        <v>99</v>
      </c>
      <c r="U976" s="21" t="s">
        <v>34</v>
      </c>
      <c r="V976" s="22" t="s">
        <v>35</v>
      </c>
      <c r="W976" s="23">
        <v>2</v>
      </c>
      <c r="X976" s="24"/>
    </row>
    <row r="977" spans="1:24" s="1" customFormat="1" ht="108" customHeight="1" x14ac:dyDescent="0.3">
      <c r="A977" s="11" t="s">
        <v>607</v>
      </c>
      <c r="B977" s="11" t="s">
        <v>1733</v>
      </c>
      <c r="C977" s="12" t="s">
        <v>1737</v>
      </c>
      <c r="D977" s="13"/>
      <c r="E977" s="67" t="str">
        <f>HYPERLINK("https://www.google.ru/search?q=811725-WH&amp;newwindow=1&amp;tbm=isch","Еще фото")</f>
        <v>Еще фото</v>
      </c>
      <c r="F977" s="14"/>
      <c r="G977" s="11" t="s">
        <v>315</v>
      </c>
      <c r="H977" s="11" t="s">
        <v>27</v>
      </c>
      <c r="I977" s="15" t="s">
        <v>316</v>
      </c>
      <c r="J977" s="15" t="s">
        <v>360</v>
      </c>
      <c r="K977" s="16" t="s">
        <v>45</v>
      </c>
      <c r="L977" s="15" t="s">
        <v>1735</v>
      </c>
      <c r="M977" s="15"/>
      <c r="N977" s="15" t="s">
        <v>173</v>
      </c>
      <c r="O977" s="15"/>
      <c r="P977" s="16" t="s">
        <v>106</v>
      </c>
      <c r="Q977" s="17">
        <v>4699</v>
      </c>
      <c r="R977" s="18">
        <v>46.8</v>
      </c>
      <c r="S977" s="19">
        <v>2874.9884999999995</v>
      </c>
      <c r="T977" s="20" t="s">
        <v>99</v>
      </c>
      <c r="U977" s="21" t="s">
        <v>34</v>
      </c>
      <c r="V977" s="22" t="s">
        <v>35</v>
      </c>
      <c r="W977" s="23">
        <v>1</v>
      </c>
      <c r="X977" s="24"/>
    </row>
    <row r="978" spans="1:24" s="1" customFormat="1" ht="108" customHeight="1" x14ac:dyDescent="0.3">
      <c r="A978" s="11" t="s">
        <v>607</v>
      </c>
      <c r="B978" s="11" t="s">
        <v>1688</v>
      </c>
      <c r="C978" s="12" t="s">
        <v>1738</v>
      </c>
      <c r="D978" s="13"/>
      <c r="E978" s="67" t="str">
        <f>HYPERLINK("https://www.google.ru/search?q=811215-TE&amp;newwindow=1&amp;tbm=isch","Еще фото")</f>
        <v>Еще фото</v>
      </c>
      <c r="F978" s="14"/>
      <c r="G978" s="11" t="s">
        <v>315</v>
      </c>
      <c r="H978" s="11" t="s">
        <v>27</v>
      </c>
      <c r="I978" s="15" t="s">
        <v>316</v>
      </c>
      <c r="J978" s="15" t="s">
        <v>360</v>
      </c>
      <c r="K978" s="16" t="s">
        <v>45</v>
      </c>
      <c r="L978" s="15" t="s">
        <v>1690</v>
      </c>
      <c r="M978" s="15"/>
      <c r="N978" s="15" t="s">
        <v>31</v>
      </c>
      <c r="O978" s="15"/>
      <c r="P978" s="16" t="s">
        <v>106</v>
      </c>
      <c r="Q978" s="17">
        <v>6699</v>
      </c>
      <c r="R978" s="18">
        <v>46.26</v>
      </c>
      <c r="S978" s="19">
        <v>4139.9884999999995</v>
      </c>
      <c r="T978" s="20" t="s">
        <v>99</v>
      </c>
      <c r="U978" s="21" t="s">
        <v>34</v>
      </c>
      <c r="V978" s="22" t="s">
        <v>35</v>
      </c>
      <c r="W978" s="23">
        <v>1</v>
      </c>
      <c r="X978" s="24"/>
    </row>
    <row r="979" spans="1:24" s="1" customFormat="1" ht="108" customHeight="1" x14ac:dyDescent="0.3">
      <c r="A979" s="11" t="s">
        <v>607</v>
      </c>
      <c r="B979" s="11" t="s">
        <v>1739</v>
      </c>
      <c r="C979" s="12" t="s">
        <v>1740</v>
      </c>
      <c r="D979" s="13"/>
      <c r="E979" s="67" t="str">
        <f>HYPERLINK("https://www.google.ru/search?q=811855-NV&amp;newwindow=1&amp;tbm=isch","Еще фото")</f>
        <v>Еще фото</v>
      </c>
      <c r="F979" s="14"/>
      <c r="G979" s="11" t="s">
        <v>315</v>
      </c>
      <c r="H979" s="11" t="s">
        <v>27</v>
      </c>
      <c r="I979" s="15" t="s">
        <v>316</v>
      </c>
      <c r="J979" s="15" t="s">
        <v>360</v>
      </c>
      <c r="K979" s="16" t="s">
        <v>45</v>
      </c>
      <c r="L979" s="15" t="s">
        <v>1741</v>
      </c>
      <c r="M979" s="15"/>
      <c r="N979" s="15" t="s">
        <v>31</v>
      </c>
      <c r="O979" s="15"/>
      <c r="P979" s="16" t="s">
        <v>1698</v>
      </c>
      <c r="Q979" s="17">
        <v>3499</v>
      </c>
      <c r="R979" s="18">
        <v>45.7</v>
      </c>
      <c r="S979" s="19">
        <v>2184.9884999999999</v>
      </c>
      <c r="T979" s="20" t="s">
        <v>99</v>
      </c>
      <c r="U979" s="21" t="s">
        <v>34</v>
      </c>
      <c r="V979" s="22" t="s">
        <v>35</v>
      </c>
      <c r="W979" s="23">
        <v>3</v>
      </c>
      <c r="X979" s="24"/>
    </row>
    <row r="980" spans="1:24" s="1" customFormat="1" ht="108" customHeight="1" x14ac:dyDescent="0.3">
      <c r="A980" s="11" t="s">
        <v>607</v>
      </c>
      <c r="B980" s="11" t="s">
        <v>1742</v>
      </c>
      <c r="C980" s="12" t="s">
        <v>1743</v>
      </c>
      <c r="D980" s="13"/>
      <c r="E980" s="67" t="str">
        <f>HYPERLINK("https://www.google.ru/search?q=811395-NV&amp;newwindow=1&amp;tbm=isch","Еще фото")</f>
        <v>Еще фото</v>
      </c>
      <c r="F980" s="14"/>
      <c r="G980" s="11" t="s">
        <v>315</v>
      </c>
      <c r="H980" s="11" t="s">
        <v>27</v>
      </c>
      <c r="I980" s="15" t="s">
        <v>316</v>
      </c>
      <c r="J980" s="15" t="s">
        <v>360</v>
      </c>
      <c r="K980" s="16" t="s">
        <v>45</v>
      </c>
      <c r="L980" s="15" t="s">
        <v>1744</v>
      </c>
      <c r="M980" s="15"/>
      <c r="N980" s="15" t="s">
        <v>31</v>
      </c>
      <c r="O980" s="15"/>
      <c r="P980" s="16" t="s">
        <v>1698</v>
      </c>
      <c r="Q980" s="17">
        <v>5499</v>
      </c>
      <c r="R980" s="18">
        <v>45.44</v>
      </c>
      <c r="S980" s="19">
        <v>3449.9884999999995</v>
      </c>
      <c r="T980" s="20" t="s">
        <v>99</v>
      </c>
      <c r="U980" s="21" t="s">
        <v>34</v>
      </c>
      <c r="V980" s="22" t="s">
        <v>35</v>
      </c>
      <c r="W980" s="23">
        <v>2</v>
      </c>
      <c r="X980" s="24"/>
    </row>
    <row r="981" spans="1:24" s="1" customFormat="1" ht="108" customHeight="1" x14ac:dyDescent="0.3">
      <c r="A981" s="11" t="s">
        <v>607</v>
      </c>
      <c r="B981" s="11" t="s">
        <v>1659</v>
      </c>
      <c r="C981" s="12" t="s">
        <v>1745</v>
      </c>
      <c r="D981" s="13"/>
      <c r="E981" s="67" t="str">
        <f>HYPERLINK("https://www.google.ru/search?q=814431-WHNV&amp;newwindow=1&amp;tbm=isch","Еще фото")</f>
        <v>Еще фото</v>
      </c>
      <c r="F981" s="14"/>
      <c r="G981" s="11" t="s">
        <v>315</v>
      </c>
      <c r="H981" s="11" t="s">
        <v>27</v>
      </c>
      <c r="I981" s="15" t="s">
        <v>316</v>
      </c>
      <c r="J981" s="15" t="s">
        <v>360</v>
      </c>
      <c r="K981" s="16" t="s">
        <v>29</v>
      </c>
      <c r="L981" s="15" t="s">
        <v>1661</v>
      </c>
      <c r="M981" s="15"/>
      <c r="N981" s="15" t="s">
        <v>173</v>
      </c>
      <c r="O981" s="15"/>
      <c r="P981" s="16" t="s">
        <v>1662</v>
      </c>
      <c r="Q981" s="17">
        <v>4299</v>
      </c>
      <c r="R981" s="18">
        <v>45.16</v>
      </c>
      <c r="S981" s="19">
        <v>2711.4354999999996</v>
      </c>
      <c r="T981" s="20" t="s">
        <v>99</v>
      </c>
      <c r="U981" s="21" t="s">
        <v>34</v>
      </c>
      <c r="V981" s="22" t="s">
        <v>53</v>
      </c>
      <c r="W981" s="23">
        <v>2</v>
      </c>
      <c r="X981" s="24"/>
    </row>
    <row r="982" spans="1:24" s="1" customFormat="1" ht="26" customHeight="1" x14ac:dyDescent="0.3">
      <c r="A982" s="11" t="s">
        <v>607</v>
      </c>
      <c r="B982" s="11" t="s">
        <v>1746</v>
      </c>
      <c r="C982" s="12" t="s">
        <v>1747</v>
      </c>
      <c r="D982" s="85"/>
      <c r="E982" s="67" t="str">
        <f>HYPERLINK("https://www.google.ru/search?q=814256-LB&amp;newwindow=1&amp;tbm=isch","Еще фото")</f>
        <v>Еще фото</v>
      </c>
      <c r="F982" s="14"/>
      <c r="G982" s="11" t="s">
        <v>1668</v>
      </c>
      <c r="H982" s="11" t="s">
        <v>27</v>
      </c>
      <c r="I982" s="15" t="s">
        <v>316</v>
      </c>
      <c r="J982" s="15" t="s">
        <v>360</v>
      </c>
      <c r="K982" s="16" t="s">
        <v>29</v>
      </c>
      <c r="L982" s="83" t="s">
        <v>1748</v>
      </c>
      <c r="M982" s="15"/>
      <c r="N982" s="15" t="s">
        <v>122</v>
      </c>
      <c r="O982" s="15"/>
      <c r="P982" s="16" t="s">
        <v>106</v>
      </c>
      <c r="Q982" s="17">
        <v>7899</v>
      </c>
      <c r="R982" s="18">
        <v>33</v>
      </c>
      <c r="S982" s="19">
        <v>6086.1794999999993</v>
      </c>
      <c r="T982" s="20" t="s">
        <v>99</v>
      </c>
      <c r="U982" s="21" t="s">
        <v>34</v>
      </c>
      <c r="V982" s="22" t="s">
        <v>53</v>
      </c>
      <c r="W982" s="23">
        <v>4</v>
      </c>
      <c r="X982" s="24"/>
    </row>
    <row r="983" spans="1:24" s="1" customFormat="1" ht="26" customHeight="1" x14ac:dyDescent="0.3">
      <c r="A983" s="25" t="s">
        <v>607</v>
      </c>
      <c r="B983" s="25" t="s">
        <v>1746</v>
      </c>
      <c r="C983" s="12" t="s">
        <v>1747</v>
      </c>
      <c r="D983" s="86"/>
      <c r="E983" s="67" t="str">
        <f>HYPERLINK("https://www.google.ru/search?q=814256-LB&amp;newwindow=1&amp;tbm=isch","Еще фото")</f>
        <v>Еще фото</v>
      </c>
      <c r="F983" s="14"/>
      <c r="G983" s="25" t="s">
        <v>1668</v>
      </c>
      <c r="H983" s="25" t="s">
        <v>27</v>
      </c>
      <c r="I983" s="25" t="s">
        <v>316</v>
      </c>
      <c r="J983" s="15" t="s">
        <v>360</v>
      </c>
      <c r="K983" s="16" t="s">
        <v>29</v>
      </c>
      <c r="L983" s="88"/>
      <c r="M983" s="15"/>
      <c r="N983" s="15" t="s">
        <v>122</v>
      </c>
      <c r="O983" s="15"/>
      <c r="P983" s="16" t="s">
        <v>106</v>
      </c>
      <c r="Q983" s="17">
        <v>7899</v>
      </c>
      <c r="R983" s="18">
        <v>33</v>
      </c>
      <c r="S983" s="19">
        <v>6086.1794999999993</v>
      </c>
      <c r="T983" s="20" t="s">
        <v>99</v>
      </c>
      <c r="U983" s="21" t="s">
        <v>52</v>
      </c>
      <c r="V983" s="22" t="s">
        <v>41</v>
      </c>
      <c r="W983" s="23">
        <v>7</v>
      </c>
      <c r="X983" s="24"/>
    </row>
    <row r="984" spans="1:24" s="1" customFormat="1" ht="26" customHeight="1" x14ac:dyDescent="0.3">
      <c r="A984" s="25" t="s">
        <v>607</v>
      </c>
      <c r="B984" s="25" t="s">
        <v>1746</v>
      </c>
      <c r="C984" s="12" t="s">
        <v>1747</v>
      </c>
      <c r="D984" s="86"/>
      <c r="E984" s="67" t="str">
        <f>HYPERLINK("https://www.google.ru/search?q=814256-LB&amp;newwindow=1&amp;tbm=isch","Еще фото")</f>
        <v>Еще фото</v>
      </c>
      <c r="F984" s="14"/>
      <c r="G984" s="25" t="s">
        <v>1668</v>
      </c>
      <c r="H984" s="25" t="s">
        <v>27</v>
      </c>
      <c r="I984" s="25" t="s">
        <v>316</v>
      </c>
      <c r="J984" s="15" t="s">
        <v>360</v>
      </c>
      <c r="K984" s="16" t="s">
        <v>29</v>
      </c>
      <c r="L984" s="88"/>
      <c r="M984" s="15"/>
      <c r="N984" s="15" t="s">
        <v>122</v>
      </c>
      <c r="O984" s="15"/>
      <c r="P984" s="16" t="s">
        <v>106</v>
      </c>
      <c r="Q984" s="17">
        <v>7899</v>
      </c>
      <c r="R984" s="18">
        <v>33</v>
      </c>
      <c r="S984" s="19">
        <v>6086.1794999999993</v>
      </c>
      <c r="T984" s="20" t="s">
        <v>99</v>
      </c>
      <c r="U984" s="21" t="s">
        <v>40</v>
      </c>
      <c r="V984" s="22" t="s">
        <v>43</v>
      </c>
      <c r="W984" s="23">
        <v>4</v>
      </c>
      <c r="X984" s="24"/>
    </row>
    <row r="985" spans="1:24" s="1" customFormat="1" ht="26" customHeight="1" x14ac:dyDescent="0.3">
      <c r="A985" s="25" t="s">
        <v>607</v>
      </c>
      <c r="B985" s="25" t="s">
        <v>1746</v>
      </c>
      <c r="C985" s="12" t="s">
        <v>1747</v>
      </c>
      <c r="D985" s="87"/>
      <c r="E985" s="67" t="str">
        <f>HYPERLINK("https://www.google.ru/search?q=814256-LB&amp;newwindow=1&amp;tbm=isch","Еще фото")</f>
        <v>Еще фото</v>
      </c>
      <c r="F985" s="14"/>
      <c r="G985" s="25" t="s">
        <v>1668</v>
      </c>
      <c r="H985" s="25" t="s">
        <v>27</v>
      </c>
      <c r="I985" s="25" t="s">
        <v>316</v>
      </c>
      <c r="J985" s="15" t="s">
        <v>360</v>
      </c>
      <c r="K985" s="16" t="s">
        <v>29</v>
      </c>
      <c r="L985" s="84"/>
      <c r="M985" s="15"/>
      <c r="N985" s="15" t="s">
        <v>122</v>
      </c>
      <c r="O985" s="15"/>
      <c r="P985" s="16" t="s">
        <v>106</v>
      </c>
      <c r="Q985" s="17">
        <v>7899</v>
      </c>
      <c r="R985" s="18">
        <v>33</v>
      </c>
      <c r="S985" s="19">
        <v>6086.1794999999993</v>
      </c>
      <c r="T985" s="20" t="s">
        <v>99</v>
      </c>
      <c r="U985" s="21" t="s">
        <v>42</v>
      </c>
      <c r="V985" s="22" t="s">
        <v>48</v>
      </c>
      <c r="W985" s="23">
        <v>2</v>
      </c>
      <c r="X985" s="24"/>
    </row>
    <row r="986" spans="1:24" s="1" customFormat="1" ht="26" customHeight="1" x14ac:dyDescent="0.3">
      <c r="A986" s="11" t="s">
        <v>607</v>
      </c>
      <c r="B986" s="11" t="s">
        <v>1688</v>
      </c>
      <c r="C986" s="12" t="s">
        <v>1749</v>
      </c>
      <c r="D986" s="85"/>
      <c r="E986" s="67" t="str">
        <f>HYPERLINK("https://www.google.ru/search?q=811116-WHPU&amp;newwindow=1&amp;tbm=isch","Еще фото")</f>
        <v>Еще фото</v>
      </c>
      <c r="F986" s="14"/>
      <c r="G986" s="11" t="s">
        <v>315</v>
      </c>
      <c r="H986" s="11" t="s">
        <v>27</v>
      </c>
      <c r="I986" s="15" t="s">
        <v>316</v>
      </c>
      <c r="J986" s="15" t="s">
        <v>360</v>
      </c>
      <c r="K986" s="16" t="s">
        <v>45</v>
      </c>
      <c r="L986" s="83" t="s">
        <v>1750</v>
      </c>
      <c r="M986" s="15"/>
      <c r="N986" s="15" t="s">
        <v>173</v>
      </c>
      <c r="O986" s="15"/>
      <c r="P986" s="16" t="s">
        <v>106</v>
      </c>
      <c r="Q986" s="17">
        <v>6599</v>
      </c>
      <c r="R986" s="18">
        <v>30</v>
      </c>
      <c r="S986" s="19">
        <v>5312.1949999999997</v>
      </c>
      <c r="T986" s="20" t="s">
        <v>99</v>
      </c>
      <c r="U986" s="21" t="s">
        <v>34</v>
      </c>
      <c r="V986" s="22" t="s">
        <v>35</v>
      </c>
      <c r="W986" s="23">
        <v>4</v>
      </c>
      <c r="X986" s="24"/>
    </row>
    <row r="987" spans="1:24" s="1" customFormat="1" ht="26" customHeight="1" x14ac:dyDescent="0.3">
      <c r="A987" s="25" t="s">
        <v>607</v>
      </c>
      <c r="B987" s="25" t="s">
        <v>1688</v>
      </c>
      <c r="C987" s="12" t="s">
        <v>1749</v>
      </c>
      <c r="D987" s="86"/>
      <c r="E987" s="67" t="str">
        <f>HYPERLINK("https://www.google.ru/search?q=811116-WHPU&amp;newwindow=1&amp;tbm=isch","Еще фото")</f>
        <v>Еще фото</v>
      </c>
      <c r="F987" s="14"/>
      <c r="G987" s="25" t="s">
        <v>315</v>
      </c>
      <c r="H987" s="25" t="s">
        <v>27</v>
      </c>
      <c r="I987" s="25" t="s">
        <v>316</v>
      </c>
      <c r="J987" s="15" t="s">
        <v>360</v>
      </c>
      <c r="K987" s="16" t="s">
        <v>45</v>
      </c>
      <c r="L987" s="88"/>
      <c r="M987" s="15"/>
      <c r="N987" s="15" t="s">
        <v>173</v>
      </c>
      <c r="O987" s="15"/>
      <c r="P987" s="16" t="s">
        <v>106</v>
      </c>
      <c r="Q987" s="17">
        <v>6599</v>
      </c>
      <c r="R987" s="18">
        <v>30</v>
      </c>
      <c r="S987" s="19">
        <v>5312.1949999999997</v>
      </c>
      <c r="T987" s="20" t="s">
        <v>99</v>
      </c>
      <c r="U987" s="21" t="s">
        <v>52</v>
      </c>
      <c r="V987" s="22" t="s">
        <v>53</v>
      </c>
      <c r="W987" s="23">
        <v>5</v>
      </c>
      <c r="X987" s="24"/>
    </row>
    <row r="988" spans="1:24" s="1" customFormat="1" ht="26" customHeight="1" x14ac:dyDescent="0.3">
      <c r="A988" s="25" t="s">
        <v>607</v>
      </c>
      <c r="B988" s="25" t="s">
        <v>1688</v>
      </c>
      <c r="C988" s="12" t="s">
        <v>1749</v>
      </c>
      <c r="D988" s="86"/>
      <c r="E988" s="67" t="str">
        <f>HYPERLINK("https://www.google.ru/search?q=811116-WHPU&amp;newwindow=1&amp;tbm=isch","Еще фото")</f>
        <v>Еще фото</v>
      </c>
      <c r="F988" s="14"/>
      <c r="G988" s="25" t="s">
        <v>315</v>
      </c>
      <c r="H988" s="25" t="s">
        <v>27</v>
      </c>
      <c r="I988" s="25" t="s">
        <v>316</v>
      </c>
      <c r="J988" s="15" t="s">
        <v>360</v>
      </c>
      <c r="K988" s="16" t="s">
        <v>45</v>
      </c>
      <c r="L988" s="88"/>
      <c r="M988" s="15"/>
      <c r="N988" s="15" t="s">
        <v>173</v>
      </c>
      <c r="O988" s="15"/>
      <c r="P988" s="16" t="s">
        <v>106</v>
      </c>
      <c r="Q988" s="17">
        <v>6599</v>
      </c>
      <c r="R988" s="18">
        <v>30</v>
      </c>
      <c r="S988" s="19">
        <v>5312.1949999999997</v>
      </c>
      <c r="T988" s="20" t="s">
        <v>99</v>
      </c>
      <c r="U988" s="21" t="s">
        <v>40</v>
      </c>
      <c r="V988" s="22" t="s">
        <v>41</v>
      </c>
      <c r="W988" s="23">
        <v>2</v>
      </c>
      <c r="X988" s="24"/>
    </row>
    <row r="989" spans="1:24" s="1" customFormat="1" ht="26" customHeight="1" x14ac:dyDescent="0.3">
      <c r="A989" s="25" t="s">
        <v>607</v>
      </c>
      <c r="B989" s="25" t="s">
        <v>1688</v>
      </c>
      <c r="C989" s="12" t="s">
        <v>1749</v>
      </c>
      <c r="D989" s="87"/>
      <c r="E989" s="67" t="str">
        <f>HYPERLINK("https://www.google.ru/search?q=811116-WHPU&amp;newwindow=1&amp;tbm=isch","Еще фото")</f>
        <v>Еще фото</v>
      </c>
      <c r="F989" s="14"/>
      <c r="G989" s="25" t="s">
        <v>315</v>
      </c>
      <c r="H989" s="25" t="s">
        <v>27</v>
      </c>
      <c r="I989" s="25" t="s">
        <v>316</v>
      </c>
      <c r="J989" s="15" t="s">
        <v>360</v>
      </c>
      <c r="K989" s="16" t="s">
        <v>45</v>
      </c>
      <c r="L989" s="84"/>
      <c r="M989" s="15"/>
      <c r="N989" s="15" t="s">
        <v>173</v>
      </c>
      <c r="O989" s="15"/>
      <c r="P989" s="16" t="s">
        <v>106</v>
      </c>
      <c r="Q989" s="17">
        <v>6599</v>
      </c>
      <c r="R989" s="18">
        <v>30</v>
      </c>
      <c r="S989" s="19">
        <v>5312.1949999999997</v>
      </c>
      <c r="T989" s="20" t="s">
        <v>99</v>
      </c>
      <c r="U989" s="21" t="s">
        <v>42</v>
      </c>
      <c r="V989" s="22" t="s">
        <v>43</v>
      </c>
      <c r="W989" s="23">
        <v>1</v>
      </c>
      <c r="X989" s="24"/>
    </row>
    <row r="990" spans="1:24" s="1" customFormat="1" ht="26" customHeight="1" x14ac:dyDescent="0.3">
      <c r="A990" s="11" t="s">
        <v>607</v>
      </c>
      <c r="B990" s="11" t="s">
        <v>1751</v>
      </c>
      <c r="C990" s="12" t="s">
        <v>1752</v>
      </c>
      <c r="D990" s="85"/>
      <c r="E990" s="67" t="str">
        <f>HYPERLINK("https://www.google.ru/search?q=811136-NVXV&amp;newwindow=1&amp;tbm=isch","Еще фото")</f>
        <v>Еще фото</v>
      </c>
      <c r="F990" s="14"/>
      <c r="G990" s="11" t="s">
        <v>315</v>
      </c>
      <c r="H990" s="11" t="s">
        <v>27</v>
      </c>
      <c r="I990" s="15" t="s">
        <v>316</v>
      </c>
      <c r="J990" s="15" t="s">
        <v>360</v>
      </c>
      <c r="K990" s="16" t="s">
        <v>45</v>
      </c>
      <c r="L990" s="83" t="s">
        <v>1753</v>
      </c>
      <c r="M990" s="15"/>
      <c r="N990" s="15" t="s">
        <v>31</v>
      </c>
      <c r="O990" s="15"/>
      <c r="P990" s="16" t="s">
        <v>106</v>
      </c>
      <c r="Q990" s="17">
        <v>6599</v>
      </c>
      <c r="R990" s="18">
        <v>30</v>
      </c>
      <c r="S990" s="19">
        <v>5312.1949999999997</v>
      </c>
      <c r="T990" s="20" t="s">
        <v>99</v>
      </c>
      <c r="U990" s="21" t="s">
        <v>34</v>
      </c>
      <c r="V990" s="22" t="s">
        <v>35</v>
      </c>
      <c r="W990" s="23">
        <v>4</v>
      </c>
      <c r="X990" s="24"/>
    </row>
    <row r="991" spans="1:24" s="1" customFormat="1" ht="26" customHeight="1" x14ac:dyDescent="0.3">
      <c r="A991" s="25" t="s">
        <v>607</v>
      </c>
      <c r="B991" s="25" t="s">
        <v>1751</v>
      </c>
      <c r="C991" s="12" t="s">
        <v>1752</v>
      </c>
      <c r="D991" s="86"/>
      <c r="E991" s="67" t="str">
        <f>HYPERLINK("https://www.google.ru/search?q=811136-NVXV&amp;newwindow=1&amp;tbm=isch","Еще фото")</f>
        <v>Еще фото</v>
      </c>
      <c r="F991" s="14"/>
      <c r="G991" s="25" t="s">
        <v>315</v>
      </c>
      <c r="H991" s="25" t="s">
        <v>27</v>
      </c>
      <c r="I991" s="25" t="s">
        <v>316</v>
      </c>
      <c r="J991" s="15" t="s">
        <v>360</v>
      </c>
      <c r="K991" s="16" t="s">
        <v>45</v>
      </c>
      <c r="L991" s="88"/>
      <c r="M991" s="15"/>
      <c r="N991" s="15" t="s">
        <v>31</v>
      </c>
      <c r="O991" s="15"/>
      <c r="P991" s="16" t="s">
        <v>106</v>
      </c>
      <c r="Q991" s="17">
        <v>6599</v>
      </c>
      <c r="R991" s="18">
        <v>30</v>
      </c>
      <c r="S991" s="19">
        <v>5312.1949999999997</v>
      </c>
      <c r="T991" s="20" t="s">
        <v>99</v>
      </c>
      <c r="U991" s="21" t="s">
        <v>52</v>
      </c>
      <c r="V991" s="22" t="s">
        <v>53</v>
      </c>
      <c r="W991" s="23">
        <v>6</v>
      </c>
      <c r="X991" s="24"/>
    </row>
    <row r="992" spans="1:24" s="1" customFormat="1" ht="26" customHeight="1" x14ac:dyDescent="0.3">
      <c r="A992" s="25" t="s">
        <v>607</v>
      </c>
      <c r="B992" s="25" t="s">
        <v>1751</v>
      </c>
      <c r="C992" s="12" t="s">
        <v>1752</v>
      </c>
      <c r="D992" s="86"/>
      <c r="E992" s="67" t="str">
        <f>HYPERLINK("https://www.google.ru/search?q=811136-NVXV&amp;newwindow=1&amp;tbm=isch","Еще фото")</f>
        <v>Еще фото</v>
      </c>
      <c r="F992" s="14"/>
      <c r="G992" s="25" t="s">
        <v>315</v>
      </c>
      <c r="H992" s="25" t="s">
        <v>27</v>
      </c>
      <c r="I992" s="25" t="s">
        <v>316</v>
      </c>
      <c r="J992" s="15" t="s">
        <v>360</v>
      </c>
      <c r="K992" s="16" t="s">
        <v>45</v>
      </c>
      <c r="L992" s="88"/>
      <c r="M992" s="15"/>
      <c r="N992" s="15" t="s">
        <v>31</v>
      </c>
      <c r="O992" s="15"/>
      <c r="P992" s="16" t="s">
        <v>106</v>
      </c>
      <c r="Q992" s="17">
        <v>6599</v>
      </c>
      <c r="R992" s="18">
        <v>30</v>
      </c>
      <c r="S992" s="19">
        <v>5312.1949999999997</v>
      </c>
      <c r="T992" s="20" t="s">
        <v>99</v>
      </c>
      <c r="U992" s="21" t="s">
        <v>40</v>
      </c>
      <c r="V992" s="22" t="s">
        <v>41</v>
      </c>
      <c r="W992" s="23">
        <v>4</v>
      </c>
      <c r="X992" s="24"/>
    </row>
    <row r="993" spans="1:24" s="1" customFormat="1" ht="26" customHeight="1" x14ac:dyDescent="0.3">
      <c r="A993" s="25" t="s">
        <v>607</v>
      </c>
      <c r="B993" s="25" t="s">
        <v>1751</v>
      </c>
      <c r="C993" s="12" t="s">
        <v>1752</v>
      </c>
      <c r="D993" s="87"/>
      <c r="E993" s="67" t="str">
        <f>HYPERLINK("https://www.google.ru/search?q=811136-NVXV&amp;newwindow=1&amp;tbm=isch","Еще фото")</f>
        <v>Еще фото</v>
      </c>
      <c r="F993" s="14"/>
      <c r="G993" s="25" t="s">
        <v>315</v>
      </c>
      <c r="H993" s="25" t="s">
        <v>27</v>
      </c>
      <c r="I993" s="25" t="s">
        <v>316</v>
      </c>
      <c r="J993" s="15" t="s">
        <v>360</v>
      </c>
      <c r="K993" s="16" t="s">
        <v>45</v>
      </c>
      <c r="L993" s="84"/>
      <c r="M993" s="15"/>
      <c r="N993" s="15" t="s">
        <v>31</v>
      </c>
      <c r="O993" s="15"/>
      <c r="P993" s="16" t="s">
        <v>106</v>
      </c>
      <c r="Q993" s="17">
        <v>6599</v>
      </c>
      <c r="R993" s="18">
        <v>30</v>
      </c>
      <c r="S993" s="19">
        <v>5312.1949999999997</v>
      </c>
      <c r="T993" s="20" t="s">
        <v>99</v>
      </c>
      <c r="U993" s="21" t="s">
        <v>42</v>
      </c>
      <c r="V993" s="22" t="s">
        <v>43</v>
      </c>
      <c r="W993" s="23">
        <v>2</v>
      </c>
      <c r="X993" s="24"/>
    </row>
    <row r="994" spans="1:24" s="1" customFormat="1" ht="26" customHeight="1" x14ac:dyDescent="0.3">
      <c r="A994" s="11" t="s">
        <v>607</v>
      </c>
      <c r="B994" s="11" t="s">
        <v>1751</v>
      </c>
      <c r="C994" s="12" t="s">
        <v>1754</v>
      </c>
      <c r="D994" s="85"/>
      <c r="E994" s="67" t="str">
        <f>HYPERLINK("https://www.google.ru/search?q=811136-ROXV&amp;newwindow=1&amp;tbm=isch","Еще фото")</f>
        <v>Еще фото</v>
      </c>
      <c r="F994" s="14"/>
      <c r="G994" s="11" t="s">
        <v>315</v>
      </c>
      <c r="H994" s="11" t="s">
        <v>27</v>
      </c>
      <c r="I994" s="15" t="s">
        <v>316</v>
      </c>
      <c r="J994" s="15" t="s">
        <v>360</v>
      </c>
      <c r="K994" s="16" t="s">
        <v>45</v>
      </c>
      <c r="L994" s="83" t="s">
        <v>1753</v>
      </c>
      <c r="M994" s="15"/>
      <c r="N994" s="15" t="s">
        <v>1755</v>
      </c>
      <c r="O994" s="15"/>
      <c r="P994" s="16" t="s">
        <v>106</v>
      </c>
      <c r="Q994" s="17">
        <v>6599</v>
      </c>
      <c r="R994" s="18">
        <v>30</v>
      </c>
      <c r="S994" s="19">
        <v>5312.1949999999997</v>
      </c>
      <c r="T994" s="20" t="s">
        <v>99</v>
      </c>
      <c r="U994" s="21" t="s">
        <v>34</v>
      </c>
      <c r="V994" s="22" t="s">
        <v>35</v>
      </c>
      <c r="W994" s="23">
        <v>4</v>
      </c>
      <c r="X994" s="24"/>
    </row>
    <row r="995" spans="1:24" s="1" customFormat="1" ht="26" customHeight="1" x14ac:dyDescent="0.3">
      <c r="A995" s="25" t="s">
        <v>607</v>
      </c>
      <c r="B995" s="25" t="s">
        <v>1751</v>
      </c>
      <c r="C995" s="12" t="s">
        <v>1754</v>
      </c>
      <c r="D995" s="86"/>
      <c r="E995" s="67" t="str">
        <f>HYPERLINK("https://www.google.ru/search?q=811136-ROXV&amp;newwindow=1&amp;tbm=isch","Еще фото")</f>
        <v>Еще фото</v>
      </c>
      <c r="F995" s="14"/>
      <c r="G995" s="25" t="s">
        <v>315</v>
      </c>
      <c r="H995" s="25" t="s">
        <v>27</v>
      </c>
      <c r="I995" s="25" t="s">
        <v>316</v>
      </c>
      <c r="J995" s="15" t="s">
        <v>360</v>
      </c>
      <c r="K995" s="16" t="s">
        <v>45</v>
      </c>
      <c r="L995" s="88"/>
      <c r="M995" s="15"/>
      <c r="N995" s="15" t="s">
        <v>1755</v>
      </c>
      <c r="O995" s="15"/>
      <c r="P995" s="16" t="s">
        <v>106</v>
      </c>
      <c r="Q995" s="17">
        <v>6599</v>
      </c>
      <c r="R995" s="18">
        <v>30</v>
      </c>
      <c r="S995" s="19">
        <v>5312.1949999999997</v>
      </c>
      <c r="T995" s="20" t="s">
        <v>99</v>
      </c>
      <c r="U995" s="21" t="s">
        <v>52</v>
      </c>
      <c r="V995" s="22" t="s">
        <v>53</v>
      </c>
      <c r="W995" s="23">
        <v>6</v>
      </c>
      <c r="X995" s="24"/>
    </row>
    <row r="996" spans="1:24" s="1" customFormat="1" ht="26" customHeight="1" x14ac:dyDescent="0.3">
      <c r="A996" s="25" t="s">
        <v>607</v>
      </c>
      <c r="B996" s="25" t="s">
        <v>1751</v>
      </c>
      <c r="C996" s="12" t="s">
        <v>1754</v>
      </c>
      <c r="D996" s="86"/>
      <c r="E996" s="67" t="str">
        <f>HYPERLINK("https://www.google.ru/search?q=811136-ROXV&amp;newwindow=1&amp;tbm=isch","Еще фото")</f>
        <v>Еще фото</v>
      </c>
      <c r="F996" s="14"/>
      <c r="G996" s="25" t="s">
        <v>315</v>
      </c>
      <c r="H996" s="25" t="s">
        <v>27</v>
      </c>
      <c r="I996" s="25" t="s">
        <v>316</v>
      </c>
      <c r="J996" s="15" t="s">
        <v>360</v>
      </c>
      <c r="K996" s="16" t="s">
        <v>45</v>
      </c>
      <c r="L996" s="88"/>
      <c r="M996" s="15"/>
      <c r="N996" s="15" t="s">
        <v>1755</v>
      </c>
      <c r="O996" s="15"/>
      <c r="P996" s="16" t="s">
        <v>106</v>
      </c>
      <c r="Q996" s="17">
        <v>6599</v>
      </c>
      <c r="R996" s="18">
        <v>30</v>
      </c>
      <c r="S996" s="19">
        <v>5312.1949999999997</v>
      </c>
      <c r="T996" s="20" t="s">
        <v>99</v>
      </c>
      <c r="U996" s="21" t="s">
        <v>40</v>
      </c>
      <c r="V996" s="22" t="s">
        <v>41</v>
      </c>
      <c r="W996" s="23">
        <v>4</v>
      </c>
      <c r="X996" s="24"/>
    </row>
    <row r="997" spans="1:24" s="1" customFormat="1" ht="26" customHeight="1" x14ac:dyDescent="0.3">
      <c r="A997" s="25" t="s">
        <v>607</v>
      </c>
      <c r="B997" s="25" t="s">
        <v>1751</v>
      </c>
      <c r="C997" s="12" t="s">
        <v>1754</v>
      </c>
      <c r="D997" s="87"/>
      <c r="E997" s="67" t="str">
        <f>HYPERLINK("https://www.google.ru/search?q=811136-ROXV&amp;newwindow=1&amp;tbm=isch","Еще фото")</f>
        <v>Еще фото</v>
      </c>
      <c r="F997" s="14"/>
      <c r="G997" s="25" t="s">
        <v>315</v>
      </c>
      <c r="H997" s="25" t="s">
        <v>27</v>
      </c>
      <c r="I997" s="25" t="s">
        <v>316</v>
      </c>
      <c r="J997" s="15" t="s">
        <v>360</v>
      </c>
      <c r="K997" s="16" t="s">
        <v>45</v>
      </c>
      <c r="L997" s="84"/>
      <c r="M997" s="15"/>
      <c r="N997" s="15" t="s">
        <v>1755</v>
      </c>
      <c r="O997" s="15"/>
      <c r="P997" s="16" t="s">
        <v>106</v>
      </c>
      <c r="Q997" s="17">
        <v>6599</v>
      </c>
      <c r="R997" s="18">
        <v>30</v>
      </c>
      <c r="S997" s="19">
        <v>5312.1949999999997</v>
      </c>
      <c r="T997" s="20" t="s">
        <v>99</v>
      </c>
      <c r="U997" s="21" t="s">
        <v>42</v>
      </c>
      <c r="V997" s="22" t="s">
        <v>43</v>
      </c>
      <c r="W997" s="23">
        <v>2</v>
      </c>
      <c r="X997" s="24"/>
    </row>
    <row r="998" spans="1:24" s="1" customFormat="1" ht="26" customHeight="1" x14ac:dyDescent="0.3">
      <c r="A998" s="11" t="s">
        <v>607</v>
      </c>
      <c r="B998" s="11" t="s">
        <v>1756</v>
      </c>
      <c r="C998" s="12" t="s">
        <v>1757</v>
      </c>
      <c r="D998" s="85"/>
      <c r="E998" s="67" t="str">
        <f>HYPERLINK("https://www.google.ru/search?q=811146-ROXU&amp;newwindow=1&amp;tbm=isch","Еще фото")</f>
        <v>Еще фото</v>
      </c>
      <c r="F998" s="14"/>
      <c r="G998" s="11" t="s">
        <v>315</v>
      </c>
      <c r="H998" s="11" t="s">
        <v>27</v>
      </c>
      <c r="I998" s="15" t="s">
        <v>316</v>
      </c>
      <c r="J998" s="15" t="s">
        <v>360</v>
      </c>
      <c r="K998" s="16" t="s">
        <v>45</v>
      </c>
      <c r="L998" s="83" t="s">
        <v>1758</v>
      </c>
      <c r="M998" s="15"/>
      <c r="N998" s="15" t="s">
        <v>1759</v>
      </c>
      <c r="O998" s="15"/>
      <c r="P998" s="16" t="s">
        <v>106</v>
      </c>
      <c r="Q998" s="17">
        <v>5499</v>
      </c>
      <c r="R998" s="18">
        <v>30</v>
      </c>
      <c r="S998" s="19">
        <v>4426.6949999999997</v>
      </c>
      <c r="T998" s="20" t="s">
        <v>99</v>
      </c>
      <c r="U998" s="21" t="s">
        <v>34</v>
      </c>
      <c r="V998" s="22" t="s">
        <v>35</v>
      </c>
      <c r="W998" s="23">
        <v>4</v>
      </c>
      <c r="X998" s="24"/>
    </row>
    <row r="999" spans="1:24" s="1" customFormat="1" ht="26" customHeight="1" x14ac:dyDescent="0.3">
      <c r="A999" s="25" t="s">
        <v>607</v>
      </c>
      <c r="B999" s="25" t="s">
        <v>1756</v>
      </c>
      <c r="C999" s="12" t="s">
        <v>1757</v>
      </c>
      <c r="D999" s="86"/>
      <c r="E999" s="67" t="str">
        <f>HYPERLINK("https://www.google.ru/search?q=811146-ROXU&amp;newwindow=1&amp;tbm=isch","Еще фото")</f>
        <v>Еще фото</v>
      </c>
      <c r="F999" s="14"/>
      <c r="G999" s="25" t="s">
        <v>315</v>
      </c>
      <c r="H999" s="25" t="s">
        <v>27</v>
      </c>
      <c r="I999" s="25" t="s">
        <v>316</v>
      </c>
      <c r="J999" s="15" t="s">
        <v>360</v>
      </c>
      <c r="K999" s="16" t="s">
        <v>45</v>
      </c>
      <c r="L999" s="88"/>
      <c r="M999" s="15"/>
      <c r="N999" s="15" t="s">
        <v>1759</v>
      </c>
      <c r="O999" s="15"/>
      <c r="P999" s="16" t="s">
        <v>106</v>
      </c>
      <c r="Q999" s="17">
        <v>5499</v>
      </c>
      <c r="R999" s="18">
        <v>30</v>
      </c>
      <c r="S999" s="19">
        <v>4426.6949999999997</v>
      </c>
      <c r="T999" s="20" t="s">
        <v>99</v>
      </c>
      <c r="U999" s="21" t="s">
        <v>52</v>
      </c>
      <c r="V999" s="22" t="s">
        <v>53</v>
      </c>
      <c r="W999" s="23">
        <v>5</v>
      </c>
      <c r="X999" s="24"/>
    </row>
    <row r="1000" spans="1:24" s="1" customFormat="1" ht="26" customHeight="1" x14ac:dyDescent="0.3">
      <c r="A1000" s="25" t="s">
        <v>607</v>
      </c>
      <c r="B1000" s="25" t="s">
        <v>1756</v>
      </c>
      <c r="C1000" s="12" t="s">
        <v>1757</v>
      </c>
      <c r="D1000" s="86"/>
      <c r="E1000" s="67" t="str">
        <f>HYPERLINK("https://www.google.ru/search?q=811146-ROXU&amp;newwindow=1&amp;tbm=isch","Еще фото")</f>
        <v>Еще фото</v>
      </c>
      <c r="F1000" s="14"/>
      <c r="G1000" s="25" t="s">
        <v>315</v>
      </c>
      <c r="H1000" s="25" t="s">
        <v>27</v>
      </c>
      <c r="I1000" s="25" t="s">
        <v>316</v>
      </c>
      <c r="J1000" s="15" t="s">
        <v>360</v>
      </c>
      <c r="K1000" s="16" t="s">
        <v>45</v>
      </c>
      <c r="L1000" s="88"/>
      <c r="M1000" s="15"/>
      <c r="N1000" s="15" t="s">
        <v>1759</v>
      </c>
      <c r="O1000" s="15"/>
      <c r="P1000" s="16" t="s">
        <v>106</v>
      </c>
      <c r="Q1000" s="17">
        <v>5499</v>
      </c>
      <c r="R1000" s="18">
        <v>30</v>
      </c>
      <c r="S1000" s="19">
        <v>4426.6949999999997</v>
      </c>
      <c r="T1000" s="20" t="s">
        <v>99</v>
      </c>
      <c r="U1000" s="21" t="s">
        <v>40</v>
      </c>
      <c r="V1000" s="22" t="s">
        <v>41</v>
      </c>
      <c r="W1000" s="23">
        <v>3</v>
      </c>
      <c r="X1000" s="24"/>
    </row>
    <row r="1001" spans="1:24" s="1" customFormat="1" ht="26" customHeight="1" x14ac:dyDescent="0.3">
      <c r="A1001" s="25" t="s">
        <v>607</v>
      </c>
      <c r="B1001" s="25" t="s">
        <v>1756</v>
      </c>
      <c r="C1001" s="12" t="s">
        <v>1757</v>
      </c>
      <c r="D1001" s="87"/>
      <c r="E1001" s="67" t="str">
        <f>HYPERLINK("https://www.google.ru/search?q=811146-ROXU&amp;newwindow=1&amp;tbm=isch","Еще фото")</f>
        <v>Еще фото</v>
      </c>
      <c r="F1001" s="14"/>
      <c r="G1001" s="25" t="s">
        <v>315</v>
      </c>
      <c r="H1001" s="25" t="s">
        <v>27</v>
      </c>
      <c r="I1001" s="25" t="s">
        <v>316</v>
      </c>
      <c r="J1001" s="15" t="s">
        <v>360</v>
      </c>
      <c r="K1001" s="16" t="s">
        <v>45</v>
      </c>
      <c r="L1001" s="84"/>
      <c r="M1001" s="15"/>
      <c r="N1001" s="15" t="s">
        <v>1759</v>
      </c>
      <c r="O1001" s="15"/>
      <c r="P1001" s="16" t="s">
        <v>106</v>
      </c>
      <c r="Q1001" s="17">
        <v>5499</v>
      </c>
      <c r="R1001" s="18">
        <v>30</v>
      </c>
      <c r="S1001" s="19">
        <v>4426.6949999999997</v>
      </c>
      <c r="T1001" s="20" t="s">
        <v>99</v>
      </c>
      <c r="U1001" s="21" t="s">
        <v>42</v>
      </c>
      <c r="V1001" s="22" t="s">
        <v>43</v>
      </c>
      <c r="W1001" s="23">
        <v>1</v>
      </c>
      <c r="X1001" s="24"/>
    </row>
    <row r="1002" spans="1:24" s="1" customFormat="1" ht="52.05" customHeight="1" x14ac:dyDescent="0.3">
      <c r="A1002" s="11" t="s">
        <v>607</v>
      </c>
      <c r="B1002" s="11" t="s">
        <v>1723</v>
      </c>
      <c r="C1002" s="12" t="s">
        <v>1760</v>
      </c>
      <c r="D1002" s="81"/>
      <c r="E1002" s="67" t="str">
        <f>HYPERLINK("https://www.google.ru/search?q=811265-LL&amp;newwindow=1&amp;tbm=isch","Еще фото")</f>
        <v>Еще фото</v>
      </c>
      <c r="F1002" s="14"/>
      <c r="G1002" s="11" t="s">
        <v>315</v>
      </c>
      <c r="H1002" s="11" t="s">
        <v>27</v>
      </c>
      <c r="I1002" s="15" t="s">
        <v>316</v>
      </c>
      <c r="J1002" s="15" t="s">
        <v>360</v>
      </c>
      <c r="K1002" s="16" t="s">
        <v>45</v>
      </c>
      <c r="L1002" s="83" t="s">
        <v>1725</v>
      </c>
      <c r="M1002" s="15"/>
      <c r="N1002" s="15" t="s">
        <v>55</v>
      </c>
      <c r="O1002" s="15"/>
      <c r="P1002" s="16" t="s">
        <v>106</v>
      </c>
      <c r="Q1002" s="17">
        <v>5999</v>
      </c>
      <c r="R1002" s="18">
        <v>30</v>
      </c>
      <c r="S1002" s="19">
        <v>4829.1949999999997</v>
      </c>
      <c r="T1002" s="20" t="s">
        <v>99</v>
      </c>
      <c r="U1002" s="21" t="s">
        <v>34</v>
      </c>
      <c r="V1002" s="22" t="s">
        <v>35</v>
      </c>
      <c r="W1002" s="23">
        <v>1</v>
      </c>
      <c r="X1002" s="24"/>
    </row>
    <row r="1003" spans="1:24" s="1" customFormat="1" ht="61.05" customHeight="1" x14ac:dyDescent="0.3">
      <c r="A1003" s="25" t="s">
        <v>607</v>
      </c>
      <c r="B1003" s="25" t="s">
        <v>1723</v>
      </c>
      <c r="C1003" s="12" t="s">
        <v>1760</v>
      </c>
      <c r="D1003" s="82"/>
      <c r="E1003" s="67" t="str">
        <f>HYPERLINK("https://www.google.ru/search?q=811265-LL&amp;newwindow=1&amp;tbm=isch","Еще фото")</f>
        <v>Еще фото</v>
      </c>
      <c r="F1003" s="14"/>
      <c r="G1003" s="25" t="s">
        <v>315</v>
      </c>
      <c r="H1003" s="25" t="s">
        <v>27</v>
      </c>
      <c r="I1003" s="25" t="s">
        <v>316</v>
      </c>
      <c r="J1003" s="15" t="s">
        <v>360</v>
      </c>
      <c r="K1003" s="16" t="s">
        <v>45</v>
      </c>
      <c r="L1003" s="84"/>
      <c r="M1003" s="15"/>
      <c r="N1003" s="15" t="s">
        <v>55</v>
      </c>
      <c r="O1003" s="15"/>
      <c r="P1003" s="16" t="s">
        <v>106</v>
      </c>
      <c r="Q1003" s="17">
        <v>5999</v>
      </c>
      <c r="R1003" s="18">
        <v>30</v>
      </c>
      <c r="S1003" s="19">
        <v>4829.1949999999997</v>
      </c>
      <c r="T1003" s="20" t="s">
        <v>99</v>
      </c>
      <c r="U1003" s="21" t="s">
        <v>40</v>
      </c>
      <c r="V1003" s="22" t="s">
        <v>41</v>
      </c>
      <c r="W1003" s="23">
        <v>1</v>
      </c>
      <c r="X1003" s="24"/>
    </row>
    <row r="1004" spans="1:24" s="1" customFormat="1" ht="52.05" customHeight="1" x14ac:dyDescent="0.3">
      <c r="A1004" s="11" t="s">
        <v>607</v>
      </c>
      <c r="B1004" s="11" t="s">
        <v>1742</v>
      </c>
      <c r="C1004" s="12" t="s">
        <v>1761</v>
      </c>
      <c r="D1004" s="81"/>
      <c r="E1004" s="67" t="str">
        <f>HYPERLINK("https://www.google.ru/search?q=811395-TE&amp;newwindow=1&amp;tbm=isch","Еще фото")</f>
        <v>Еще фото</v>
      </c>
      <c r="F1004" s="14"/>
      <c r="G1004" s="11" t="s">
        <v>315</v>
      </c>
      <c r="H1004" s="11" t="s">
        <v>27</v>
      </c>
      <c r="I1004" s="15" t="s">
        <v>316</v>
      </c>
      <c r="J1004" s="15" t="s">
        <v>360</v>
      </c>
      <c r="K1004" s="16" t="s">
        <v>45</v>
      </c>
      <c r="L1004" s="83" t="s">
        <v>1744</v>
      </c>
      <c r="M1004" s="15"/>
      <c r="N1004" s="15" t="s">
        <v>31</v>
      </c>
      <c r="O1004" s="15"/>
      <c r="P1004" s="16" t="s">
        <v>1698</v>
      </c>
      <c r="Q1004" s="17">
        <v>5499</v>
      </c>
      <c r="R1004" s="18">
        <v>30</v>
      </c>
      <c r="S1004" s="19">
        <v>4426.6949999999997</v>
      </c>
      <c r="T1004" s="20" t="s">
        <v>99</v>
      </c>
      <c r="U1004" s="21" t="s">
        <v>34</v>
      </c>
      <c r="V1004" s="22" t="s">
        <v>35</v>
      </c>
      <c r="W1004" s="23">
        <v>3</v>
      </c>
      <c r="X1004" s="24"/>
    </row>
    <row r="1005" spans="1:24" s="1" customFormat="1" ht="61.05" customHeight="1" x14ac:dyDescent="0.3">
      <c r="A1005" s="25" t="s">
        <v>607</v>
      </c>
      <c r="B1005" s="25" t="s">
        <v>1742</v>
      </c>
      <c r="C1005" s="12" t="s">
        <v>1761</v>
      </c>
      <c r="D1005" s="82"/>
      <c r="E1005" s="67" t="str">
        <f>HYPERLINK("https://www.google.ru/search?q=811395-TE&amp;newwindow=1&amp;tbm=isch","Еще фото")</f>
        <v>Еще фото</v>
      </c>
      <c r="F1005" s="14"/>
      <c r="G1005" s="25" t="s">
        <v>315</v>
      </c>
      <c r="H1005" s="25" t="s">
        <v>27</v>
      </c>
      <c r="I1005" s="25" t="s">
        <v>316</v>
      </c>
      <c r="J1005" s="15" t="s">
        <v>360</v>
      </c>
      <c r="K1005" s="16" t="s">
        <v>45</v>
      </c>
      <c r="L1005" s="84"/>
      <c r="M1005" s="15"/>
      <c r="N1005" s="15" t="s">
        <v>31</v>
      </c>
      <c r="O1005" s="15"/>
      <c r="P1005" s="16" t="s">
        <v>1698</v>
      </c>
      <c r="Q1005" s="17">
        <v>5499</v>
      </c>
      <c r="R1005" s="18">
        <v>30</v>
      </c>
      <c r="S1005" s="19">
        <v>4426.6949999999997</v>
      </c>
      <c r="T1005" s="20" t="s">
        <v>99</v>
      </c>
      <c r="U1005" s="21" t="s">
        <v>52</v>
      </c>
      <c r="V1005" s="22" t="s">
        <v>53</v>
      </c>
      <c r="W1005" s="23">
        <v>1</v>
      </c>
      <c r="X1005" s="24"/>
    </row>
    <row r="1006" spans="1:24" s="1" customFormat="1" ht="52.05" customHeight="1" x14ac:dyDescent="0.3">
      <c r="A1006" s="11" t="s">
        <v>607</v>
      </c>
      <c r="B1006" s="11" t="s">
        <v>1742</v>
      </c>
      <c r="C1006" s="12" t="s">
        <v>1762</v>
      </c>
      <c r="D1006" s="81"/>
      <c r="E1006" s="67" t="str">
        <f>HYPERLINK("https://www.google.ru/search?q=811395-WH&amp;newwindow=1&amp;tbm=isch","Еще фото")</f>
        <v>Еще фото</v>
      </c>
      <c r="F1006" s="14"/>
      <c r="G1006" s="11" t="s">
        <v>315</v>
      </c>
      <c r="H1006" s="11" t="s">
        <v>27</v>
      </c>
      <c r="I1006" s="15" t="s">
        <v>316</v>
      </c>
      <c r="J1006" s="15" t="s">
        <v>360</v>
      </c>
      <c r="K1006" s="16" t="s">
        <v>45</v>
      </c>
      <c r="L1006" s="83" t="s">
        <v>1744</v>
      </c>
      <c r="M1006" s="15"/>
      <c r="N1006" s="15" t="s">
        <v>173</v>
      </c>
      <c r="O1006" s="15"/>
      <c r="P1006" s="16" t="s">
        <v>1698</v>
      </c>
      <c r="Q1006" s="17">
        <v>5499</v>
      </c>
      <c r="R1006" s="18">
        <v>30</v>
      </c>
      <c r="S1006" s="19">
        <v>4426.6949999999997</v>
      </c>
      <c r="T1006" s="20" t="s">
        <v>99</v>
      </c>
      <c r="U1006" s="21" t="s">
        <v>40</v>
      </c>
      <c r="V1006" s="22" t="s">
        <v>41</v>
      </c>
      <c r="W1006" s="23">
        <v>2</v>
      </c>
      <c r="X1006" s="24"/>
    </row>
    <row r="1007" spans="1:24" s="1" customFormat="1" ht="61.05" customHeight="1" x14ac:dyDescent="0.3">
      <c r="A1007" s="25" t="s">
        <v>607</v>
      </c>
      <c r="B1007" s="25" t="s">
        <v>1742</v>
      </c>
      <c r="C1007" s="12" t="s">
        <v>1762</v>
      </c>
      <c r="D1007" s="82"/>
      <c r="E1007" s="67" t="str">
        <f>HYPERLINK("https://www.google.ru/search?q=811395-WH&amp;newwindow=1&amp;tbm=isch","Еще фото")</f>
        <v>Еще фото</v>
      </c>
      <c r="F1007" s="14"/>
      <c r="G1007" s="25" t="s">
        <v>315</v>
      </c>
      <c r="H1007" s="25" t="s">
        <v>27</v>
      </c>
      <c r="I1007" s="25" t="s">
        <v>316</v>
      </c>
      <c r="J1007" s="15" t="s">
        <v>360</v>
      </c>
      <c r="K1007" s="16" t="s">
        <v>45</v>
      </c>
      <c r="L1007" s="84"/>
      <c r="M1007" s="15"/>
      <c r="N1007" s="15" t="s">
        <v>173</v>
      </c>
      <c r="O1007" s="15"/>
      <c r="P1007" s="16" t="s">
        <v>1698</v>
      </c>
      <c r="Q1007" s="17">
        <v>5499</v>
      </c>
      <c r="R1007" s="18">
        <v>30</v>
      </c>
      <c r="S1007" s="19">
        <v>4426.6949999999997</v>
      </c>
      <c r="T1007" s="20" t="s">
        <v>99</v>
      </c>
      <c r="U1007" s="21" t="s">
        <v>42</v>
      </c>
      <c r="V1007" s="22" t="s">
        <v>43</v>
      </c>
      <c r="W1007" s="23">
        <v>1</v>
      </c>
      <c r="X1007" s="24"/>
    </row>
    <row r="1008" spans="1:24" s="1" customFormat="1" ht="21" customHeight="1" x14ac:dyDescent="0.3">
      <c r="A1008" s="11" t="s">
        <v>607</v>
      </c>
      <c r="B1008" s="11" t="s">
        <v>1763</v>
      </c>
      <c r="C1008" s="27" t="s">
        <v>1764</v>
      </c>
      <c r="D1008" s="85"/>
      <c r="E1008" s="67" t="str">
        <f>HYPERLINK("https://www.google.ru/search?q=814206-APLB&amp;newwindow=1&amp;tbm=isch","Еще фото")</f>
        <v>Еще фото</v>
      </c>
      <c r="F1008" s="14"/>
      <c r="G1008" s="11" t="s">
        <v>315</v>
      </c>
      <c r="H1008" s="11" t="s">
        <v>27</v>
      </c>
      <c r="I1008" s="15" t="s">
        <v>316</v>
      </c>
      <c r="J1008" s="15" t="s">
        <v>360</v>
      </c>
      <c r="K1008" s="16" t="s">
        <v>29</v>
      </c>
      <c r="L1008" s="83" t="s">
        <v>1765</v>
      </c>
      <c r="M1008" s="15"/>
      <c r="N1008" s="15" t="s">
        <v>225</v>
      </c>
      <c r="O1008" s="15"/>
      <c r="P1008" s="16" t="s">
        <v>106</v>
      </c>
      <c r="Q1008" s="17">
        <v>6599</v>
      </c>
      <c r="R1008" s="18">
        <v>30</v>
      </c>
      <c r="S1008" s="19">
        <v>5312.1949999999997</v>
      </c>
      <c r="T1008" s="20" t="s">
        <v>99</v>
      </c>
      <c r="U1008" s="21" t="s">
        <v>442</v>
      </c>
      <c r="V1008" s="22" t="s">
        <v>35</v>
      </c>
      <c r="W1008" s="23">
        <v>1</v>
      </c>
      <c r="X1008" s="24"/>
    </row>
    <row r="1009" spans="1:24" s="1" customFormat="1" ht="21" customHeight="1" x14ac:dyDescent="0.3">
      <c r="A1009" s="25" t="s">
        <v>607</v>
      </c>
      <c r="B1009" s="25" t="s">
        <v>1763</v>
      </c>
      <c r="C1009" s="28" t="s">
        <v>1764</v>
      </c>
      <c r="D1009" s="86"/>
      <c r="E1009" s="67" t="str">
        <f>HYPERLINK("https://www.google.ru/search?q=814206-APLB&amp;newwindow=1&amp;tbm=isch","Еще фото")</f>
        <v>Еще фото</v>
      </c>
      <c r="F1009" s="14"/>
      <c r="G1009" s="25" t="s">
        <v>315</v>
      </c>
      <c r="H1009" s="25" t="s">
        <v>27</v>
      </c>
      <c r="I1009" s="25" t="s">
        <v>316</v>
      </c>
      <c r="J1009" s="15" t="s">
        <v>360</v>
      </c>
      <c r="K1009" s="16" t="s">
        <v>29</v>
      </c>
      <c r="L1009" s="88"/>
      <c r="M1009" s="15"/>
      <c r="N1009" s="15" t="s">
        <v>225</v>
      </c>
      <c r="O1009" s="15"/>
      <c r="P1009" s="16" t="s">
        <v>106</v>
      </c>
      <c r="Q1009" s="17">
        <v>6599</v>
      </c>
      <c r="R1009" s="18">
        <v>30</v>
      </c>
      <c r="S1009" s="19">
        <v>5312.1949999999997</v>
      </c>
      <c r="T1009" s="20" t="s">
        <v>99</v>
      </c>
      <c r="U1009" s="21" t="s">
        <v>34</v>
      </c>
      <c r="V1009" s="22" t="s">
        <v>53</v>
      </c>
      <c r="W1009" s="23">
        <v>4</v>
      </c>
      <c r="X1009" s="24"/>
    </row>
    <row r="1010" spans="1:24" s="1" customFormat="1" ht="21" customHeight="1" x14ac:dyDescent="0.3">
      <c r="A1010" s="25" t="s">
        <v>607</v>
      </c>
      <c r="B1010" s="25" t="s">
        <v>1763</v>
      </c>
      <c r="C1010" s="28" t="s">
        <v>1764</v>
      </c>
      <c r="D1010" s="86"/>
      <c r="E1010" s="67" t="str">
        <f>HYPERLINK("https://www.google.ru/search?q=814206-APLB&amp;newwindow=1&amp;tbm=isch","Еще фото")</f>
        <v>Еще фото</v>
      </c>
      <c r="F1010" s="14"/>
      <c r="G1010" s="25" t="s">
        <v>315</v>
      </c>
      <c r="H1010" s="25" t="s">
        <v>27</v>
      </c>
      <c r="I1010" s="25" t="s">
        <v>316</v>
      </c>
      <c r="J1010" s="15" t="s">
        <v>360</v>
      </c>
      <c r="K1010" s="16" t="s">
        <v>29</v>
      </c>
      <c r="L1010" s="88"/>
      <c r="M1010" s="15"/>
      <c r="N1010" s="15" t="s">
        <v>225</v>
      </c>
      <c r="O1010" s="15"/>
      <c r="P1010" s="16" t="s">
        <v>106</v>
      </c>
      <c r="Q1010" s="17">
        <v>6599</v>
      </c>
      <c r="R1010" s="18">
        <v>30</v>
      </c>
      <c r="S1010" s="19">
        <v>5312.1949999999997</v>
      </c>
      <c r="T1010" s="20" t="s">
        <v>99</v>
      </c>
      <c r="U1010" s="21" t="s">
        <v>52</v>
      </c>
      <c r="V1010" s="22" t="s">
        <v>41</v>
      </c>
      <c r="W1010" s="23">
        <v>7</v>
      </c>
      <c r="X1010" s="24"/>
    </row>
    <row r="1011" spans="1:24" s="1" customFormat="1" ht="21" customHeight="1" x14ac:dyDescent="0.3">
      <c r="A1011" s="25" t="s">
        <v>607</v>
      </c>
      <c r="B1011" s="25" t="s">
        <v>1763</v>
      </c>
      <c r="C1011" s="28" t="s">
        <v>1764</v>
      </c>
      <c r="D1011" s="86"/>
      <c r="E1011" s="67" t="str">
        <f>HYPERLINK("https://www.google.ru/search?q=814206-APLB&amp;newwindow=1&amp;tbm=isch","Еще фото")</f>
        <v>Еще фото</v>
      </c>
      <c r="F1011" s="14"/>
      <c r="G1011" s="25" t="s">
        <v>315</v>
      </c>
      <c r="H1011" s="25" t="s">
        <v>27</v>
      </c>
      <c r="I1011" s="25" t="s">
        <v>316</v>
      </c>
      <c r="J1011" s="15" t="s">
        <v>360</v>
      </c>
      <c r="K1011" s="16" t="s">
        <v>29</v>
      </c>
      <c r="L1011" s="88"/>
      <c r="M1011" s="15"/>
      <c r="N1011" s="15" t="s">
        <v>225</v>
      </c>
      <c r="O1011" s="15"/>
      <c r="P1011" s="16" t="s">
        <v>106</v>
      </c>
      <c r="Q1011" s="17">
        <v>6599</v>
      </c>
      <c r="R1011" s="18">
        <v>30</v>
      </c>
      <c r="S1011" s="19">
        <v>5312.1949999999997</v>
      </c>
      <c r="T1011" s="20" t="s">
        <v>99</v>
      </c>
      <c r="U1011" s="21" t="s">
        <v>40</v>
      </c>
      <c r="V1011" s="22" t="s">
        <v>43</v>
      </c>
      <c r="W1011" s="23">
        <v>4</v>
      </c>
      <c r="X1011" s="24"/>
    </row>
    <row r="1012" spans="1:24" s="1" customFormat="1" ht="32" customHeight="1" x14ac:dyDescent="0.3">
      <c r="A1012" s="25" t="s">
        <v>607</v>
      </c>
      <c r="B1012" s="25" t="s">
        <v>1763</v>
      </c>
      <c r="C1012" s="28" t="s">
        <v>1764</v>
      </c>
      <c r="D1012" s="87"/>
      <c r="E1012" s="67" t="str">
        <f>HYPERLINK("https://www.google.ru/search?q=814206-APLB&amp;newwindow=1&amp;tbm=isch","Еще фото")</f>
        <v>Еще фото</v>
      </c>
      <c r="F1012" s="14"/>
      <c r="G1012" s="25" t="s">
        <v>315</v>
      </c>
      <c r="H1012" s="25" t="s">
        <v>27</v>
      </c>
      <c r="I1012" s="25" t="s">
        <v>316</v>
      </c>
      <c r="J1012" s="15" t="s">
        <v>360</v>
      </c>
      <c r="K1012" s="16" t="s">
        <v>29</v>
      </c>
      <c r="L1012" s="84"/>
      <c r="M1012" s="15"/>
      <c r="N1012" s="15" t="s">
        <v>225</v>
      </c>
      <c r="O1012" s="15"/>
      <c r="P1012" s="16" t="s">
        <v>106</v>
      </c>
      <c r="Q1012" s="17">
        <v>6599</v>
      </c>
      <c r="R1012" s="18">
        <v>30</v>
      </c>
      <c r="S1012" s="19">
        <v>5312.1949999999997</v>
      </c>
      <c r="T1012" s="20" t="s">
        <v>99</v>
      </c>
      <c r="U1012" s="21" t="s">
        <v>42</v>
      </c>
      <c r="V1012" s="22" t="s">
        <v>48</v>
      </c>
      <c r="W1012" s="23">
        <v>2</v>
      </c>
      <c r="X1012" s="24"/>
    </row>
    <row r="1013" spans="1:24" s="1" customFormat="1" ht="26" customHeight="1" x14ac:dyDescent="0.3">
      <c r="A1013" s="11" t="s">
        <v>607</v>
      </c>
      <c r="B1013" s="11" t="s">
        <v>1763</v>
      </c>
      <c r="C1013" s="12" t="s">
        <v>1766</v>
      </c>
      <c r="D1013" s="85"/>
      <c r="E1013" s="67" t="str">
        <f>HYPERLINK("https://www.google.ru/search?q=814206-LBWH&amp;newwindow=1&amp;tbm=isch","Еще фото")</f>
        <v>Еще фото</v>
      </c>
      <c r="F1013" s="14"/>
      <c r="G1013" s="11" t="s">
        <v>315</v>
      </c>
      <c r="H1013" s="11" t="s">
        <v>27</v>
      </c>
      <c r="I1013" s="15" t="s">
        <v>316</v>
      </c>
      <c r="J1013" s="15" t="s">
        <v>360</v>
      </c>
      <c r="K1013" s="16" t="s">
        <v>29</v>
      </c>
      <c r="L1013" s="83" t="s">
        <v>1765</v>
      </c>
      <c r="M1013" s="15"/>
      <c r="N1013" s="15" t="s">
        <v>122</v>
      </c>
      <c r="O1013" s="15"/>
      <c r="P1013" s="16" t="s">
        <v>106</v>
      </c>
      <c r="Q1013" s="17">
        <v>6599</v>
      </c>
      <c r="R1013" s="18">
        <v>30</v>
      </c>
      <c r="S1013" s="19">
        <v>5312.1949999999997</v>
      </c>
      <c r="T1013" s="20" t="s">
        <v>99</v>
      </c>
      <c r="U1013" s="21" t="s">
        <v>442</v>
      </c>
      <c r="V1013" s="22" t="s">
        <v>35</v>
      </c>
      <c r="W1013" s="23">
        <v>1</v>
      </c>
      <c r="X1013" s="24"/>
    </row>
    <row r="1014" spans="1:24" s="1" customFormat="1" ht="26" customHeight="1" x14ac:dyDescent="0.3">
      <c r="A1014" s="25" t="s">
        <v>607</v>
      </c>
      <c r="B1014" s="25" t="s">
        <v>1763</v>
      </c>
      <c r="C1014" s="12" t="s">
        <v>1766</v>
      </c>
      <c r="D1014" s="86"/>
      <c r="E1014" s="67" t="str">
        <f>HYPERLINK("https://www.google.ru/search?q=814206-LBWH&amp;newwindow=1&amp;tbm=isch","Еще фото")</f>
        <v>Еще фото</v>
      </c>
      <c r="F1014" s="14"/>
      <c r="G1014" s="25" t="s">
        <v>315</v>
      </c>
      <c r="H1014" s="25" t="s">
        <v>27</v>
      </c>
      <c r="I1014" s="25" t="s">
        <v>316</v>
      </c>
      <c r="J1014" s="15" t="s">
        <v>360</v>
      </c>
      <c r="K1014" s="16" t="s">
        <v>29</v>
      </c>
      <c r="L1014" s="88"/>
      <c r="M1014" s="15"/>
      <c r="N1014" s="15" t="s">
        <v>122</v>
      </c>
      <c r="O1014" s="15"/>
      <c r="P1014" s="16" t="s">
        <v>106</v>
      </c>
      <c r="Q1014" s="17">
        <v>6599</v>
      </c>
      <c r="R1014" s="18">
        <v>30</v>
      </c>
      <c r="S1014" s="19">
        <v>5312.1949999999997</v>
      </c>
      <c r="T1014" s="20" t="s">
        <v>99</v>
      </c>
      <c r="U1014" s="21" t="s">
        <v>34</v>
      </c>
      <c r="V1014" s="22" t="s">
        <v>53</v>
      </c>
      <c r="W1014" s="23">
        <v>4</v>
      </c>
      <c r="X1014" s="24"/>
    </row>
    <row r="1015" spans="1:24" s="1" customFormat="1" ht="26" customHeight="1" x14ac:dyDescent="0.3">
      <c r="A1015" s="25" t="s">
        <v>607</v>
      </c>
      <c r="B1015" s="25" t="s">
        <v>1763</v>
      </c>
      <c r="C1015" s="12" t="s">
        <v>1766</v>
      </c>
      <c r="D1015" s="86"/>
      <c r="E1015" s="67" t="str">
        <f>HYPERLINK("https://www.google.ru/search?q=814206-LBWH&amp;newwindow=1&amp;tbm=isch","Еще фото")</f>
        <v>Еще фото</v>
      </c>
      <c r="F1015" s="14"/>
      <c r="G1015" s="25" t="s">
        <v>315</v>
      </c>
      <c r="H1015" s="25" t="s">
        <v>27</v>
      </c>
      <c r="I1015" s="25" t="s">
        <v>316</v>
      </c>
      <c r="J1015" s="15" t="s">
        <v>360</v>
      </c>
      <c r="K1015" s="16" t="s">
        <v>29</v>
      </c>
      <c r="L1015" s="88"/>
      <c r="M1015" s="15"/>
      <c r="N1015" s="15" t="s">
        <v>122</v>
      </c>
      <c r="O1015" s="15"/>
      <c r="P1015" s="16" t="s">
        <v>106</v>
      </c>
      <c r="Q1015" s="17">
        <v>6599</v>
      </c>
      <c r="R1015" s="18">
        <v>30</v>
      </c>
      <c r="S1015" s="19">
        <v>5312.1949999999997</v>
      </c>
      <c r="T1015" s="20" t="s">
        <v>99</v>
      </c>
      <c r="U1015" s="21" t="s">
        <v>52</v>
      </c>
      <c r="V1015" s="22" t="s">
        <v>41</v>
      </c>
      <c r="W1015" s="23">
        <v>7</v>
      </c>
      <c r="X1015" s="24"/>
    </row>
    <row r="1016" spans="1:24" s="1" customFormat="1" ht="26" customHeight="1" x14ac:dyDescent="0.3">
      <c r="A1016" s="25" t="s">
        <v>607</v>
      </c>
      <c r="B1016" s="25" t="s">
        <v>1763</v>
      </c>
      <c r="C1016" s="12" t="s">
        <v>1766</v>
      </c>
      <c r="D1016" s="87"/>
      <c r="E1016" s="67" t="str">
        <f>HYPERLINK("https://www.google.ru/search?q=814206-LBWH&amp;newwindow=1&amp;tbm=isch","Еще фото")</f>
        <v>Еще фото</v>
      </c>
      <c r="F1016" s="14"/>
      <c r="G1016" s="25" t="s">
        <v>315</v>
      </c>
      <c r="H1016" s="25" t="s">
        <v>27</v>
      </c>
      <c r="I1016" s="25" t="s">
        <v>316</v>
      </c>
      <c r="J1016" s="15" t="s">
        <v>360</v>
      </c>
      <c r="K1016" s="16" t="s">
        <v>29</v>
      </c>
      <c r="L1016" s="84"/>
      <c r="M1016" s="15"/>
      <c r="N1016" s="15" t="s">
        <v>122</v>
      </c>
      <c r="O1016" s="15"/>
      <c r="P1016" s="16" t="s">
        <v>106</v>
      </c>
      <c r="Q1016" s="17">
        <v>6599</v>
      </c>
      <c r="R1016" s="18">
        <v>30</v>
      </c>
      <c r="S1016" s="19">
        <v>5312.1949999999997</v>
      </c>
      <c r="T1016" s="20" t="s">
        <v>99</v>
      </c>
      <c r="U1016" s="21" t="s">
        <v>40</v>
      </c>
      <c r="V1016" s="22" t="s">
        <v>43</v>
      </c>
      <c r="W1016" s="23">
        <v>1</v>
      </c>
      <c r="X1016" s="24"/>
    </row>
    <row r="1017" spans="1:24" s="1" customFormat="1" ht="26" customHeight="1" x14ac:dyDescent="0.3">
      <c r="A1017" s="11" t="s">
        <v>607</v>
      </c>
      <c r="B1017" s="11" t="s">
        <v>1691</v>
      </c>
      <c r="C1017" s="12" t="s">
        <v>1767</v>
      </c>
      <c r="D1017" s="85"/>
      <c r="E1017" s="67" t="str">
        <f>HYPERLINK("https://www.google.ru/search?q=814226-APLB&amp;newwindow=1&amp;tbm=isch","Еще фото")</f>
        <v>Еще фото</v>
      </c>
      <c r="F1017" s="14"/>
      <c r="G1017" s="11" t="s">
        <v>1668</v>
      </c>
      <c r="H1017" s="11" t="s">
        <v>27</v>
      </c>
      <c r="I1017" s="15" t="s">
        <v>316</v>
      </c>
      <c r="J1017" s="15" t="s">
        <v>360</v>
      </c>
      <c r="K1017" s="16" t="s">
        <v>29</v>
      </c>
      <c r="L1017" s="83" t="s">
        <v>1768</v>
      </c>
      <c r="M1017" s="15"/>
      <c r="N1017" s="15" t="s">
        <v>225</v>
      </c>
      <c r="O1017" s="15"/>
      <c r="P1017" s="16" t="s">
        <v>106</v>
      </c>
      <c r="Q1017" s="17">
        <v>5999</v>
      </c>
      <c r="R1017" s="18">
        <v>30</v>
      </c>
      <c r="S1017" s="19">
        <v>4829.1949999999997</v>
      </c>
      <c r="T1017" s="20" t="s">
        <v>99</v>
      </c>
      <c r="U1017" s="21" t="s">
        <v>34</v>
      </c>
      <c r="V1017" s="22" t="s">
        <v>53</v>
      </c>
      <c r="W1017" s="23">
        <v>4</v>
      </c>
      <c r="X1017" s="24"/>
    </row>
    <row r="1018" spans="1:24" s="1" customFormat="1" ht="26" customHeight="1" x14ac:dyDescent="0.3">
      <c r="A1018" s="25" t="s">
        <v>607</v>
      </c>
      <c r="B1018" s="25" t="s">
        <v>1691</v>
      </c>
      <c r="C1018" s="12" t="s">
        <v>1767</v>
      </c>
      <c r="D1018" s="86"/>
      <c r="E1018" s="67" t="str">
        <f>HYPERLINK("https://www.google.ru/search?q=814226-APLB&amp;newwindow=1&amp;tbm=isch","Еще фото")</f>
        <v>Еще фото</v>
      </c>
      <c r="F1018" s="14"/>
      <c r="G1018" s="25" t="s">
        <v>1668</v>
      </c>
      <c r="H1018" s="25" t="s">
        <v>27</v>
      </c>
      <c r="I1018" s="25" t="s">
        <v>316</v>
      </c>
      <c r="J1018" s="15" t="s">
        <v>360</v>
      </c>
      <c r="K1018" s="16" t="s">
        <v>29</v>
      </c>
      <c r="L1018" s="88"/>
      <c r="M1018" s="15"/>
      <c r="N1018" s="15" t="s">
        <v>225</v>
      </c>
      <c r="O1018" s="15"/>
      <c r="P1018" s="16" t="s">
        <v>106</v>
      </c>
      <c r="Q1018" s="17">
        <v>5999</v>
      </c>
      <c r="R1018" s="18">
        <v>30</v>
      </c>
      <c r="S1018" s="19">
        <v>4829.1949999999997</v>
      </c>
      <c r="T1018" s="20" t="s">
        <v>99</v>
      </c>
      <c r="U1018" s="21" t="s">
        <v>52</v>
      </c>
      <c r="V1018" s="22" t="s">
        <v>41</v>
      </c>
      <c r="W1018" s="23">
        <v>7</v>
      </c>
      <c r="X1018" s="24"/>
    </row>
    <row r="1019" spans="1:24" s="1" customFormat="1" ht="26" customHeight="1" x14ac:dyDescent="0.3">
      <c r="A1019" s="25" t="s">
        <v>607</v>
      </c>
      <c r="B1019" s="25" t="s">
        <v>1691</v>
      </c>
      <c r="C1019" s="12" t="s">
        <v>1767</v>
      </c>
      <c r="D1019" s="86"/>
      <c r="E1019" s="67" t="str">
        <f>HYPERLINK("https://www.google.ru/search?q=814226-APLB&amp;newwindow=1&amp;tbm=isch","Еще фото")</f>
        <v>Еще фото</v>
      </c>
      <c r="F1019" s="14"/>
      <c r="G1019" s="25" t="s">
        <v>1668</v>
      </c>
      <c r="H1019" s="25" t="s">
        <v>27</v>
      </c>
      <c r="I1019" s="25" t="s">
        <v>316</v>
      </c>
      <c r="J1019" s="15" t="s">
        <v>360</v>
      </c>
      <c r="K1019" s="16" t="s">
        <v>29</v>
      </c>
      <c r="L1019" s="88"/>
      <c r="M1019" s="15"/>
      <c r="N1019" s="15" t="s">
        <v>225</v>
      </c>
      <c r="O1019" s="15"/>
      <c r="P1019" s="16" t="s">
        <v>106</v>
      </c>
      <c r="Q1019" s="17">
        <v>5999</v>
      </c>
      <c r="R1019" s="18">
        <v>30</v>
      </c>
      <c r="S1019" s="19">
        <v>4829.1949999999997</v>
      </c>
      <c r="T1019" s="20" t="s">
        <v>99</v>
      </c>
      <c r="U1019" s="21" t="s">
        <v>40</v>
      </c>
      <c r="V1019" s="22" t="s">
        <v>43</v>
      </c>
      <c r="W1019" s="23">
        <v>4</v>
      </c>
      <c r="X1019" s="24"/>
    </row>
    <row r="1020" spans="1:24" s="1" customFormat="1" ht="26" customHeight="1" x14ac:dyDescent="0.3">
      <c r="A1020" s="25" t="s">
        <v>607</v>
      </c>
      <c r="B1020" s="25" t="s">
        <v>1691</v>
      </c>
      <c r="C1020" s="12" t="s">
        <v>1767</v>
      </c>
      <c r="D1020" s="87"/>
      <c r="E1020" s="67" t="str">
        <f>HYPERLINK("https://www.google.ru/search?q=814226-APLB&amp;newwindow=1&amp;tbm=isch","Еще фото")</f>
        <v>Еще фото</v>
      </c>
      <c r="F1020" s="14"/>
      <c r="G1020" s="25" t="s">
        <v>1668</v>
      </c>
      <c r="H1020" s="25" t="s">
        <v>27</v>
      </c>
      <c r="I1020" s="25" t="s">
        <v>316</v>
      </c>
      <c r="J1020" s="15" t="s">
        <v>360</v>
      </c>
      <c r="K1020" s="16" t="s">
        <v>29</v>
      </c>
      <c r="L1020" s="84"/>
      <c r="M1020" s="15"/>
      <c r="N1020" s="15" t="s">
        <v>225</v>
      </c>
      <c r="O1020" s="15"/>
      <c r="P1020" s="16" t="s">
        <v>106</v>
      </c>
      <c r="Q1020" s="17">
        <v>5999</v>
      </c>
      <c r="R1020" s="18">
        <v>30</v>
      </c>
      <c r="S1020" s="19">
        <v>4829.1949999999997</v>
      </c>
      <c r="T1020" s="20" t="s">
        <v>99</v>
      </c>
      <c r="U1020" s="21" t="s">
        <v>42</v>
      </c>
      <c r="V1020" s="22" t="s">
        <v>48</v>
      </c>
      <c r="W1020" s="23">
        <v>2</v>
      </c>
      <c r="X1020" s="24"/>
    </row>
    <row r="1021" spans="1:24" s="1" customFormat="1" ht="21" customHeight="1" x14ac:dyDescent="0.3">
      <c r="A1021" s="11" t="s">
        <v>607</v>
      </c>
      <c r="B1021" s="11" t="s">
        <v>1691</v>
      </c>
      <c r="C1021" s="27" t="s">
        <v>1769</v>
      </c>
      <c r="D1021" s="85"/>
      <c r="E1021" s="67" t="str">
        <f>HYPERLINK("https://www.google.ru/search?q=814226-LBWH&amp;newwindow=1&amp;tbm=isch","Еще фото")</f>
        <v>Еще фото</v>
      </c>
      <c r="F1021" s="14"/>
      <c r="G1021" s="11" t="s">
        <v>1668</v>
      </c>
      <c r="H1021" s="11" t="s">
        <v>27</v>
      </c>
      <c r="I1021" s="15" t="s">
        <v>316</v>
      </c>
      <c r="J1021" s="15" t="s">
        <v>360</v>
      </c>
      <c r="K1021" s="16" t="s">
        <v>29</v>
      </c>
      <c r="L1021" s="83" t="s">
        <v>1768</v>
      </c>
      <c r="M1021" s="15"/>
      <c r="N1021" s="15" t="s">
        <v>122</v>
      </c>
      <c r="O1021" s="15"/>
      <c r="P1021" s="16" t="s">
        <v>106</v>
      </c>
      <c r="Q1021" s="17">
        <v>5999</v>
      </c>
      <c r="R1021" s="18">
        <v>30</v>
      </c>
      <c r="S1021" s="19">
        <v>4829.1949999999997</v>
      </c>
      <c r="T1021" s="20" t="s">
        <v>99</v>
      </c>
      <c r="U1021" s="21" t="s">
        <v>442</v>
      </c>
      <c r="V1021" s="22" t="s">
        <v>35</v>
      </c>
      <c r="W1021" s="23">
        <v>1</v>
      </c>
      <c r="X1021" s="24"/>
    </row>
    <row r="1022" spans="1:24" s="1" customFormat="1" ht="21" customHeight="1" x14ac:dyDescent="0.3">
      <c r="A1022" s="25" t="s">
        <v>607</v>
      </c>
      <c r="B1022" s="25" t="s">
        <v>1691</v>
      </c>
      <c r="C1022" s="28" t="s">
        <v>1769</v>
      </c>
      <c r="D1022" s="86"/>
      <c r="E1022" s="67" t="str">
        <f>HYPERLINK("https://www.google.ru/search?q=814226-LBWH&amp;newwindow=1&amp;tbm=isch","Еще фото")</f>
        <v>Еще фото</v>
      </c>
      <c r="F1022" s="14"/>
      <c r="G1022" s="25" t="s">
        <v>1668</v>
      </c>
      <c r="H1022" s="25" t="s">
        <v>27</v>
      </c>
      <c r="I1022" s="25" t="s">
        <v>316</v>
      </c>
      <c r="J1022" s="15" t="s">
        <v>360</v>
      </c>
      <c r="K1022" s="16" t="s">
        <v>29</v>
      </c>
      <c r="L1022" s="88"/>
      <c r="M1022" s="15"/>
      <c r="N1022" s="15" t="s">
        <v>122</v>
      </c>
      <c r="O1022" s="15"/>
      <c r="P1022" s="16" t="s">
        <v>106</v>
      </c>
      <c r="Q1022" s="17">
        <v>5999</v>
      </c>
      <c r="R1022" s="18">
        <v>30</v>
      </c>
      <c r="S1022" s="19">
        <v>4829.1949999999997</v>
      </c>
      <c r="T1022" s="20" t="s">
        <v>99</v>
      </c>
      <c r="U1022" s="21" t="s">
        <v>34</v>
      </c>
      <c r="V1022" s="22" t="s">
        <v>53</v>
      </c>
      <c r="W1022" s="23">
        <v>2</v>
      </c>
      <c r="X1022" s="24"/>
    </row>
    <row r="1023" spans="1:24" s="1" customFormat="1" ht="21" customHeight="1" x14ac:dyDescent="0.3">
      <c r="A1023" s="25" t="s">
        <v>607</v>
      </c>
      <c r="B1023" s="25" t="s">
        <v>1691</v>
      </c>
      <c r="C1023" s="28" t="s">
        <v>1769</v>
      </c>
      <c r="D1023" s="86"/>
      <c r="E1023" s="67" t="str">
        <f>HYPERLINK("https://www.google.ru/search?q=814226-LBWH&amp;newwindow=1&amp;tbm=isch","Еще фото")</f>
        <v>Еще фото</v>
      </c>
      <c r="F1023" s="14"/>
      <c r="G1023" s="25" t="s">
        <v>1668</v>
      </c>
      <c r="H1023" s="25" t="s">
        <v>27</v>
      </c>
      <c r="I1023" s="25" t="s">
        <v>316</v>
      </c>
      <c r="J1023" s="15" t="s">
        <v>360</v>
      </c>
      <c r="K1023" s="16" t="s">
        <v>29</v>
      </c>
      <c r="L1023" s="88"/>
      <c r="M1023" s="15"/>
      <c r="N1023" s="15" t="s">
        <v>122</v>
      </c>
      <c r="O1023" s="15"/>
      <c r="P1023" s="16" t="s">
        <v>106</v>
      </c>
      <c r="Q1023" s="17">
        <v>5999</v>
      </c>
      <c r="R1023" s="18">
        <v>30</v>
      </c>
      <c r="S1023" s="19">
        <v>4829.1949999999997</v>
      </c>
      <c r="T1023" s="20" t="s">
        <v>99</v>
      </c>
      <c r="U1023" s="21" t="s">
        <v>52</v>
      </c>
      <c r="V1023" s="22" t="s">
        <v>41</v>
      </c>
      <c r="W1023" s="23">
        <v>7</v>
      </c>
      <c r="X1023" s="24"/>
    </row>
    <row r="1024" spans="1:24" s="1" customFormat="1" ht="21" customHeight="1" x14ac:dyDescent="0.3">
      <c r="A1024" s="25" t="s">
        <v>607</v>
      </c>
      <c r="B1024" s="25" t="s">
        <v>1691</v>
      </c>
      <c r="C1024" s="28" t="s">
        <v>1769</v>
      </c>
      <c r="D1024" s="86"/>
      <c r="E1024" s="67" t="str">
        <f>HYPERLINK("https://www.google.ru/search?q=814226-LBWH&amp;newwindow=1&amp;tbm=isch","Еще фото")</f>
        <v>Еще фото</v>
      </c>
      <c r="F1024" s="14"/>
      <c r="G1024" s="25" t="s">
        <v>1668</v>
      </c>
      <c r="H1024" s="25" t="s">
        <v>27</v>
      </c>
      <c r="I1024" s="25" t="s">
        <v>316</v>
      </c>
      <c r="J1024" s="15" t="s">
        <v>360</v>
      </c>
      <c r="K1024" s="16" t="s">
        <v>29</v>
      </c>
      <c r="L1024" s="88"/>
      <c r="M1024" s="15"/>
      <c r="N1024" s="15" t="s">
        <v>122</v>
      </c>
      <c r="O1024" s="15"/>
      <c r="P1024" s="16" t="s">
        <v>106</v>
      </c>
      <c r="Q1024" s="17">
        <v>5999</v>
      </c>
      <c r="R1024" s="18">
        <v>30</v>
      </c>
      <c r="S1024" s="19">
        <v>4829.1949999999997</v>
      </c>
      <c r="T1024" s="20" t="s">
        <v>99</v>
      </c>
      <c r="U1024" s="21" t="s">
        <v>40</v>
      </c>
      <c r="V1024" s="22" t="s">
        <v>43</v>
      </c>
      <c r="W1024" s="23">
        <v>3</v>
      </c>
      <c r="X1024" s="24"/>
    </row>
    <row r="1025" spans="1:24" s="1" customFormat="1" ht="32" customHeight="1" x14ac:dyDescent="0.3">
      <c r="A1025" s="25" t="s">
        <v>607</v>
      </c>
      <c r="B1025" s="25" t="s">
        <v>1691</v>
      </c>
      <c r="C1025" s="28" t="s">
        <v>1769</v>
      </c>
      <c r="D1025" s="87"/>
      <c r="E1025" s="67" t="str">
        <f>HYPERLINK("https://www.google.ru/search?q=814226-LBWH&amp;newwindow=1&amp;tbm=isch","Еще фото")</f>
        <v>Еще фото</v>
      </c>
      <c r="F1025" s="14"/>
      <c r="G1025" s="25" t="s">
        <v>1668</v>
      </c>
      <c r="H1025" s="25" t="s">
        <v>27</v>
      </c>
      <c r="I1025" s="25" t="s">
        <v>316</v>
      </c>
      <c r="J1025" s="15" t="s">
        <v>360</v>
      </c>
      <c r="K1025" s="16" t="s">
        <v>29</v>
      </c>
      <c r="L1025" s="84"/>
      <c r="M1025" s="15"/>
      <c r="N1025" s="15" t="s">
        <v>122</v>
      </c>
      <c r="O1025" s="15"/>
      <c r="P1025" s="16" t="s">
        <v>106</v>
      </c>
      <c r="Q1025" s="17">
        <v>5999</v>
      </c>
      <c r="R1025" s="18">
        <v>30</v>
      </c>
      <c r="S1025" s="19">
        <v>4829.1949999999997</v>
      </c>
      <c r="T1025" s="20" t="s">
        <v>99</v>
      </c>
      <c r="U1025" s="21" t="s">
        <v>42</v>
      </c>
      <c r="V1025" s="22" t="s">
        <v>48</v>
      </c>
      <c r="W1025" s="23">
        <v>1</v>
      </c>
      <c r="X1025" s="24"/>
    </row>
    <row r="1026" spans="1:24" s="1" customFormat="1" ht="35" customHeight="1" x14ac:dyDescent="0.3">
      <c r="A1026" s="11" t="s">
        <v>607</v>
      </c>
      <c r="B1026" s="11" t="s">
        <v>1691</v>
      </c>
      <c r="C1026" s="12" t="s">
        <v>1770</v>
      </c>
      <c r="D1026" s="85"/>
      <c r="E1026" s="67" t="str">
        <f>HYPERLINK("https://www.google.ru/search?q=814236-APXW&amp;newwindow=1&amp;tbm=isch","Еще фото")</f>
        <v>Еще фото</v>
      </c>
      <c r="F1026" s="14"/>
      <c r="G1026" s="11" t="s">
        <v>1668</v>
      </c>
      <c r="H1026" s="11" t="s">
        <v>27</v>
      </c>
      <c r="I1026" s="15" t="s">
        <v>316</v>
      </c>
      <c r="J1026" s="15" t="s">
        <v>360</v>
      </c>
      <c r="K1026" s="16" t="s">
        <v>29</v>
      </c>
      <c r="L1026" s="83" t="s">
        <v>1768</v>
      </c>
      <c r="M1026" s="15"/>
      <c r="N1026" s="15" t="s">
        <v>173</v>
      </c>
      <c r="O1026" s="15"/>
      <c r="P1026" s="16" t="s">
        <v>106</v>
      </c>
      <c r="Q1026" s="17">
        <v>5999</v>
      </c>
      <c r="R1026" s="18">
        <v>30</v>
      </c>
      <c r="S1026" s="19">
        <v>4829.1949999999997</v>
      </c>
      <c r="T1026" s="20" t="s">
        <v>99</v>
      </c>
      <c r="U1026" s="21" t="s">
        <v>52</v>
      </c>
      <c r="V1026" s="22" t="s">
        <v>41</v>
      </c>
      <c r="W1026" s="23">
        <v>6</v>
      </c>
      <c r="X1026" s="24"/>
    </row>
    <row r="1027" spans="1:24" s="1" customFormat="1" ht="35" customHeight="1" x14ac:dyDescent="0.3">
      <c r="A1027" s="25" t="s">
        <v>607</v>
      </c>
      <c r="B1027" s="25" t="s">
        <v>1691</v>
      </c>
      <c r="C1027" s="12" t="s">
        <v>1770</v>
      </c>
      <c r="D1027" s="86"/>
      <c r="E1027" s="67" t="str">
        <f>HYPERLINK("https://www.google.ru/search?q=814236-APXW&amp;newwindow=1&amp;tbm=isch","Еще фото")</f>
        <v>Еще фото</v>
      </c>
      <c r="F1027" s="14"/>
      <c r="G1027" s="25" t="s">
        <v>1668</v>
      </c>
      <c r="H1027" s="25" t="s">
        <v>27</v>
      </c>
      <c r="I1027" s="25" t="s">
        <v>316</v>
      </c>
      <c r="J1027" s="15" t="s">
        <v>360</v>
      </c>
      <c r="K1027" s="16" t="s">
        <v>29</v>
      </c>
      <c r="L1027" s="88"/>
      <c r="M1027" s="15"/>
      <c r="N1027" s="15" t="s">
        <v>173</v>
      </c>
      <c r="O1027" s="15"/>
      <c r="P1027" s="16" t="s">
        <v>106</v>
      </c>
      <c r="Q1027" s="17">
        <v>5999</v>
      </c>
      <c r="R1027" s="18">
        <v>30</v>
      </c>
      <c r="S1027" s="19">
        <v>4829.1949999999997</v>
      </c>
      <c r="T1027" s="20" t="s">
        <v>99</v>
      </c>
      <c r="U1027" s="21" t="s">
        <v>40</v>
      </c>
      <c r="V1027" s="22" t="s">
        <v>43</v>
      </c>
      <c r="W1027" s="23">
        <v>3</v>
      </c>
      <c r="X1027" s="24"/>
    </row>
    <row r="1028" spans="1:24" s="1" customFormat="1" ht="37.049999999999997" customHeight="1" x14ac:dyDescent="0.3">
      <c r="A1028" s="25" t="s">
        <v>607</v>
      </c>
      <c r="B1028" s="25" t="s">
        <v>1691</v>
      </c>
      <c r="C1028" s="12" t="s">
        <v>1770</v>
      </c>
      <c r="D1028" s="87"/>
      <c r="E1028" s="67" t="str">
        <f>HYPERLINK("https://www.google.ru/search?q=814236-APXW&amp;newwindow=1&amp;tbm=isch","Еще фото")</f>
        <v>Еще фото</v>
      </c>
      <c r="F1028" s="14"/>
      <c r="G1028" s="25" t="s">
        <v>1668</v>
      </c>
      <c r="H1028" s="25" t="s">
        <v>27</v>
      </c>
      <c r="I1028" s="25" t="s">
        <v>316</v>
      </c>
      <c r="J1028" s="15" t="s">
        <v>360</v>
      </c>
      <c r="K1028" s="16" t="s">
        <v>29</v>
      </c>
      <c r="L1028" s="84"/>
      <c r="M1028" s="15"/>
      <c r="N1028" s="15" t="s">
        <v>173</v>
      </c>
      <c r="O1028" s="15"/>
      <c r="P1028" s="16" t="s">
        <v>106</v>
      </c>
      <c r="Q1028" s="17">
        <v>5999</v>
      </c>
      <c r="R1028" s="18">
        <v>30</v>
      </c>
      <c r="S1028" s="19">
        <v>4829.1949999999997</v>
      </c>
      <c r="T1028" s="20" t="s">
        <v>99</v>
      </c>
      <c r="U1028" s="21" t="s">
        <v>42</v>
      </c>
      <c r="V1028" s="22" t="s">
        <v>48</v>
      </c>
      <c r="W1028" s="23">
        <v>2</v>
      </c>
      <c r="X1028" s="24"/>
    </row>
    <row r="1029" spans="1:24" s="1" customFormat="1" ht="108" customHeight="1" x14ac:dyDescent="0.3">
      <c r="A1029" s="11" t="s">
        <v>607</v>
      </c>
      <c r="B1029" s="11" t="s">
        <v>1659</v>
      </c>
      <c r="C1029" s="12" t="s">
        <v>1771</v>
      </c>
      <c r="D1029" s="13"/>
      <c r="E1029" s="67" t="str">
        <f>HYPERLINK("https://www.google.ru/search?q=814431-WH&amp;newwindow=1&amp;tbm=isch","Еще фото")</f>
        <v>Еще фото</v>
      </c>
      <c r="F1029" s="14"/>
      <c r="G1029" s="11" t="s">
        <v>315</v>
      </c>
      <c r="H1029" s="11" t="s">
        <v>27</v>
      </c>
      <c r="I1029" s="15" t="s">
        <v>316</v>
      </c>
      <c r="J1029" s="15" t="s">
        <v>360</v>
      </c>
      <c r="K1029" s="16" t="s">
        <v>29</v>
      </c>
      <c r="L1029" s="15" t="s">
        <v>1661</v>
      </c>
      <c r="M1029" s="15"/>
      <c r="N1029" s="15" t="s">
        <v>173</v>
      </c>
      <c r="O1029" s="15"/>
      <c r="P1029" s="16" t="s">
        <v>1662</v>
      </c>
      <c r="Q1029" s="17">
        <v>4299</v>
      </c>
      <c r="R1029" s="18">
        <v>30</v>
      </c>
      <c r="S1029" s="19">
        <v>3460.6950000000002</v>
      </c>
      <c r="T1029" s="20" t="s">
        <v>99</v>
      </c>
      <c r="U1029" s="21" t="s">
        <v>34</v>
      </c>
      <c r="V1029" s="22" t="s">
        <v>53</v>
      </c>
      <c r="W1029" s="23">
        <v>3</v>
      </c>
      <c r="X1029" s="24"/>
    </row>
    <row r="1030" spans="1:24" s="1" customFormat="1" ht="35" customHeight="1" x14ac:dyDescent="0.3">
      <c r="A1030" s="11" t="s">
        <v>607</v>
      </c>
      <c r="B1030" s="11" t="s">
        <v>1772</v>
      </c>
      <c r="C1030" s="12" t="s">
        <v>1773</v>
      </c>
      <c r="D1030" s="85"/>
      <c r="E1030" s="67" t="str">
        <f>HYPERLINK("https://www.google.ru/search?q=814516-AP&amp;newwindow=1&amp;tbm=isch","Еще фото")</f>
        <v>Еще фото</v>
      </c>
      <c r="F1030" s="14"/>
      <c r="G1030" s="11" t="s">
        <v>1668</v>
      </c>
      <c r="H1030" s="11" t="s">
        <v>27</v>
      </c>
      <c r="I1030" s="15" t="s">
        <v>316</v>
      </c>
      <c r="J1030" s="15" t="s">
        <v>360</v>
      </c>
      <c r="K1030" s="16" t="s">
        <v>29</v>
      </c>
      <c r="L1030" s="83" t="s">
        <v>1774</v>
      </c>
      <c r="M1030" s="15"/>
      <c r="N1030" s="15" t="s">
        <v>225</v>
      </c>
      <c r="O1030" s="15"/>
      <c r="P1030" s="16" t="s">
        <v>106</v>
      </c>
      <c r="Q1030" s="17">
        <v>5999</v>
      </c>
      <c r="R1030" s="18">
        <v>30</v>
      </c>
      <c r="S1030" s="19">
        <v>4829.1949999999997</v>
      </c>
      <c r="T1030" s="20" t="s">
        <v>99</v>
      </c>
      <c r="U1030" s="21" t="s">
        <v>34</v>
      </c>
      <c r="V1030" s="22" t="s">
        <v>53</v>
      </c>
      <c r="W1030" s="23">
        <v>6</v>
      </c>
      <c r="X1030" s="24"/>
    </row>
    <row r="1031" spans="1:24" s="1" customFormat="1" ht="35" customHeight="1" x14ac:dyDescent="0.3">
      <c r="A1031" s="25" t="s">
        <v>607</v>
      </c>
      <c r="B1031" s="25" t="s">
        <v>1772</v>
      </c>
      <c r="C1031" s="12" t="s">
        <v>1773</v>
      </c>
      <c r="D1031" s="86"/>
      <c r="E1031" s="67" t="str">
        <f>HYPERLINK("https://www.google.ru/search?q=814516-AP&amp;newwindow=1&amp;tbm=isch","Еще фото")</f>
        <v>Еще фото</v>
      </c>
      <c r="F1031" s="14"/>
      <c r="G1031" s="25" t="s">
        <v>1668</v>
      </c>
      <c r="H1031" s="25" t="s">
        <v>27</v>
      </c>
      <c r="I1031" s="25" t="s">
        <v>316</v>
      </c>
      <c r="J1031" s="15" t="s">
        <v>360</v>
      </c>
      <c r="K1031" s="16" t="s">
        <v>29</v>
      </c>
      <c r="L1031" s="88"/>
      <c r="M1031" s="15"/>
      <c r="N1031" s="15" t="s">
        <v>225</v>
      </c>
      <c r="O1031" s="15"/>
      <c r="P1031" s="16" t="s">
        <v>106</v>
      </c>
      <c r="Q1031" s="17">
        <v>5999</v>
      </c>
      <c r="R1031" s="18">
        <v>30</v>
      </c>
      <c r="S1031" s="19">
        <v>4829.1949999999997</v>
      </c>
      <c r="T1031" s="20" t="s">
        <v>99</v>
      </c>
      <c r="U1031" s="21" t="s">
        <v>52</v>
      </c>
      <c r="V1031" s="22" t="s">
        <v>41</v>
      </c>
      <c r="W1031" s="23">
        <v>3</v>
      </c>
      <c r="X1031" s="24"/>
    </row>
    <row r="1032" spans="1:24" s="1" customFormat="1" ht="37.049999999999997" customHeight="1" x14ac:dyDescent="0.3">
      <c r="A1032" s="25" t="s">
        <v>607</v>
      </c>
      <c r="B1032" s="25" t="s">
        <v>1772</v>
      </c>
      <c r="C1032" s="12" t="s">
        <v>1773</v>
      </c>
      <c r="D1032" s="87"/>
      <c r="E1032" s="67" t="str">
        <f>HYPERLINK("https://www.google.ru/search?q=814516-AP&amp;newwindow=1&amp;tbm=isch","Еще фото")</f>
        <v>Еще фото</v>
      </c>
      <c r="F1032" s="14"/>
      <c r="G1032" s="25" t="s">
        <v>1668</v>
      </c>
      <c r="H1032" s="25" t="s">
        <v>27</v>
      </c>
      <c r="I1032" s="25" t="s">
        <v>316</v>
      </c>
      <c r="J1032" s="15" t="s">
        <v>360</v>
      </c>
      <c r="K1032" s="16" t="s">
        <v>29</v>
      </c>
      <c r="L1032" s="84"/>
      <c r="M1032" s="15"/>
      <c r="N1032" s="15" t="s">
        <v>225</v>
      </c>
      <c r="O1032" s="15"/>
      <c r="P1032" s="16" t="s">
        <v>106</v>
      </c>
      <c r="Q1032" s="17">
        <v>5999</v>
      </c>
      <c r="R1032" s="18">
        <v>30</v>
      </c>
      <c r="S1032" s="19">
        <v>4829.1949999999997</v>
      </c>
      <c r="T1032" s="20" t="s">
        <v>99</v>
      </c>
      <c r="U1032" s="21" t="s">
        <v>40</v>
      </c>
      <c r="V1032" s="22" t="s">
        <v>43</v>
      </c>
      <c r="W1032" s="23">
        <v>2</v>
      </c>
      <c r="X1032" s="24"/>
    </row>
    <row r="1033" spans="1:24" s="1" customFormat="1" ht="35" customHeight="1" x14ac:dyDescent="0.3">
      <c r="A1033" s="11" t="s">
        <v>607</v>
      </c>
      <c r="B1033" s="11" t="s">
        <v>1772</v>
      </c>
      <c r="C1033" s="12" t="s">
        <v>1775</v>
      </c>
      <c r="D1033" s="85"/>
      <c r="E1033" s="67" t="str">
        <f>HYPERLINK("https://www.google.ru/search?q=814516-WH&amp;newwindow=1&amp;tbm=isch","Еще фото")</f>
        <v>Еще фото</v>
      </c>
      <c r="F1033" s="14"/>
      <c r="G1033" s="11" t="s">
        <v>1668</v>
      </c>
      <c r="H1033" s="11" t="s">
        <v>27</v>
      </c>
      <c r="I1033" s="15" t="s">
        <v>316</v>
      </c>
      <c r="J1033" s="15" t="s">
        <v>360</v>
      </c>
      <c r="K1033" s="16" t="s">
        <v>29</v>
      </c>
      <c r="L1033" s="83" t="s">
        <v>1774</v>
      </c>
      <c r="M1033" s="15"/>
      <c r="N1033" s="15" t="s">
        <v>173</v>
      </c>
      <c r="O1033" s="15"/>
      <c r="P1033" s="16" t="s">
        <v>106</v>
      </c>
      <c r="Q1033" s="17">
        <v>5999</v>
      </c>
      <c r="R1033" s="18">
        <v>30</v>
      </c>
      <c r="S1033" s="19">
        <v>4829.1949999999997</v>
      </c>
      <c r="T1033" s="20" t="s">
        <v>99</v>
      </c>
      <c r="U1033" s="21" t="s">
        <v>34</v>
      </c>
      <c r="V1033" s="22" t="s">
        <v>53</v>
      </c>
      <c r="W1033" s="23">
        <v>4</v>
      </c>
      <c r="X1033" s="24"/>
    </row>
    <row r="1034" spans="1:24" s="1" customFormat="1" ht="35" customHeight="1" x14ac:dyDescent="0.3">
      <c r="A1034" s="25" t="s">
        <v>607</v>
      </c>
      <c r="B1034" s="25" t="s">
        <v>1772</v>
      </c>
      <c r="C1034" s="12" t="s">
        <v>1775</v>
      </c>
      <c r="D1034" s="86"/>
      <c r="E1034" s="67" t="str">
        <f>HYPERLINK("https://www.google.ru/search?q=814516-WH&amp;newwindow=1&amp;tbm=isch","Еще фото")</f>
        <v>Еще фото</v>
      </c>
      <c r="F1034" s="14"/>
      <c r="G1034" s="25" t="s">
        <v>1668</v>
      </c>
      <c r="H1034" s="25" t="s">
        <v>27</v>
      </c>
      <c r="I1034" s="25" t="s">
        <v>316</v>
      </c>
      <c r="J1034" s="15" t="s">
        <v>360</v>
      </c>
      <c r="K1034" s="16" t="s">
        <v>29</v>
      </c>
      <c r="L1034" s="88"/>
      <c r="M1034" s="15"/>
      <c r="N1034" s="15" t="s">
        <v>173</v>
      </c>
      <c r="O1034" s="15"/>
      <c r="P1034" s="16" t="s">
        <v>106</v>
      </c>
      <c r="Q1034" s="17">
        <v>5999</v>
      </c>
      <c r="R1034" s="18">
        <v>30</v>
      </c>
      <c r="S1034" s="19">
        <v>4829.1949999999997</v>
      </c>
      <c r="T1034" s="20" t="s">
        <v>99</v>
      </c>
      <c r="U1034" s="21" t="s">
        <v>52</v>
      </c>
      <c r="V1034" s="22" t="s">
        <v>41</v>
      </c>
      <c r="W1034" s="23">
        <v>3</v>
      </c>
      <c r="X1034" s="24"/>
    </row>
    <row r="1035" spans="1:24" s="1" customFormat="1" ht="37.049999999999997" customHeight="1" x14ac:dyDescent="0.3">
      <c r="A1035" s="25" t="s">
        <v>607</v>
      </c>
      <c r="B1035" s="25" t="s">
        <v>1772</v>
      </c>
      <c r="C1035" s="12" t="s">
        <v>1775</v>
      </c>
      <c r="D1035" s="87"/>
      <c r="E1035" s="67" t="str">
        <f>HYPERLINK("https://www.google.ru/search?q=814516-WH&amp;newwindow=1&amp;tbm=isch","Еще фото")</f>
        <v>Еще фото</v>
      </c>
      <c r="F1035" s="14"/>
      <c r="G1035" s="25" t="s">
        <v>1668</v>
      </c>
      <c r="H1035" s="25" t="s">
        <v>27</v>
      </c>
      <c r="I1035" s="25" t="s">
        <v>316</v>
      </c>
      <c r="J1035" s="15" t="s">
        <v>360</v>
      </c>
      <c r="K1035" s="16" t="s">
        <v>29</v>
      </c>
      <c r="L1035" s="84"/>
      <c r="M1035" s="15"/>
      <c r="N1035" s="15" t="s">
        <v>173</v>
      </c>
      <c r="O1035" s="15"/>
      <c r="P1035" s="16" t="s">
        <v>106</v>
      </c>
      <c r="Q1035" s="17">
        <v>5999</v>
      </c>
      <c r="R1035" s="18">
        <v>30</v>
      </c>
      <c r="S1035" s="19">
        <v>4829.1949999999997</v>
      </c>
      <c r="T1035" s="20" t="s">
        <v>99</v>
      </c>
      <c r="U1035" s="21" t="s">
        <v>40</v>
      </c>
      <c r="V1035" s="22" t="s">
        <v>43</v>
      </c>
      <c r="W1035" s="23">
        <v>2</v>
      </c>
      <c r="X1035" s="24"/>
    </row>
    <row r="1036" spans="1:24" s="1" customFormat="1" ht="52.05" customHeight="1" x14ac:dyDescent="0.3">
      <c r="A1036" s="11" t="s">
        <v>607</v>
      </c>
      <c r="B1036" s="11" t="s">
        <v>1705</v>
      </c>
      <c r="C1036" s="12" t="s">
        <v>1776</v>
      </c>
      <c r="D1036" s="81"/>
      <c r="E1036" s="67" t="str">
        <f>HYPERLINK("https://www.google.ru/search?q=814735-WH&amp;newwindow=1&amp;tbm=isch","Еще фото")</f>
        <v>Еще фото</v>
      </c>
      <c r="F1036" s="14"/>
      <c r="G1036" s="11" t="s">
        <v>1668</v>
      </c>
      <c r="H1036" s="11" t="s">
        <v>27</v>
      </c>
      <c r="I1036" s="15" t="s">
        <v>316</v>
      </c>
      <c r="J1036" s="15" t="s">
        <v>360</v>
      </c>
      <c r="K1036" s="16" t="s">
        <v>29</v>
      </c>
      <c r="L1036" s="83" t="s">
        <v>1707</v>
      </c>
      <c r="M1036" s="15"/>
      <c r="N1036" s="15" t="s">
        <v>173</v>
      </c>
      <c r="O1036" s="15"/>
      <c r="P1036" s="16" t="s">
        <v>106</v>
      </c>
      <c r="Q1036" s="17">
        <v>3999</v>
      </c>
      <c r="R1036" s="18">
        <v>30</v>
      </c>
      <c r="S1036" s="19">
        <v>3219.1950000000002</v>
      </c>
      <c r="T1036" s="20" t="s">
        <v>99</v>
      </c>
      <c r="U1036" s="21" t="s">
        <v>34</v>
      </c>
      <c r="V1036" s="22" t="s">
        <v>53</v>
      </c>
      <c r="W1036" s="23">
        <v>1</v>
      </c>
      <c r="X1036" s="24"/>
    </row>
    <row r="1037" spans="1:24" s="1" customFormat="1" ht="61.05" customHeight="1" x14ac:dyDescent="0.3">
      <c r="A1037" s="25" t="s">
        <v>607</v>
      </c>
      <c r="B1037" s="25" t="s">
        <v>1705</v>
      </c>
      <c r="C1037" s="12" t="s">
        <v>1776</v>
      </c>
      <c r="D1037" s="82"/>
      <c r="E1037" s="67" t="str">
        <f>HYPERLINK("https://www.google.ru/search?q=814735-WH&amp;newwindow=1&amp;tbm=isch","Еще фото")</f>
        <v>Еще фото</v>
      </c>
      <c r="F1037" s="14"/>
      <c r="G1037" s="25" t="s">
        <v>1668</v>
      </c>
      <c r="H1037" s="25" t="s">
        <v>27</v>
      </c>
      <c r="I1037" s="25" t="s">
        <v>316</v>
      </c>
      <c r="J1037" s="15" t="s">
        <v>360</v>
      </c>
      <c r="K1037" s="16" t="s">
        <v>29</v>
      </c>
      <c r="L1037" s="84"/>
      <c r="M1037" s="15"/>
      <c r="N1037" s="15" t="s">
        <v>173</v>
      </c>
      <c r="O1037" s="15"/>
      <c r="P1037" s="16" t="s">
        <v>106</v>
      </c>
      <c r="Q1037" s="17">
        <v>3999</v>
      </c>
      <c r="R1037" s="18">
        <v>30</v>
      </c>
      <c r="S1037" s="19">
        <v>3219.1950000000002</v>
      </c>
      <c r="T1037" s="20" t="s">
        <v>99</v>
      </c>
      <c r="U1037" s="21" t="s">
        <v>52</v>
      </c>
      <c r="V1037" s="22" t="s">
        <v>41</v>
      </c>
      <c r="W1037" s="23">
        <v>1</v>
      </c>
      <c r="X1037" s="24"/>
    </row>
    <row r="1038" spans="1:24" s="1" customFormat="1" ht="108" customHeight="1" x14ac:dyDescent="0.3">
      <c r="A1038" s="11" t="s">
        <v>607</v>
      </c>
      <c r="B1038" s="11" t="s">
        <v>1695</v>
      </c>
      <c r="C1038" s="12" t="s">
        <v>1777</v>
      </c>
      <c r="D1038" s="13"/>
      <c r="E1038" s="67" t="str">
        <f>HYPERLINK("https://www.google.ru/search?q=814845-BK&amp;newwindow=1&amp;tbm=isch","Еще фото")</f>
        <v>Еще фото</v>
      </c>
      <c r="F1038" s="14"/>
      <c r="G1038" s="11" t="s">
        <v>315</v>
      </c>
      <c r="H1038" s="11" t="s">
        <v>27</v>
      </c>
      <c r="I1038" s="15" t="s">
        <v>316</v>
      </c>
      <c r="J1038" s="15" t="s">
        <v>360</v>
      </c>
      <c r="K1038" s="16" t="s">
        <v>29</v>
      </c>
      <c r="L1038" s="15" t="s">
        <v>1697</v>
      </c>
      <c r="M1038" s="15"/>
      <c r="N1038" s="15" t="s">
        <v>38</v>
      </c>
      <c r="O1038" s="15"/>
      <c r="P1038" s="16" t="s">
        <v>1698</v>
      </c>
      <c r="Q1038" s="17">
        <v>3499</v>
      </c>
      <c r="R1038" s="18">
        <v>30</v>
      </c>
      <c r="S1038" s="19">
        <v>2816.6950000000002</v>
      </c>
      <c r="T1038" s="20" t="s">
        <v>99</v>
      </c>
      <c r="U1038" s="21" t="s">
        <v>34</v>
      </c>
      <c r="V1038" s="22" t="s">
        <v>53</v>
      </c>
      <c r="W1038" s="23">
        <v>3</v>
      </c>
      <c r="X1038" s="24"/>
    </row>
    <row r="1039" spans="1:24" s="1" customFormat="1" ht="21" customHeight="1" x14ac:dyDescent="0.3">
      <c r="A1039" s="11" t="s">
        <v>607</v>
      </c>
      <c r="B1039" s="11" t="s">
        <v>1675</v>
      </c>
      <c r="C1039" s="27" t="s">
        <v>1778</v>
      </c>
      <c r="D1039" s="85"/>
      <c r="E1039" s="67" t="str">
        <f>HYPERLINK("https://www.google.ru/search?q=816036-ABWH&amp;newwindow=1&amp;tbm=isch","Еще фото")</f>
        <v>Еще фото</v>
      </c>
      <c r="F1039" s="14"/>
      <c r="G1039" s="11" t="s">
        <v>315</v>
      </c>
      <c r="H1039" s="11" t="s">
        <v>27</v>
      </c>
      <c r="I1039" s="15" t="s">
        <v>316</v>
      </c>
      <c r="J1039" s="15" t="s">
        <v>360</v>
      </c>
      <c r="K1039" s="16" t="s">
        <v>59</v>
      </c>
      <c r="L1039" s="83" t="s">
        <v>1779</v>
      </c>
      <c r="M1039" s="15"/>
      <c r="N1039" s="15" t="s">
        <v>31</v>
      </c>
      <c r="O1039" s="15"/>
      <c r="P1039" s="16" t="s">
        <v>106</v>
      </c>
      <c r="Q1039" s="17">
        <v>4999</v>
      </c>
      <c r="R1039" s="18">
        <v>30</v>
      </c>
      <c r="S1039" s="19">
        <v>4024.1949999999997</v>
      </c>
      <c r="T1039" s="20" t="s">
        <v>99</v>
      </c>
      <c r="U1039" s="21" t="s">
        <v>611</v>
      </c>
      <c r="V1039" s="23">
        <v>128</v>
      </c>
      <c r="W1039" s="23">
        <v>2</v>
      </c>
      <c r="X1039" s="24"/>
    </row>
    <row r="1040" spans="1:24" s="1" customFormat="1" ht="21" customHeight="1" x14ac:dyDescent="0.3">
      <c r="A1040" s="25" t="s">
        <v>607</v>
      </c>
      <c r="B1040" s="25" t="s">
        <v>1675</v>
      </c>
      <c r="C1040" s="28" t="s">
        <v>1778</v>
      </c>
      <c r="D1040" s="86"/>
      <c r="E1040" s="67" t="str">
        <f>HYPERLINK("https://www.google.ru/search?q=816036-ABWH&amp;newwindow=1&amp;tbm=isch","Еще фото")</f>
        <v>Еще фото</v>
      </c>
      <c r="F1040" s="14"/>
      <c r="G1040" s="25" t="s">
        <v>315</v>
      </c>
      <c r="H1040" s="25" t="s">
        <v>27</v>
      </c>
      <c r="I1040" s="25" t="s">
        <v>316</v>
      </c>
      <c r="J1040" s="15" t="s">
        <v>360</v>
      </c>
      <c r="K1040" s="16" t="s">
        <v>59</v>
      </c>
      <c r="L1040" s="88"/>
      <c r="M1040" s="15"/>
      <c r="N1040" s="15" t="s">
        <v>31</v>
      </c>
      <c r="O1040" s="15"/>
      <c r="P1040" s="16" t="s">
        <v>106</v>
      </c>
      <c r="Q1040" s="17">
        <v>4999</v>
      </c>
      <c r="R1040" s="18">
        <v>30</v>
      </c>
      <c r="S1040" s="19">
        <v>4024.1949999999997</v>
      </c>
      <c r="T1040" s="20" t="s">
        <v>99</v>
      </c>
      <c r="U1040" s="21" t="s">
        <v>1670</v>
      </c>
      <c r="V1040" s="23">
        <v>140</v>
      </c>
      <c r="W1040" s="23">
        <v>3</v>
      </c>
      <c r="X1040" s="24"/>
    </row>
    <row r="1041" spans="1:24" s="1" customFormat="1" ht="21" customHeight="1" x14ac:dyDescent="0.3">
      <c r="A1041" s="25" t="s">
        <v>607</v>
      </c>
      <c r="B1041" s="25" t="s">
        <v>1675</v>
      </c>
      <c r="C1041" s="28" t="s">
        <v>1778</v>
      </c>
      <c r="D1041" s="86"/>
      <c r="E1041" s="67" t="str">
        <f>HYPERLINK("https://www.google.ru/search?q=816036-ABWH&amp;newwindow=1&amp;tbm=isch","Еще фото")</f>
        <v>Еще фото</v>
      </c>
      <c r="F1041" s="14"/>
      <c r="G1041" s="25" t="s">
        <v>315</v>
      </c>
      <c r="H1041" s="25" t="s">
        <v>27</v>
      </c>
      <c r="I1041" s="25" t="s">
        <v>316</v>
      </c>
      <c r="J1041" s="15" t="s">
        <v>360</v>
      </c>
      <c r="K1041" s="16" t="s">
        <v>59</v>
      </c>
      <c r="L1041" s="88"/>
      <c r="M1041" s="15"/>
      <c r="N1041" s="15" t="s">
        <v>31</v>
      </c>
      <c r="O1041" s="15"/>
      <c r="P1041" s="16" t="s">
        <v>106</v>
      </c>
      <c r="Q1041" s="17">
        <v>4999</v>
      </c>
      <c r="R1041" s="18">
        <v>30</v>
      </c>
      <c r="S1041" s="19">
        <v>4024.1949999999997</v>
      </c>
      <c r="T1041" s="20" t="s">
        <v>99</v>
      </c>
      <c r="U1041" s="21" t="s">
        <v>1671</v>
      </c>
      <c r="V1041" s="23">
        <v>152</v>
      </c>
      <c r="W1041" s="23">
        <v>7</v>
      </c>
      <c r="X1041" s="24"/>
    </row>
    <row r="1042" spans="1:24" s="1" customFormat="1" ht="21" customHeight="1" x14ac:dyDescent="0.3">
      <c r="A1042" s="25" t="s">
        <v>607</v>
      </c>
      <c r="B1042" s="25" t="s">
        <v>1675</v>
      </c>
      <c r="C1042" s="28" t="s">
        <v>1778</v>
      </c>
      <c r="D1042" s="86"/>
      <c r="E1042" s="67" t="str">
        <f>HYPERLINK("https://www.google.ru/search?q=816036-ABWH&amp;newwindow=1&amp;tbm=isch","Еще фото")</f>
        <v>Еще фото</v>
      </c>
      <c r="F1042" s="14"/>
      <c r="G1042" s="25" t="s">
        <v>315</v>
      </c>
      <c r="H1042" s="25" t="s">
        <v>27</v>
      </c>
      <c r="I1042" s="25" t="s">
        <v>316</v>
      </c>
      <c r="J1042" s="15" t="s">
        <v>360</v>
      </c>
      <c r="K1042" s="16" t="s">
        <v>59</v>
      </c>
      <c r="L1042" s="88"/>
      <c r="M1042" s="15"/>
      <c r="N1042" s="15" t="s">
        <v>31</v>
      </c>
      <c r="O1042" s="15"/>
      <c r="P1042" s="16" t="s">
        <v>106</v>
      </c>
      <c r="Q1042" s="17">
        <v>4999</v>
      </c>
      <c r="R1042" s="18">
        <v>30</v>
      </c>
      <c r="S1042" s="19">
        <v>4024.1949999999997</v>
      </c>
      <c r="T1042" s="20" t="s">
        <v>99</v>
      </c>
      <c r="U1042" s="21" t="s">
        <v>1672</v>
      </c>
      <c r="V1042" s="23">
        <v>164</v>
      </c>
      <c r="W1042" s="23">
        <v>6</v>
      </c>
      <c r="X1042" s="24"/>
    </row>
    <row r="1043" spans="1:24" s="1" customFormat="1" ht="32" customHeight="1" x14ac:dyDescent="0.3">
      <c r="A1043" s="25" t="s">
        <v>607</v>
      </c>
      <c r="B1043" s="25" t="s">
        <v>1675</v>
      </c>
      <c r="C1043" s="28" t="s">
        <v>1778</v>
      </c>
      <c r="D1043" s="87"/>
      <c r="E1043" s="67" t="str">
        <f>HYPERLINK("https://www.google.ru/search?q=816036-ABWH&amp;newwindow=1&amp;tbm=isch","Еще фото")</f>
        <v>Еще фото</v>
      </c>
      <c r="F1043" s="14"/>
      <c r="G1043" s="25" t="s">
        <v>315</v>
      </c>
      <c r="H1043" s="25" t="s">
        <v>27</v>
      </c>
      <c r="I1043" s="25" t="s">
        <v>316</v>
      </c>
      <c r="J1043" s="15" t="s">
        <v>360</v>
      </c>
      <c r="K1043" s="16" t="s">
        <v>59</v>
      </c>
      <c r="L1043" s="84"/>
      <c r="M1043" s="15"/>
      <c r="N1043" s="15" t="s">
        <v>31</v>
      </c>
      <c r="O1043" s="15"/>
      <c r="P1043" s="16" t="s">
        <v>106</v>
      </c>
      <c r="Q1043" s="17">
        <v>4999</v>
      </c>
      <c r="R1043" s="18">
        <v>30</v>
      </c>
      <c r="S1043" s="19">
        <v>4024.1949999999997</v>
      </c>
      <c r="T1043" s="20" t="s">
        <v>99</v>
      </c>
      <c r="U1043" s="21" t="s">
        <v>1673</v>
      </c>
      <c r="V1043" s="23">
        <v>176</v>
      </c>
      <c r="W1043" s="23">
        <v>2</v>
      </c>
      <c r="X1043" s="24"/>
    </row>
    <row r="1044" spans="1:24" s="1" customFormat="1" ht="26" customHeight="1" x14ac:dyDescent="0.3">
      <c r="A1044" s="11" t="s">
        <v>607</v>
      </c>
      <c r="B1044" s="11" t="s">
        <v>1780</v>
      </c>
      <c r="C1044" s="12" t="s">
        <v>1781</v>
      </c>
      <c r="D1044" s="85"/>
      <c r="E1044" s="67" t="str">
        <f>HYPERLINK("https://www.google.ru/search?q=816046-NVXV&amp;newwindow=1&amp;tbm=isch","Еще фото")</f>
        <v>Еще фото</v>
      </c>
      <c r="F1044" s="14"/>
      <c r="G1044" s="11" t="s">
        <v>315</v>
      </c>
      <c r="H1044" s="11" t="s">
        <v>27</v>
      </c>
      <c r="I1044" s="15" t="s">
        <v>316</v>
      </c>
      <c r="J1044" s="15" t="s">
        <v>360</v>
      </c>
      <c r="K1044" s="16" t="s">
        <v>59</v>
      </c>
      <c r="L1044" s="83" t="s">
        <v>1782</v>
      </c>
      <c r="M1044" s="15"/>
      <c r="N1044" s="15" t="s">
        <v>866</v>
      </c>
      <c r="O1044" s="15"/>
      <c r="P1044" s="16" t="s">
        <v>106</v>
      </c>
      <c r="Q1044" s="17">
        <v>4999</v>
      </c>
      <c r="R1044" s="18">
        <v>30</v>
      </c>
      <c r="S1044" s="19">
        <v>4024.1949999999997</v>
      </c>
      <c r="T1044" s="20" t="s">
        <v>99</v>
      </c>
      <c r="U1044" s="21" t="s">
        <v>1670</v>
      </c>
      <c r="V1044" s="23">
        <v>140</v>
      </c>
      <c r="W1044" s="23">
        <v>4</v>
      </c>
      <c r="X1044" s="24"/>
    </row>
    <row r="1045" spans="1:24" s="1" customFormat="1" ht="26" customHeight="1" x14ac:dyDescent="0.3">
      <c r="A1045" s="25" t="s">
        <v>607</v>
      </c>
      <c r="B1045" s="25" t="s">
        <v>1780</v>
      </c>
      <c r="C1045" s="12" t="s">
        <v>1781</v>
      </c>
      <c r="D1045" s="86"/>
      <c r="E1045" s="67" t="str">
        <f>HYPERLINK("https://www.google.ru/search?q=816046-NVXV&amp;newwindow=1&amp;tbm=isch","Еще фото")</f>
        <v>Еще фото</v>
      </c>
      <c r="F1045" s="14"/>
      <c r="G1045" s="25" t="s">
        <v>315</v>
      </c>
      <c r="H1045" s="25" t="s">
        <v>27</v>
      </c>
      <c r="I1045" s="25" t="s">
        <v>316</v>
      </c>
      <c r="J1045" s="15" t="s">
        <v>360</v>
      </c>
      <c r="K1045" s="16" t="s">
        <v>59</v>
      </c>
      <c r="L1045" s="88"/>
      <c r="M1045" s="15"/>
      <c r="N1045" s="15" t="s">
        <v>866</v>
      </c>
      <c r="O1045" s="15"/>
      <c r="P1045" s="16" t="s">
        <v>106</v>
      </c>
      <c r="Q1045" s="17">
        <v>4999</v>
      </c>
      <c r="R1045" s="18">
        <v>30</v>
      </c>
      <c r="S1045" s="19">
        <v>4024.1949999999997</v>
      </c>
      <c r="T1045" s="20" t="s">
        <v>99</v>
      </c>
      <c r="U1045" s="21" t="s">
        <v>1671</v>
      </c>
      <c r="V1045" s="23">
        <v>152</v>
      </c>
      <c r="W1045" s="23">
        <v>8</v>
      </c>
      <c r="X1045" s="24"/>
    </row>
    <row r="1046" spans="1:24" s="1" customFormat="1" ht="26" customHeight="1" x14ac:dyDescent="0.3">
      <c r="A1046" s="25" t="s">
        <v>607</v>
      </c>
      <c r="B1046" s="25" t="s">
        <v>1780</v>
      </c>
      <c r="C1046" s="12" t="s">
        <v>1781</v>
      </c>
      <c r="D1046" s="86"/>
      <c r="E1046" s="67" t="str">
        <f>HYPERLINK("https://www.google.ru/search?q=816046-NVXV&amp;newwindow=1&amp;tbm=isch","Еще фото")</f>
        <v>Еще фото</v>
      </c>
      <c r="F1046" s="14"/>
      <c r="G1046" s="25" t="s">
        <v>315</v>
      </c>
      <c r="H1046" s="25" t="s">
        <v>27</v>
      </c>
      <c r="I1046" s="25" t="s">
        <v>316</v>
      </c>
      <c r="J1046" s="15" t="s">
        <v>360</v>
      </c>
      <c r="K1046" s="16" t="s">
        <v>59</v>
      </c>
      <c r="L1046" s="88"/>
      <c r="M1046" s="15"/>
      <c r="N1046" s="15" t="s">
        <v>866</v>
      </c>
      <c r="O1046" s="15"/>
      <c r="P1046" s="16" t="s">
        <v>106</v>
      </c>
      <c r="Q1046" s="17">
        <v>4999</v>
      </c>
      <c r="R1046" s="18">
        <v>30</v>
      </c>
      <c r="S1046" s="19">
        <v>4024.1949999999997</v>
      </c>
      <c r="T1046" s="20" t="s">
        <v>99</v>
      </c>
      <c r="U1046" s="21" t="s">
        <v>1672</v>
      </c>
      <c r="V1046" s="23">
        <v>164</v>
      </c>
      <c r="W1046" s="23">
        <v>7</v>
      </c>
      <c r="X1046" s="24"/>
    </row>
    <row r="1047" spans="1:24" s="1" customFormat="1" ht="26" customHeight="1" x14ac:dyDescent="0.3">
      <c r="A1047" s="25" t="s">
        <v>607</v>
      </c>
      <c r="B1047" s="25" t="s">
        <v>1780</v>
      </c>
      <c r="C1047" s="12" t="s">
        <v>1781</v>
      </c>
      <c r="D1047" s="87"/>
      <c r="E1047" s="67" t="str">
        <f>HYPERLINK("https://www.google.ru/search?q=816046-NVXV&amp;newwindow=1&amp;tbm=isch","Еще фото")</f>
        <v>Еще фото</v>
      </c>
      <c r="F1047" s="14"/>
      <c r="G1047" s="25" t="s">
        <v>315</v>
      </c>
      <c r="H1047" s="25" t="s">
        <v>27</v>
      </c>
      <c r="I1047" s="25" t="s">
        <v>316</v>
      </c>
      <c r="J1047" s="15" t="s">
        <v>360</v>
      </c>
      <c r="K1047" s="16" t="s">
        <v>59</v>
      </c>
      <c r="L1047" s="84"/>
      <c r="M1047" s="15"/>
      <c r="N1047" s="15" t="s">
        <v>866</v>
      </c>
      <c r="O1047" s="15"/>
      <c r="P1047" s="16" t="s">
        <v>106</v>
      </c>
      <c r="Q1047" s="17">
        <v>4999</v>
      </c>
      <c r="R1047" s="18">
        <v>30</v>
      </c>
      <c r="S1047" s="19">
        <v>4024.1949999999997</v>
      </c>
      <c r="T1047" s="20" t="s">
        <v>99</v>
      </c>
      <c r="U1047" s="21" t="s">
        <v>1673</v>
      </c>
      <c r="V1047" s="23">
        <v>176</v>
      </c>
      <c r="W1047" s="23">
        <v>3</v>
      </c>
      <c r="X1047" s="24"/>
    </row>
    <row r="1048" spans="1:24" s="1" customFormat="1" ht="21" customHeight="1" x14ac:dyDescent="0.3">
      <c r="A1048" s="11" t="s">
        <v>607</v>
      </c>
      <c r="B1048" s="11" t="s">
        <v>1780</v>
      </c>
      <c r="C1048" s="27" t="s">
        <v>1783</v>
      </c>
      <c r="D1048" s="85"/>
      <c r="E1048" s="67" t="str">
        <f>HYPERLINK("https://www.google.ru/search?q=816046-ROXV&amp;newwindow=1&amp;tbm=isch","Еще фото")</f>
        <v>Еще фото</v>
      </c>
      <c r="F1048" s="14"/>
      <c r="G1048" s="11" t="s">
        <v>315</v>
      </c>
      <c r="H1048" s="11" t="s">
        <v>27</v>
      </c>
      <c r="I1048" s="15" t="s">
        <v>316</v>
      </c>
      <c r="J1048" s="15" t="s">
        <v>360</v>
      </c>
      <c r="K1048" s="16" t="s">
        <v>59</v>
      </c>
      <c r="L1048" s="83" t="s">
        <v>1782</v>
      </c>
      <c r="M1048" s="15"/>
      <c r="N1048" s="15" t="s">
        <v>1784</v>
      </c>
      <c r="O1048" s="15"/>
      <c r="P1048" s="16" t="s">
        <v>106</v>
      </c>
      <c r="Q1048" s="17">
        <v>4999</v>
      </c>
      <c r="R1048" s="18">
        <v>30</v>
      </c>
      <c r="S1048" s="19">
        <v>4024.1949999999997</v>
      </c>
      <c r="T1048" s="20" t="s">
        <v>99</v>
      </c>
      <c r="U1048" s="21" t="s">
        <v>611</v>
      </c>
      <c r="V1048" s="23">
        <v>128</v>
      </c>
      <c r="W1048" s="23">
        <v>2</v>
      </c>
      <c r="X1048" s="24"/>
    </row>
    <row r="1049" spans="1:24" s="1" customFormat="1" ht="21" customHeight="1" x14ac:dyDescent="0.3">
      <c r="A1049" s="25" t="s">
        <v>607</v>
      </c>
      <c r="B1049" s="25" t="s">
        <v>1780</v>
      </c>
      <c r="C1049" s="28" t="s">
        <v>1783</v>
      </c>
      <c r="D1049" s="86"/>
      <c r="E1049" s="67" t="str">
        <f>HYPERLINK("https://www.google.ru/search?q=816046-ROXV&amp;newwindow=1&amp;tbm=isch","Еще фото")</f>
        <v>Еще фото</v>
      </c>
      <c r="F1049" s="14"/>
      <c r="G1049" s="25" t="s">
        <v>315</v>
      </c>
      <c r="H1049" s="25" t="s">
        <v>27</v>
      </c>
      <c r="I1049" s="25" t="s">
        <v>316</v>
      </c>
      <c r="J1049" s="15" t="s">
        <v>360</v>
      </c>
      <c r="K1049" s="16" t="s">
        <v>59</v>
      </c>
      <c r="L1049" s="88"/>
      <c r="M1049" s="15"/>
      <c r="N1049" s="15" t="s">
        <v>1784</v>
      </c>
      <c r="O1049" s="15"/>
      <c r="P1049" s="16" t="s">
        <v>106</v>
      </c>
      <c r="Q1049" s="17">
        <v>4999</v>
      </c>
      <c r="R1049" s="18">
        <v>30</v>
      </c>
      <c r="S1049" s="19">
        <v>4024.1949999999997</v>
      </c>
      <c r="T1049" s="20" t="s">
        <v>99</v>
      </c>
      <c r="U1049" s="21" t="s">
        <v>1670</v>
      </c>
      <c r="V1049" s="23">
        <v>140</v>
      </c>
      <c r="W1049" s="23">
        <v>5</v>
      </c>
      <c r="X1049" s="24"/>
    </row>
    <row r="1050" spans="1:24" s="1" customFormat="1" ht="21" customHeight="1" x14ac:dyDescent="0.3">
      <c r="A1050" s="25" t="s">
        <v>607</v>
      </c>
      <c r="B1050" s="25" t="s">
        <v>1780</v>
      </c>
      <c r="C1050" s="28" t="s">
        <v>1783</v>
      </c>
      <c r="D1050" s="86"/>
      <c r="E1050" s="67" t="str">
        <f>HYPERLINK("https://www.google.ru/search?q=816046-ROXV&amp;newwindow=1&amp;tbm=isch","Еще фото")</f>
        <v>Еще фото</v>
      </c>
      <c r="F1050" s="14"/>
      <c r="G1050" s="25" t="s">
        <v>315</v>
      </c>
      <c r="H1050" s="25" t="s">
        <v>27</v>
      </c>
      <c r="I1050" s="25" t="s">
        <v>316</v>
      </c>
      <c r="J1050" s="15" t="s">
        <v>360</v>
      </c>
      <c r="K1050" s="16" t="s">
        <v>59</v>
      </c>
      <c r="L1050" s="88"/>
      <c r="M1050" s="15"/>
      <c r="N1050" s="15" t="s">
        <v>1784</v>
      </c>
      <c r="O1050" s="15"/>
      <c r="P1050" s="16" t="s">
        <v>106</v>
      </c>
      <c r="Q1050" s="17">
        <v>4999</v>
      </c>
      <c r="R1050" s="18">
        <v>30</v>
      </c>
      <c r="S1050" s="19">
        <v>4024.1949999999997</v>
      </c>
      <c r="T1050" s="20" t="s">
        <v>99</v>
      </c>
      <c r="U1050" s="21" t="s">
        <v>1671</v>
      </c>
      <c r="V1050" s="23">
        <v>152</v>
      </c>
      <c r="W1050" s="23">
        <v>8</v>
      </c>
      <c r="X1050" s="24"/>
    </row>
    <row r="1051" spans="1:24" s="1" customFormat="1" ht="21" customHeight="1" x14ac:dyDescent="0.3">
      <c r="A1051" s="25" t="s">
        <v>607</v>
      </c>
      <c r="B1051" s="25" t="s">
        <v>1780</v>
      </c>
      <c r="C1051" s="28" t="s">
        <v>1783</v>
      </c>
      <c r="D1051" s="86"/>
      <c r="E1051" s="67" t="str">
        <f>HYPERLINK("https://www.google.ru/search?q=816046-ROXV&amp;newwindow=1&amp;tbm=isch","Еще фото")</f>
        <v>Еще фото</v>
      </c>
      <c r="F1051" s="14"/>
      <c r="G1051" s="25" t="s">
        <v>315</v>
      </c>
      <c r="H1051" s="25" t="s">
        <v>27</v>
      </c>
      <c r="I1051" s="25" t="s">
        <v>316</v>
      </c>
      <c r="J1051" s="15" t="s">
        <v>360</v>
      </c>
      <c r="K1051" s="16" t="s">
        <v>59</v>
      </c>
      <c r="L1051" s="88"/>
      <c r="M1051" s="15"/>
      <c r="N1051" s="15" t="s">
        <v>1784</v>
      </c>
      <c r="O1051" s="15"/>
      <c r="P1051" s="16" t="s">
        <v>106</v>
      </c>
      <c r="Q1051" s="17">
        <v>4999</v>
      </c>
      <c r="R1051" s="18">
        <v>30</v>
      </c>
      <c r="S1051" s="19">
        <v>4024.1949999999997</v>
      </c>
      <c r="T1051" s="20" t="s">
        <v>99</v>
      </c>
      <c r="U1051" s="21" t="s">
        <v>1672</v>
      </c>
      <c r="V1051" s="23">
        <v>164</v>
      </c>
      <c r="W1051" s="23">
        <v>5</v>
      </c>
      <c r="X1051" s="24"/>
    </row>
    <row r="1052" spans="1:24" s="1" customFormat="1" ht="32" customHeight="1" x14ac:dyDescent="0.3">
      <c r="A1052" s="25" t="s">
        <v>607</v>
      </c>
      <c r="B1052" s="25" t="s">
        <v>1780</v>
      </c>
      <c r="C1052" s="28" t="s">
        <v>1783</v>
      </c>
      <c r="D1052" s="87"/>
      <c r="E1052" s="67" t="str">
        <f>HYPERLINK("https://www.google.ru/search?q=816046-ROXV&amp;newwindow=1&amp;tbm=isch","Еще фото")</f>
        <v>Еще фото</v>
      </c>
      <c r="F1052" s="14"/>
      <c r="G1052" s="25" t="s">
        <v>315</v>
      </c>
      <c r="H1052" s="25" t="s">
        <v>27</v>
      </c>
      <c r="I1052" s="25" t="s">
        <v>316</v>
      </c>
      <c r="J1052" s="15" t="s">
        <v>360</v>
      </c>
      <c r="K1052" s="16" t="s">
        <v>59</v>
      </c>
      <c r="L1052" s="84"/>
      <c r="M1052" s="15"/>
      <c r="N1052" s="15" t="s">
        <v>1784</v>
      </c>
      <c r="O1052" s="15"/>
      <c r="P1052" s="16" t="s">
        <v>106</v>
      </c>
      <c r="Q1052" s="17">
        <v>4999</v>
      </c>
      <c r="R1052" s="18">
        <v>30</v>
      </c>
      <c r="S1052" s="19">
        <v>4024.1949999999997</v>
      </c>
      <c r="T1052" s="20" t="s">
        <v>99</v>
      </c>
      <c r="U1052" s="21" t="s">
        <v>1673</v>
      </c>
      <c r="V1052" s="23">
        <v>176</v>
      </c>
      <c r="W1052" s="23">
        <v>2</v>
      </c>
      <c r="X1052" s="24"/>
    </row>
    <row r="1053" spans="1:24" s="1" customFormat="1" ht="26" customHeight="1" x14ac:dyDescent="0.3">
      <c r="A1053" s="11" t="s">
        <v>607</v>
      </c>
      <c r="B1053" s="11" t="s">
        <v>1780</v>
      </c>
      <c r="C1053" s="12" t="s">
        <v>1785</v>
      </c>
      <c r="D1053" s="85"/>
      <c r="E1053" s="67" t="str">
        <f>HYPERLINK("https://www.google.ru/search?q=816046-TQXV&amp;newwindow=1&amp;tbm=isch","Еще фото")</f>
        <v>Еще фото</v>
      </c>
      <c r="F1053" s="14"/>
      <c r="G1053" s="11" t="s">
        <v>315</v>
      </c>
      <c r="H1053" s="11" t="s">
        <v>27</v>
      </c>
      <c r="I1053" s="15" t="s">
        <v>316</v>
      </c>
      <c r="J1053" s="15" t="s">
        <v>360</v>
      </c>
      <c r="K1053" s="16" t="s">
        <v>59</v>
      </c>
      <c r="L1053" s="83" t="s">
        <v>1782</v>
      </c>
      <c r="M1053" s="15"/>
      <c r="N1053" s="15" t="s">
        <v>866</v>
      </c>
      <c r="O1053" s="15"/>
      <c r="P1053" s="16" t="s">
        <v>106</v>
      </c>
      <c r="Q1053" s="17">
        <v>4999</v>
      </c>
      <c r="R1053" s="18">
        <v>30</v>
      </c>
      <c r="S1053" s="19">
        <v>4024.1949999999997</v>
      </c>
      <c r="T1053" s="20" t="s">
        <v>99</v>
      </c>
      <c r="U1053" s="21" t="s">
        <v>1670</v>
      </c>
      <c r="V1053" s="23">
        <v>140</v>
      </c>
      <c r="W1053" s="23">
        <v>3</v>
      </c>
      <c r="X1053" s="24"/>
    </row>
    <row r="1054" spans="1:24" s="1" customFormat="1" ht="26" customHeight="1" x14ac:dyDescent="0.3">
      <c r="A1054" s="25" t="s">
        <v>607</v>
      </c>
      <c r="B1054" s="25" t="s">
        <v>1780</v>
      </c>
      <c r="C1054" s="12" t="s">
        <v>1785</v>
      </c>
      <c r="D1054" s="86"/>
      <c r="E1054" s="67" t="str">
        <f>HYPERLINK("https://www.google.ru/search?q=816046-TQXV&amp;newwindow=1&amp;tbm=isch","Еще фото")</f>
        <v>Еще фото</v>
      </c>
      <c r="F1054" s="14"/>
      <c r="G1054" s="25" t="s">
        <v>315</v>
      </c>
      <c r="H1054" s="25" t="s">
        <v>27</v>
      </c>
      <c r="I1054" s="25" t="s">
        <v>316</v>
      </c>
      <c r="J1054" s="15" t="s">
        <v>360</v>
      </c>
      <c r="K1054" s="16" t="s">
        <v>59</v>
      </c>
      <c r="L1054" s="88"/>
      <c r="M1054" s="15"/>
      <c r="N1054" s="15" t="s">
        <v>866</v>
      </c>
      <c r="O1054" s="15"/>
      <c r="P1054" s="16" t="s">
        <v>106</v>
      </c>
      <c r="Q1054" s="17">
        <v>4999</v>
      </c>
      <c r="R1054" s="18">
        <v>30</v>
      </c>
      <c r="S1054" s="19">
        <v>4024.1949999999997</v>
      </c>
      <c r="T1054" s="20" t="s">
        <v>99</v>
      </c>
      <c r="U1054" s="21" t="s">
        <v>1671</v>
      </c>
      <c r="V1054" s="23">
        <v>152</v>
      </c>
      <c r="W1054" s="23">
        <v>7</v>
      </c>
      <c r="X1054" s="24"/>
    </row>
    <row r="1055" spans="1:24" s="1" customFormat="1" ht="26" customHeight="1" x14ac:dyDescent="0.3">
      <c r="A1055" s="25" t="s">
        <v>607</v>
      </c>
      <c r="B1055" s="25" t="s">
        <v>1780</v>
      </c>
      <c r="C1055" s="12" t="s">
        <v>1785</v>
      </c>
      <c r="D1055" s="86"/>
      <c r="E1055" s="67" t="str">
        <f>HYPERLINK("https://www.google.ru/search?q=816046-TQXV&amp;newwindow=1&amp;tbm=isch","Еще фото")</f>
        <v>Еще фото</v>
      </c>
      <c r="F1055" s="14"/>
      <c r="G1055" s="25" t="s">
        <v>315</v>
      </c>
      <c r="H1055" s="25" t="s">
        <v>27</v>
      </c>
      <c r="I1055" s="25" t="s">
        <v>316</v>
      </c>
      <c r="J1055" s="15" t="s">
        <v>360</v>
      </c>
      <c r="K1055" s="16" t="s">
        <v>59</v>
      </c>
      <c r="L1055" s="88"/>
      <c r="M1055" s="15"/>
      <c r="N1055" s="15" t="s">
        <v>866</v>
      </c>
      <c r="O1055" s="15"/>
      <c r="P1055" s="16" t="s">
        <v>106</v>
      </c>
      <c r="Q1055" s="17">
        <v>4999</v>
      </c>
      <c r="R1055" s="18">
        <v>30</v>
      </c>
      <c r="S1055" s="19">
        <v>4024.1949999999997</v>
      </c>
      <c r="T1055" s="20" t="s">
        <v>99</v>
      </c>
      <c r="U1055" s="21" t="s">
        <v>1672</v>
      </c>
      <c r="V1055" s="23">
        <v>164</v>
      </c>
      <c r="W1055" s="23">
        <v>2</v>
      </c>
      <c r="X1055" s="24"/>
    </row>
    <row r="1056" spans="1:24" s="1" customFormat="1" ht="26" customHeight="1" x14ac:dyDescent="0.3">
      <c r="A1056" s="25" t="s">
        <v>607</v>
      </c>
      <c r="B1056" s="25" t="s">
        <v>1780</v>
      </c>
      <c r="C1056" s="12" t="s">
        <v>1785</v>
      </c>
      <c r="D1056" s="87"/>
      <c r="E1056" s="67" t="str">
        <f>HYPERLINK("https://www.google.ru/search?q=816046-TQXV&amp;newwindow=1&amp;tbm=isch","Еще фото")</f>
        <v>Еще фото</v>
      </c>
      <c r="F1056" s="14"/>
      <c r="G1056" s="25" t="s">
        <v>315</v>
      </c>
      <c r="H1056" s="25" t="s">
        <v>27</v>
      </c>
      <c r="I1056" s="25" t="s">
        <v>316</v>
      </c>
      <c r="J1056" s="15" t="s">
        <v>360</v>
      </c>
      <c r="K1056" s="16" t="s">
        <v>59</v>
      </c>
      <c r="L1056" s="84"/>
      <c r="M1056" s="15"/>
      <c r="N1056" s="15" t="s">
        <v>866</v>
      </c>
      <c r="O1056" s="15"/>
      <c r="P1056" s="16" t="s">
        <v>106</v>
      </c>
      <c r="Q1056" s="17">
        <v>4999</v>
      </c>
      <c r="R1056" s="18">
        <v>30</v>
      </c>
      <c r="S1056" s="19">
        <v>4024.1949999999997</v>
      </c>
      <c r="T1056" s="20" t="s">
        <v>99</v>
      </c>
      <c r="U1056" s="21" t="s">
        <v>1673</v>
      </c>
      <c r="V1056" s="23">
        <v>176</v>
      </c>
      <c r="W1056" s="23">
        <v>1</v>
      </c>
      <c r="X1056" s="24"/>
    </row>
    <row r="1057" spans="1:24" s="1" customFormat="1" ht="52.05" customHeight="1" x14ac:dyDescent="0.3">
      <c r="A1057" s="11" t="s">
        <v>607</v>
      </c>
      <c r="B1057" s="11" t="s">
        <v>1675</v>
      </c>
      <c r="C1057" s="12" t="s">
        <v>1786</v>
      </c>
      <c r="D1057" s="81"/>
      <c r="E1057" s="67" t="str">
        <f>HYPERLINK("https://www.google.ru/search?q=816215-CN&amp;newwindow=1&amp;tbm=isch","Еще фото")</f>
        <v>Еще фото</v>
      </c>
      <c r="F1057" s="14"/>
      <c r="G1057" s="11" t="s">
        <v>315</v>
      </c>
      <c r="H1057" s="11" t="s">
        <v>27</v>
      </c>
      <c r="I1057" s="15" t="s">
        <v>316</v>
      </c>
      <c r="J1057" s="15" t="s">
        <v>360</v>
      </c>
      <c r="K1057" s="16" t="s">
        <v>59</v>
      </c>
      <c r="L1057" s="83" t="s">
        <v>1677</v>
      </c>
      <c r="M1057" s="15"/>
      <c r="N1057" s="15" t="s">
        <v>948</v>
      </c>
      <c r="O1057" s="15"/>
      <c r="P1057" s="16" t="s">
        <v>106</v>
      </c>
      <c r="Q1057" s="17">
        <v>5499</v>
      </c>
      <c r="R1057" s="18">
        <v>30</v>
      </c>
      <c r="S1057" s="19">
        <v>4426.6949999999997</v>
      </c>
      <c r="T1057" s="20" t="s">
        <v>99</v>
      </c>
      <c r="U1057" s="21" t="s">
        <v>611</v>
      </c>
      <c r="V1057" s="23">
        <v>128</v>
      </c>
      <c r="W1057" s="23">
        <v>2</v>
      </c>
      <c r="X1057" s="24"/>
    </row>
    <row r="1058" spans="1:24" s="1" customFormat="1" ht="61.05" customHeight="1" x14ac:dyDescent="0.3">
      <c r="A1058" s="25" t="s">
        <v>607</v>
      </c>
      <c r="B1058" s="25" t="s">
        <v>1675</v>
      </c>
      <c r="C1058" s="12" t="s">
        <v>1786</v>
      </c>
      <c r="D1058" s="82"/>
      <c r="E1058" s="67" t="str">
        <f>HYPERLINK("https://www.google.ru/search?q=816215-CN&amp;newwindow=1&amp;tbm=isch","Еще фото")</f>
        <v>Еще фото</v>
      </c>
      <c r="F1058" s="14"/>
      <c r="G1058" s="25" t="s">
        <v>315</v>
      </c>
      <c r="H1058" s="25" t="s">
        <v>27</v>
      </c>
      <c r="I1058" s="25" t="s">
        <v>316</v>
      </c>
      <c r="J1058" s="15" t="s">
        <v>360</v>
      </c>
      <c r="K1058" s="16" t="s">
        <v>59</v>
      </c>
      <c r="L1058" s="84"/>
      <c r="M1058" s="15"/>
      <c r="N1058" s="15" t="s">
        <v>948</v>
      </c>
      <c r="O1058" s="15"/>
      <c r="P1058" s="16" t="s">
        <v>106</v>
      </c>
      <c r="Q1058" s="17">
        <v>5499</v>
      </c>
      <c r="R1058" s="18">
        <v>30</v>
      </c>
      <c r="S1058" s="19">
        <v>4426.6949999999997</v>
      </c>
      <c r="T1058" s="20" t="s">
        <v>99</v>
      </c>
      <c r="U1058" s="21" t="s">
        <v>1670</v>
      </c>
      <c r="V1058" s="23">
        <v>140</v>
      </c>
      <c r="W1058" s="23">
        <v>1</v>
      </c>
      <c r="X1058" s="24"/>
    </row>
    <row r="1059" spans="1:24" s="1" customFormat="1" ht="52.05" customHeight="1" x14ac:dyDescent="0.3">
      <c r="A1059" s="11" t="s">
        <v>607</v>
      </c>
      <c r="B1059" s="11" t="s">
        <v>1787</v>
      </c>
      <c r="C1059" s="12" t="s">
        <v>1788</v>
      </c>
      <c r="D1059" s="81"/>
      <c r="E1059" s="67" t="str">
        <f>HYPERLINK("https://www.google.ru/search?q=816240-WH&amp;newwindow=1&amp;tbm=isch","Еще фото")</f>
        <v>Еще фото</v>
      </c>
      <c r="F1059" s="14"/>
      <c r="G1059" s="11" t="s">
        <v>315</v>
      </c>
      <c r="H1059" s="11" t="s">
        <v>27</v>
      </c>
      <c r="I1059" s="15" t="s">
        <v>316</v>
      </c>
      <c r="J1059" s="15" t="s">
        <v>360</v>
      </c>
      <c r="K1059" s="16" t="s">
        <v>59</v>
      </c>
      <c r="L1059" s="83" t="s">
        <v>1789</v>
      </c>
      <c r="M1059" s="15"/>
      <c r="N1059" s="15" t="s">
        <v>173</v>
      </c>
      <c r="O1059" s="15"/>
      <c r="P1059" s="16" t="s">
        <v>106</v>
      </c>
      <c r="Q1059" s="17">
        <v>2499</v>
      </c>
      <c r="R1059" s="18">
        <v>30</v>
      </c>
      <c r="S1059" s="19">
        <v>2011.6949999999997</v>
      </c>
      <c r="T1059" s="20" t="s">
        <v>99</v>
      </c>
      <c r="U1059" s="21" t="s">
        <v>1670</v>
      </c>
      <c r="V1059" s="23">
        <v>140</v>
      </c>
      <c r="W1059" s="23">
        <v>6</v>
      </c>
      <c r="X1059" s="24"/>
    </row>
    <row r="1060" spans="1:24" s="1" customFormat="1" ht="61.05" customHeight="1" x14ac:dyDescent="0.3">
      <c r="A1060" s="25" t="s">
        <v>607</v>
      </c>
      <c r="B1060" s="25" t="s">
        <v>1787</v>
      </c>
      <c r="C1060" s="12" t="s">
        <v>1788</v>
      </c>
      <c r="D1060" s="82"/>
      <c r="E1060" s="67" t="str">
        <f>HYPERLINK("https://www.google.ru/search?q=816240-WH&amp;newwindow=1&amp;tbm=isch","Еще фото")</f>
        <v>Еще фото</v>
      </c>
      <c r="F1060" s="14"/>
      <c r="G1060" s="25" t="s">
        <v>315</v>
      </c>
      <c r="H1060" s="25" t="s">
        <v>27</v>
      </c>
      <c r="I1060" s="25" t="s">
        <v>316</v>
      </c>
      <c r="J1060" s="15" t="s">
        <v>360</v>
      </c>
      <c r="K1060" s="16" t="s">
        <v>59</v>
      </c>
      <c r="L1060" s="84"/>
      <c r="M1060" s="15"/>
      <c r="N1060" s="15" t="s">
        <v>173</v>
      </c>
      <c r="O1060" s="15"/>
      <c r="P1060" s="16" t="s">
        <v>106</v>
      </c>
      <c r="Q1060" s="17">
        <v>2499</v>
      </c>
      <c r="R1060" s="18">
        <v>30</v>
      </c>
      <c r="S1060" s="19">
        <v>2011.6949999999997</v>
      </c>
      <c r="T1060" s="20" t="s">
        <v>99</v>
      </c>
      <c r="U1060" s="21" t="s">
        <v>1671</v>
      </c>
      <c r="V1060" s="23">
        <v>152</v>
      </c>
      <c r="W1060" s="23">
        <v>5</v>
      </c>
      <c r="X1060" s="24"/>
    </row>
    <row r="1061" spans="1:24" s="1" customFormat="1" ht="52.05" customHeight="1" x14ac:dyDescent="0.3">
      <c r="A1061" s="11" t="s">
        <v>607</v>
      </c>
      <c r="B1061" s="11" t="s">
        <v>1717</v>
      </c>
      <c r="C1061" s="12" t="s">
        <v>1790</v>
      </c>
      <c r="D1061" s="81"/>
      <c r="E1061" s="67" t="str">
        <f>HYPERLINK("https://www.google.ru/search?q=816765-ROWH&amp;newwindow=1&amp;tbm=isch","Еще фото")</f>
        <v>Еще фото</v>
      </c>
      <c r="F1061" s="14"/>
      <c r="G1061" s="11" t="s">
        <v>315</v>
      </c>
      <c r="H1061" s="11" t="s">
        <v>27</v>
      </c>
      <c r="I1061" s="15" t="s">
        <v>316</v>
      </c>
      <c r="J1061" s="15" t="s">
        <v>360</v>
      </c>
      <c r="K1061" s="16" t="s">
        <v>59</v>
      </c>
      <c r="L1061" s="83" t="s">
        <v>1719</v>
      </c>
      <c r="M1061" s="15"/>
      <c r="N1061" s="15" t="s">
        <v>391</v>
      </c>
      <c r="O1061" s="15"/>
      <c r="P1061" s="16" t="s">
        <v>106</v>
      </c>
      <c r="Q1061" s="17">
        <v>3999</v>
      </c>
      <c r="R1061" s="18">
        <v>30</v>
      </c>
      <c r="S1061" s="19">
        <v>3219.1950000000002</v>
      </c>
      <c r="T1061" s="20" t="s">
        <v>99</v>
      </c>
      <c r="U1061" s="21" t="s">
        <v>611</v>
      </c>
      <c r="V1061" s="23">
        <v>128</v>
      </c>
      <c r="W1061" s="23">
        <v>1</v>
      </c>
      <c r="X1061" s="24"/>
    </row>
    <row r="1062" spans="1:24" s="1" customFormat="1" ht="61.05" customHeight="1" x14ac:dyDescent="0.3">
      <c r="A1062" s="25" t="s">
        <v>607</v>
      </c>
      <c r="B1062" s="25" t="s">
        <v>1717</v>
      </c>
      <c r="C1062" s="12" t="s">
        <v>1790</v>
      </c>
      <c r="D1062" s="82"/>
      <c r="E1062" s="67" t="str">
        <f>HYPERLINK("https://www.google.ru/search?q=816765-ROWH&amp;newwindow=1&amp;tbm=isch","Еще фото")</f>
        <v>Еще фото</v>
      </c>
      <c r="F1062" s="14"/>
      <c r="G1062" s="25" t="s">
        <v>315</v>
      </c>
      <c r="H1062" s="25" t="s">
        <v>27</v>
      </c>
      <c r="I1062" s="25" t="s">
        <v>316</v>
      </c>
      <c r="J1062" s="15" t="s">
        <v>360</v>
      </c>
      <c r="K1062" s="16" t="s">
        <v>59</v>
      </c>
      <c r="L1062" s="84"/>
      <c r="M1062" s="15"/>
      <c r="N1062" s="15" t="s">
        <v>391</v>
      </c>
      <c r="O1062" s="15"/>
      <c r="P1062" s="16" t="s">
        <v>106</v>
      </c>
      <c r="Q1062" s="17">
        <v>3999</v>
      </c>
      <c r="R1062" s="18">
        <v>30</v>
      </c>
      <c r="S1062" s="19">
        <v>3219.1950000000002</v>
      </c>
      <c r="T1062" s="20" t="s">
        <v>99</v>
      </c>
      <c r="U1062" s="21" t="s">
        <v>1670</v>
      </c>
      <c r="V1062" s="23">
        <v>140</v>
      </c>
      <c r="W1062" s="23">
        <v>1</v>
      </c>
      <c r="X1062" s="24"/>
    </row>
    <row r="1063" spans="1:24" s="1" customFormat="1" ht="108" customHeight="1" x14ac:dyDescent="0.3">
      <c r="A1063" s="11" t="s">
        <v>607</v>
      </c>
      <c r="B1063" s="11" t="s">
        <v>1717</v>
      </c>
      <c r="C1063" s="12" t="s">
        <v>1791</v>
      </c>
      <c r="D1063" s="13"/>
      <c r="E1063" s="67" t="str">
        <f>HYPERLINK("https://www.google.ru/search?q=816765-WH&amp;newwindow=1&amp;tbm=isch","Еще фото")</f>
        <v>Еще фото</v>
      </c>
      <c r="F1063" s="14"/>
      <c r="G1063" s="11" t="s">
        <v>315</v>
      </c>
      <c r="H1063" s="11" t="s">
        <v>27</v>
      </c>
      <c r="I1063" s="15" t="s">
        <v>316</v>
      </c>
      <c r="J1063" s="15" t="s">
        <v>360</v>
      </c>
      <c r="K1063" s="16" t="s">
        <v>59</v>
      </c>
      <c r="L1063" s="15" t="s">
        <v>1719</v>
      </c>
      <c r="M1063" s="15"/>
      <c r="N1063" s="15" t="s">
        <v>173</v>
      </c>
      <c r="O1063" s="15"/>
      <c r="P1063" s="16" t="s">
        <v>106</v>
      </c>
      <c r="Q1063" s="17">
        <v>3999</v>
      </c>
      <c r="R1063" s="18">
        <v>30</v>
      </c>
      <c r="S1063" s="19">
        <v>3219.1950000000002</v>
      </c>
      <c r="T1063" s="20" t="s">
        <v>99</v>
      </c>
      <c r="U1063" s="21" t="s">
        <v>611</v>
      </c>
      <c r="V1063" s="23">
        <v>128</v>
      </c>
      <c r="W1063" s="23">
        <v>1</v>
      </c>
      <c r="X1063" s="24"/>
    </row>
    <row r="1064" spans="1:24" s="1" customFormat="1" ht="108" customHeight="1" x14ac:dyDescent="0.3">
      <c r="A1064" s="11" t="s">
        <v>607</v>
      </c>
      <c r="B1064" s="11" t="s">
        <v>1792</v>
      </c>
      <c r="C1064" s="12" t="s">
        <v>1793</v>
      </c>
      <c r="D1064" s="13"/>
      <c r="E1064" s="67" t="str">
        <f>HYPERLINK("https://www.google.ru/search?q=816499-MA&amp;newwindow=1&amp;tbm=isch","Еще фото")</f>
        <v>Еще фото</v>
      </c>
      <c r="F1064" s="14"/>
      <c r="G1064" s="11" t="s">
        <v>439</v>
      </c>
      <c r="H1064" s="11" t="s">
        <v>27</v>
      </c>
      <c r="I1064" s="15" t="s">
        <v>439</v>
      </c>
      <c r="J1064" s="15" t="s">
        <v>360</v>
      </c>
      <c r="K1064" s="16" t="s">
        <v>59</v>
      </c>
      <c r="L1064" s="15" t="s">
        <v>1794</v>
      </c>
      <c r="M1064" s="15"/>
      <c r="N1064" s="15" t="s">
        <v>212</v>
      </c>
      <c r="O1064" s="15"/>
      <c r="P1064" s="16" t="s">
        <v>1795</v>
      </c>
      <c r="Q1064" s="17">
        <v>3699</v>
      </c>
      <c r="R1064" s="18">
        <v>86.27</v>
      </c>
      <c r="S1064" s="26">
        <v>583.93549999999993</v>
      </c>
      <c r="T1064" s="20" t="s">
        <v>99</v>
      </c>
      <c r="U1064" s="21" t="s">
        <v>1673</v>
      </c>
      <c r="V1064" s="23">
        <v>176</v>
      </c>
      <c r="W1064" s="23">
        <v>2</v>
      </c>
      <c r="X1064" s="24"/>
    </row>
    <row r="1065" spans="1:24" s="1" customFormat="1" ht="26" customHeight="1" x14ac:dyDescent="0.3">
      <c r="A1065" s="11" t="s">
        <v>607</v>
      </c>
      <c r="B1065" s="11" t="s">
        <v>1796</v>
      </c>
      <c r="C1065" s="12" t="s">
        <v>1797</v>
      </c>
      <c r="D1065" s="85"/>
      <c r="E1065" s="67" t="str">
        <f>HYPERLINK("https://www.google.ru/search?q=811255-WH&amp;newwindow=1&amp;tbm=isch","Еще фото")</f>
        <v>Еще фото</v>
      </c>
      <c r="F1065" s="14"/>
      <c r="G1065" s="11" t="s">
        <v>439</v>
      </c>
      <c r="H1065" s="11" t="s">
        <v>27</v>
      </c>
      <c r="I1065" s="15" t="s">
        <v>439</v>
      </c>
      <c r="J1065" s="15" t="s">
        <v>360</v>
      </c>
      <c r="K1065" s="16" t="s">
        <v>45</v>
      </c>
      <c r="L1065" s="83" t="s">
        <v>1798</v>
      </c>
      <c r="M1065" s="15"/>
      <c r="N1065" s="15" t="s">
        <v>173</v>
      </c>
      <c r="O1065" s="15"/>
      <c r="P1065" s="16" t="s">
        <v>1799</v>
      </c>
      <c r="Q1065" s="17">
        <v>6599</v>
      </c>
      <c r="R1065" s="18">
        <v>65.03</v>
      </c>
      <c r="S1065" s="19">
        <v>2653.9354999999996</v>
      </c>
      <c r="T1065" s="20" t="s">
        <v>99</v>
      </c>
      <c r="U1065" s="21" t="s">
        <v>34</v>
      </c>
      <c r="V1065" s="22" t="s">
        <v>35</v>
      </c>
      <c r="W1065" s="23">
        <v>6</v>
      </c>
      <c r="X1065" s="24"/>
    </row>
    <row r="1066" spans="1:24" s="1" customFormat="1" ht="26" customHeight="1" x14ac:dyDescent="0.3">
      <c r="A1066" s="25" t="s">
        <v>607</v>
      </c>
      <c r="B1066" s="25" t="s">
        <v>1796</v>
      </c>
      <c r="C1066" s="12" t="s">
        <v>1797</v>
      </c>
      <c r="D1066" s="86"/>
      <c r="E1066" s="67" t="str">
        <f>HYPERLINK("https://www.google.ru/search?q=811255-WH&amp;newwindow=1&amp;tbm=isch","Еще фото")</f>
        <v>Еще фото</v>
      </c>
      <c r="F1066" s="14"/>
      <c r="G1066" s="25" t="s">
        <v>439</v>
      </c>
      <c r="H1066" s="25" t="s">
        <v>27</v>
      </c>
      <c r="I1066" s="25" t="s">
        <v>439</v>
      </c>
      <c r="J1066" s="15" t="s">
        <v>360</v>
      </c>
      <c r="K1066" s="16" t="s">
        <v>45</v>
      </c>
      <c r="L1066" s="88"/>
      <c r="M1066" s="15"/>
      <c r="N1066" s="15" t="s">
        <v>173</v>
      </c>
      <c r="O1066" s="15"/>
      <c r="P1066" s="16" t="s">
        <v>1799</v>
      </c>
      <c r="Q1066" s="17">
        <v>6599</v>
      </c>
      <c r="R1066" s="18">
        <v>65.03</v>
      </c>
      <c r="S1066" s="19">
        <v>2653.9354999999996</v>
      </c>
      <c r="T1066" s="20" t="s">
        <v>99</v>
      </c>
      <c r="U1066" s="21" t="s">
        <v>52</v>
      </c>
      <c r="V1066" s="22" t="s">
        <v>53</v>
      </c>
      <c r="W1066" s="23">
        <v>6</v>
      </c>
      <c r="X1066" s="24"/>
    </row>
    <row r="1067" spans="1:24" s="1" customFormat="1" ht="26" customHeight="1" x14ac:dyDescent="0.3">
      <c r="A1067" s="25" t="s">
        <v>607</v>
      </c>
      <c r="B1067" s="25" t="s">
        <v>1796</v>
      </c>
      <c r="C1067" s="12" t="s">
        <v>1797</v>
      </c>
      <c r="D1067" s="86"/>
      <c r="E1067" s="67" t="str">
        <f>HYPERLINK("https://www.google.ru/search?q=811255-WH&amp;newwindow=1&amp;tbm=isch","Еще фото")</f>
        <v>Еще фото</v>
      </c>
      <c r="F1067" s="14"/>
      <c r="G1067" s="25" t="s">
        <v>439</v>
      </c>
      <c r="H1067" s="25" t="s">
        <v>27</v>
      </c>
      <c r="I1067" s="25" t="s">
        <v>439</v>
      </c>
      <c r="J1067" s="15" t="s">
        <v>360</v>
      </c>
      <c r="K1067" s="16" t="s">
        <v>45</v>
      </c>
      <c r="L1067" s="88"/>
      <c r="M1067" s="15"/>
      <c r="N1067" s="15" t="s">
        <v>173</v>
      </c>
      <c r="O1067" s="15"/>
      <c r="P1067" s="16" t="s">
        <v>1799</v>
      </c>
      <c r="Q1067" s="17">
        <v>6599</v>
      </c>
      <c r="R1067" s="18">
        <v>65.03</v>
      </c>
      <c r="S1067" s="19">
        <v>2653.9354999999996</v>
      </c>
      <c r="T1067" s="20" t="s">
        <v>99</v>
      </c>
      <c r="U1067" s="21" t="s">
        <v>40</v>
      </c>
      <c r="V1067" s="22" t="s">
        <v>41</v>
      </c>
      <c r="W1067" s="23">
        <v>4</v>
      </c>
      <c r="X1067" s="24"/>
    </row>
    <row r="1068" spans="1:24" s="1" customFormat="1" ht="26" customHeight="1" x14ac:dyDescent="0.3">
      <c r="A1068" s="25" t="s">
        <v>607</v>
      </c>
      <c r="B1068" s="25" t="s">
        <v>1796</v>
      </c>
      <c r="C1068" s="12" t="s">
        <v>1797</v>
      </c>
      <c r="D1068" s="87"/>
      <c r="E1068" s="67" t="str">
        <f>HYPERLINK("https://www.google.ru/search?q=811255-WH&amp;newwindow=1&amp;tbm=isch","Еще фото")</f>
        <v>Еще фото</v>
      </c>
      <c r="F1068" s="14"/>
      <c r="G1068" s="25" t="s">
        <v>439</v>
      </c>
      <c r="H1068" s="25" t="s">
        <v>27</v>
      </c>
      <c r="I1068" s="25" t="s">
        <v>439</v>
      </c>
      <c r="J1068" s="15" t="s">
        <v>360</v>
      </c>
      <c r="K1068" s="16" t="s">
        <v>45</v>
      </c>
      <c r="L1068" s="84"/>
      <c r="M1068" s="15"/>
      <c r="N1068" s="15" t="s">
        <v>173</v>
      </c>
      <c r="O1068" s="15"/>
      <c r="P1068" s="16" t="s">
        <v>1799</v>
      </c>
      <c r="Q1068" s="17">
        <v>6599</v>
      </c>
      <c r="R1068" s="18">
        <v>65.03</v>
      </c>
      <c r="S1068" s="19">
        <v>2653.9354999999996</v>
      </c>
      <c r="T1068" s="20" t="s">
        <v>99</v>
      </c>
      <c r="U1068" s="21" t="s">
        <v>42</v>
      </c>
      <c r="V1068" s="22" t="s">
        <v>43</v>
      </c>
      <c r="W1068" s="23">
        <v>1</v>
      </c>
      <c r="X1068" s="24"/>
    </row>
    <row r="1069" spans="1:24" s="1" customFormat="1" ht="26" customHeight="1" x14ac:dyDescent="0.3">
      <c r="A1069" s="11" t="s">
        <v>607</v>
      </c>
      <c r="B1069" s="11" t="s">
        <v>1800</v>
      </c>
      <c r="C1069" s="12" t="s">
        <v>1801</v>
      </c>
      <c r="D1069" s="85"/>
      <c r="E1069" s="67" t="str">
        <f>HYPERLINK("https://www.google.ru/search?q=814305-CE&amp;newwindow=1&amp;tbm=isch","Еще фото")</f>
        <v>Еще фото</v>
      </c>
      <c r="F1069" s="14"/>
      <c r="G1069" s="11" t="s">
        <v>439</v>
      </c>
      <c r="H1069" s="11" t="s">
        <v>27</v>
      </c>
      <c r="I1069" s="15" t="s">
        <v>439</v>
      </c>
      <c r="J1069" s="15" t="s">
        <v>360</v>
      </c>
      <c r="K1069" s="16" t="s">
        <v>29</v>
      </c>
      <c r="L1069" s="83" t="s">
        <v>1802</v>
      </c>
      <c r="M1069" s="15"/>
      <c r="N1069" s="15" t="s">
        <v>55</v>
      </c>
      <c r="O1069" s="15"/>
      <c r="P1069" s="16" t="s">
        <v>1799</v>
      </c>
      <c r="Q1069" s="17">
        <v>7299</v>
      </c>
      <c r="R1069" s="18">
        <v>61.67</v>
      </c>
      <c r="S1069" s="19">
        <v>3217.4354999999996</v>
      </c>
      <c r="T1069" s="20" t="s">
        <v>99</v>
      </c>
      <c r="U1069" s="21" t="s">
        <v>442</v>
      </c>
      <c r="V1069" s="22" t="s">
        <v>35</v>
      </c>
      <c r="W1069" s="23">
        <v>2</v>
      </c>
      <c r="X1069" s="24"/>
    </row>
    <row r="1070" spans="1:24" s="1" customFormat="1" ht="26" customHeight="1" x14ac:dyDescent="0.3">
      <c r="A1070" s="25" t="s">
        <v>607</v>
      </c>
      <c r="B1070" s="25" t="s">
        <v>1800</v>
      </c>
      <c r="C1070" s="12" t="s">
        <v>1801</v>
      </c>
      <c r="D1070" s="86"/>
      <c r="E1070" s="67" t="str">
        <f>HYPERLINK("https://www.google.ru/search?q=814305-CE&amp;newwindow=1&amp;tbm=isch","Еще фото")</f>
        <v>Еще фото</v>
      </c>
      <c r="F1070" s="14"/>
      <c r="G1070" s="25" t="s">
        <v>439</v>
      </c>
      <c r="H1070" s="25" t="s">
        <v>27</v>
      </c>
      <c r="I1070" s="25" t="s">
        <v>439</v>
      </c>
      <c r="J1070" s="15" t="s">
        <v>360</v>
      </c>
      <c r="K1070" s="16" t="s">
        <v>29</v>
      </c>
      <c r="L1070" s="88"/>
      <c r="M1070" s="15"/>
      <c r="N1070" s="15" t="s">
        <v>55</v>
      </c>
      <c r="O1070" s="15"/>
      <c r="P1070" s="16" t="s">
        <v>1799</v>
      </c>
      <c r="Q1070" s="17">
        <v>7299</v>
      </c>
      <c r="R1070" s="18">
        <v>61.67</v>
      </c>
      <c r="S1070" s="19">
        <v>3217.4354999999996</v>
      </c>
      <c r="T1070" s="20" t="s">
        <v>99</v>
      </c>
      <c r="U1070" s="21" t="s">
        <v>34</v>
      </c>
      <c r="V1070" s="22" t="s">
        <v>53</v>
      </c>
      <c r="W1070" s="23">
        <v>4</v>
      </c>
      <c r="X1070" s="24"/>
    </row>
    <row r="1071" spans="1:24" s="1" customFormat="1" ht="26" customHeight="1" x14ac:dyDescent="0.3">
      <c r="A1071" s="25" t="s">
        <v>607</v>
      </c>
      <c r="B1071" s="25" t="s">
        <v>1800</v>
      </c>
      <c r="C1071" s="12" t="s">
        <v>1801</v>
      </c>
      <c r="D1071" s="86"/>
      <c r="E1071" s="67" t="str">
        <f>HYPERLINK("https://www.google.ru/search?q=814305-CE&amp;newwindow=1&amp;tbm=isch","Еще фото")</f>
        <v>Еще фото</v>
      </c>
      <c r="F1071" s="14"/>
      <c r="G1071" s="25" t="s">
        <v>439</v>
      </c>
      <c r="H1071" s="25" t="s">
        <v>27</v>
      </c>
      <c r="I1071" s="25" t="s">
        <v>439</v>
      </c>
      <c r="J1071" s="15" t="s">
        <v>360</v>
      </c>
      <c r="K1071" s="16" t="s">
        <v>29</v>
      </c>
      <c r="L1071" s="88"/>
      <c r="M1071" s="15"/>
      <c r="N1071" s="15" t="s">
        <v>55</v>
      </c>
      <c r="O1071" s="15"/>
      <c r="P1071" s="16" t="s">
        <v>1799</v>
      </c>
      <c r="Q1071" s="17">
        <v>7299</v>
      </c>
      <c r="R1071" s="18">
        <v>61.67</v>
      </c>
      <c r="S1071" s="19">
        <v>3217.4354999999996</v>
      </c>
      <c r="T1071" s="20" t="s">
        <v>99</v>
      </c>
      <c r="U1071" s="21" t="s">
        <v>52</v>
      </c>
      <c r="V1071" s="22" t="s">
        <v>41</v>
      </c>
      <c r="W1071" s="23">
        <v>3</v>
      </c>
      <c r="X1071" s="24"/>
    </row>
    <row r="1072" spans="1:24" s="1" customFormat="1" ht="26" customHeight="1" x14ac:dyDescent="0.3">
      <c r="A1072" s="25" t="s">
        <v>607</v>
      </c>
      <c r="B1072" s="25" t="s">
        <v>1800</v>
      </c>
      <c r="C1072" s="12" t="s">
        <v>1801</v>
      </c>
      <c r="D1072" s="87"/>
      <c r="E1072" s="67" t="str">
        <f>HYPERLINK("https://www.google.ru/search?q=814305-CE&amp;newwindow=1&amp;tbm=isch","Еще фото")</f>
        <v>Еще фото</v>
      </c>
      <c r="F1072" s="14"/>
      <c r="G1072" s="25" t="s">
        <v>439</v>
      </c>
      <c r="H1072" s="25" t="s">
        <v>27</v>
      </c>
      <c r="I1072" s="25" t="s">
        <v>439</v>
      </c>
      <c r="J1072" s="15" t="s">
        <v>360</v>
      </c>
      <c r="K1072" s="16" t="s">
        <v>29</v>
      </c>
      <c r="L1072" s="84"/>
      <c r="M1072" s="15"/>
      <c r="N1072" s="15" t="s">
        <v>55</v>
      </c>
      <c r="O1072" s="15"/>
      <c r="P1072" s="16" t="s">
        <v>1799</v>
      </c>
      <c r="Q1072" s="17">
        <v>7299</v>
      </c>
      <c r="R1072" s="18">
        <v>61.67</v>
      </c>
      <c r="S1072" s="19">
        <v>3217.4354999999996</v>
      </c>
      <c r="T1072" s="20" t="s">
        <v>99</v>
      </c>
      <c r="U1072" s="21" t="s">
        <v>40</v>
      </c>
      <c r="V1072" s="22" t="s">
        <v>43</v>
      </c>
      <c r="W1072" s="23">
        <v>2</v>
      </c>
      <c r="X1072" s="24"/>
    </row>
    <row r="1073" spans="1:24" s="1" customFormat="1" ht="26" customHeight="1" x14ac:dyDescent="0.3">
      <c r="A1073" s="11" t="s">
        <v>607</v>
      </c>
      <c r="B1073" s="11" t="s">
        <v>1800</v>
      </c>
      <c r="C1073" s="12" t="s">
        <v>1803</v>
      </c>
      <c r="D1073" s="85"/>
      <c r="E1073" s="67" t="str">
        <f>HYPERLINK("https://www.google.ru/search?q=814305-NV&amp;newwindow=1&amp;tbm=isch","Еще фото")</f>
        <v>Еще фото</v>
      </c>
      <c r="F1073" s="14"/>
      <c r="G1073" s="11" t="s">
        <v>439</v>
      </c>
      <c r="H1073" s="11" t="s">
        <v>27</v>
      </c>
      <c r="I1073" s="15" t="s">
        <v>439</v>
      </c>
      <c r="J1073" s="15" t="s">
        <v>360</v>
      </c>
      <c r="K1073" s="16" t="s">
        <v>29</v>
      </c>
      <c r="L1073" s="83" t="s">
        <v>1802</v>
      </c>
      <c r="M1073" s="15"/>
      <c r="N1073" s="15" t="s">
        <v>31</v>
      </c>
      <c r="O1073" s="15"/>
      <c r="P1073" s="16" t="s">
        <v>1799</v>
      </c>
      <c r="Q1073" s="17">
        <v>7299</v>
      </c>
      <c r="R1073" s="18">
        <v>61.67</v>
      </c>
      <c r="S1073" s="19">
        <v>3217.4354999999996</v>
      </c>
      <c r="T1073" s="20" t="s">
        <v>99</v>
      </c>
      <c r="U1073" s="21" t="s">
        <v>442</v>
      </c>
      <c r="V1073" s="22" t="s">
        <v>35</v>
      </c>
      <c r="W1073" s="23">
        <v>2</v>
      </c>
      <c r="X1073" s="24"/>
    </row>
    <row r="1074" spans="1:24" s="1" customFormat="1" ht="26" customHeight="1" x14ac:dyDescent="0.3">
      <c r="A1074" s="25" t="s">
        <v>607</v>
      </c>
      <c r="B1074" s="25" t="s">
        <v>1800</v>
      </c>
      <c r="C1074" s="12" t="s">
        <v>1803</v>
      </c>
      <c r="D1074" s="86"/>
      <c r="E1074" s="67" t="str">
        <f>HYPERLINK("https://www.google.ru/search?q=814305-NV&amp;newwindow=1&amp;tbm=isch","Еще фото")</f>
        <v>Еще фото</v>
      </c>
      <c r="F1074" s="14"/>
      <c r="G1074" s="25" t="s">
        <v>439</v>
      </c>
      <c r="H1074" s="25" t="s">
        <v>27</v>
      </c>
      <c r="I1074" s="25" t="s">
        <v>439</v>
      </c>
      <c r="J1074" s="15" t="s">
        <v>360</v>
      </c>
      <c r="K1074" s="16" t="s">
        <v>29</v>
      </c>
      <c r="L1074" s="88"/>
      <c r="M1074" s="15"/>
      <c r="N1074" s="15" t="s">
        <v>31</v>
      </c>
      <c r="O1074" s="15"/>
      <c r="P1074" s="16" t="s">
        <v>1799</v>
      </c>
      <c r="Q1074" s="17">
        <v>7299</v>
      </c>
      <c r="R1074" s="18">
        <v>61.67</v>
      </c>
      <c r="S1074" s="19">
        <v>3217.4354999999996</v>
      </c>
      <c r="T1074" s="20" t="s">
        <v>99</v>
      </c>
      <c r="U1074" s="21" t="s">
        <v>34</v>
      </c>
      <c r="V1074" s="22" t="s">
        <v>53</v>
      </c>
      <c r="W1074" s="23">
        <v>4</v>
      </c>
      <c r="X1074" s="24"/>
    </row>
    <row r="1075" spans="1:24" s="1" customFormat="1" ht="26" customHeight="1" x14ac:dyDescent="0.3">
      <c r="A1075" s="25" t="s">
        <v>607</v>
      </c>
      <c r="B1075" s="25" t="s">
        <v>1800</v>
      </c>
      <c r="C1075" s="12" t="s">
        <v>1803</v>
      </c>
      <c r="D1075" s="86"/>
      <c r="E1075" s="67" t="str">
        <f>HYPERLINK("https://www.google.ru/search?q=814305-NV&amp;newwindow=1&amp;tbm=isch","Еще фото")</f>
        <v>Еще фото</v>
      </c>
      <c r="F1075" s="14"/>
      <c r="G1075" s="25" t="s">
        <v>439</v>
      </c>
      <c r="H1075" s="25" t="s">
        <v>27</v>
      </c>
      <c r="I1075" s="25" t="s">
        <v>439</v>
      </c>
      <c r="J1075" s="15" t="s">
        <v>360</v>
      </c>
      <c r="K1075" s="16" t="s">
        <v>29</v>
      </c>
      <c r="L1075" s="88"/>
      <c r="M1075" s="15"/>
      <c r="N1075" s="15" t="s">
        <v>31</v>
      </c>
      <c r="O1075" s="15"/>
      <c r="P1075" s="16" t="s">
        <v>1799</v>
      </c>
      <c r="Q1075" s="17">
        <v>7299</v>
      </c>
      <c r="R1075" s="18">
        <v>61.67</v>
      </c>
      <c r="S1075" s="19">
        <v>3217.4354999999996</v>
      </c>
      <c r="T1075" s="20" t="s">
        <v>99</v>
      </c>
      <c r="U1075" s="21" t="s">
        <v>52</v>
      </c>
      <c r="V1075" s="22" t="s">
        <v>41</v>
      </c>
      <c r="W1075" s="23">
        <v>4</v>
      </c>
      <c r="X1075" s="24"/>
    </row>
    <row r="1076" spans="1:24" s="1" customFormat="1" ht="26" customHeight="1" x14ac:dyDescent="0.3">
      <c r="A1076" s="25" t="s">
        <v>607</v>
      </c>
      <c r="B1076" s="25" t="s">
        <v>1800</v>
      </c>
      <c r="C1076" s="12" t="s">
        <v>1803</v>
      </c>
      <c r="D1076" s="87"/>
      <c r="E1076" s="67" t="str">
        <f>HYPERLINK("https://www.google.ru/search?q=814305-NV&amp;newwindow=1&amp;tbm=isch","Еще фото")</f>
        <v>Еще фото</v>
      </c>
      <c r="F1076" s="14"/>
      <c r="G1076" s="25" t="s">
        <v>439</v>
      </c>
      <c r="H1076" s="25" t="s">
        <v>27</v>
      </c>
      <c r="I1076" s="25" t="s">
        <v>439</v>
      </c>
      <c r="J1076" s="15" t="s">
        <v>360</v>
      </c>
      <c r="K1076" s="16" t="s">
        <v>29</v>
      </c>
      <c r="L1076" s="84"/>
      <c r="M1076" s="15"/>
      <c r="N1076" s="15" t="s">
        <v>31</v>
      </c>
      <c r="O1076" s="15"/>
      <c r="P1076" s="16" t="s">
        <v>1799</v>
      </c>
      <c r="Q1076" s="17">
        <v>7299</v>
      </c>
      <c r="R1076" s="18">
        <v>61.67</v>
      </c>
      <c r="S1076" s="19">
        <v>3217.4354999999996</v>
      </c>
      <c r="T1076" s="20" t="s">
        <v>99</v>
      </c>
      <c r="U1076" s="21" t="s">
        <v>40</v>
      </c>
      <c r="V1076" s="22" t="s">
        <v>43</v>
      </c>
      <c r="W1076" s="23">
        <v>1</v>
      </c>
      <c r="X1076" s="24"/>
    </row>
    <row r="1077" spans="1:24" s="1" customFormat="1" ht="26" customHeight="1" x14ac:dyDescent="0.3">
      <c r="A1077" s="11" t="s">
        <v>607</v>
      </c>
      <c r="B1077" s="11" t="s">
        <v>1800</v>
      </c>
      <c r="C1077" s="12" t="s">
        <v>1804</v>
      </c>
      <c r="D1077" s="85"/>
      <c r="E1077" s="67" t="str">
        <f>HYPERLINK("https://www.google.ru/search?q=814305-WH&amp;newwindow=1&amp;tbm=isch","Еще фото")</f>
        <v>Еще фото</v>
      </c>
      <c r="F1077" s="14"/>
      <c r="G1077" s="11" t="s">
        <v>439</v>
      </c>
      <c r="H1077" s="11" t="s">
        <v>27</v>
      </c>
      <c r="I1077" s="15" t="s">
        <v>439</v>
      </c>
      <c r="J1077" s="15" t="s">
        <v>360</v>
      </c>
      <c r="K1077" s="16" t="s">
        <v>29</v>
      </c>
      <c r="L1077" s="83" t="s">
        <v>1802</v>
      </c>
      <c r="M1077" s="15"/>
      <c r="N1077" s="15" t="s">
        <v>173</v>
      </c>
      <c r="O1077" s="15"/>
      <c r="P1077" s="16" t="s">
        <v>1799</v>
      </c>
      <c r="Q1077" s="17">
        <v>7299</v>
      </c>
      <c r="R1077" s="18">
        <v>61.67</v>
      </c>
      <c r="S1077" s="19">
        <v>3217.4354999999996</v>
      </c>
      <c r="T1077" s="20" t="s">
        <v>99</v>
      </c>
      <c r="U1077" s="21" t="s">
        <v>442</v>
      </c>
      <c r="V1077" s="22" t="s">
        <v>35</v>
      </c>
      <c r="W1077" s="23">
        <v>2</v>
      </c>
      <c r="X1077" s="24"/>
    </row>
    <row r="1078" spans="1:24" s="1" customFormat="1" ht="26" customHeight="1" x14ac:dyDescent="0.3">
      <c r="A1078" s="25" t="s">
        <v>607</v>
      </c>
      <c r="B1078" s="25" t="s">
        <v>1800</v>
      </c>
      <c r="C1078" s="12" t="s">
        <v>1804</v>
      </c>
      <c r="D1078" s="86"/>
      <c r="E1078" s="67" t="str">
        <f>HYPERLINK("https://www.google.ru/search?q=814305-WH&amp;newwindow=1&amp;tbm=isch","Еще фото")</f>
        <v>Еще фото</v>
      </c>
      <c r="F1078" s="14"/>
      <c r="G1078" s="25" t="s">
        <v>439</v>
      </c>
      <c r="H1078" s="25" t="s">
        <v>27</v>
      </c>
      <c r="I1078" s="25" t="s">
        <v>439</v>
      </c>
      <c r="J1078" s="15" t="s">
        <v>360</v>
      </c>
      <c r="K1078" s="16" t="s">
        <v>29</v>
      </c>
      <c r="L1078" s="88"/>
      <c r="M1078" s="15"/>
      <c r="N1078" s="15" t="s">
        <v>173</v>
      </c>
      <c r="O1078" s="15"/>
      <c r="P1078" s="16" t="s">
        <v>1799</v>
      </c>
      <c r="Q1078" s="17">
        <v>7299</v>
      </c>
      <c r="R1078" s="18">
        <v>61.67</v>
      </c>
      <c r="S1078" s="19">
        <v>3217.4354999999996</v>
      </c>
      <c r="T1078" s="20" t="s">
        <v>99</v>
      </c>
      <c r="U1078" s="21" t="s">
        <v>34</v>
      </c>
      <c r="V1078" s="22" t="s">
        <v>53</v>
      </c>
      <c r="W1078" s="23">
        <v>4</v>
      </c>
      <c r="X1078" s="24"/>
    </row>
    <row r="1079" spans="1:24" s="1" customFormat="1" ht="26" customHeight="1" x14ac:dyDescent="0.3">
      <c r="A1079" s="25" t="s">
        <v>607</v>
      </c>
      <c r="B1079" s="25" t="s">
        <v>1800</v>
      </c>
      <c r="C1079" s="12" t="s">
        <v>1804</v>
      </c>
      <c r="D1079" s="86"/>
      <c r="E1079" s="67" t="str">
        <f>HYPERLINK("https://www.google.ru/search?q=814305-WH&amp;newwindow=1&amp;tbm=isch","Еще фото")</f>
        <v>Еще фото</v>
      </c>
      <c r="F1079" s="14"/>
      <c r="G1079" s="25" t="s">
        <v>439</v>
      </c>
      <c r="H1079" s="25" t="s">
        <v>27</v>
      </c>
      <c r="I1079" s="25" t="s">
        <v>439</v>
      </c>
      <c r="J1079" s="15" t="s">
        <v>360</v>
      </c>
      <c r="K1079" s="16" t="s">
        <v>29</v>
      </c>
      <c r="L1079" s="88"/>
      <c r="M1079" s="15"/>
      <c r="N1079" s="15" t="s">
        <v>173</v>
      </c>
      <c r="O1079" s="15"/>
      <c r="P1079" s="16" t="s">
        <v>1799</v>
      </c>
      <c r="Q1079" s="17">
        <v>7299</v>
      </c>
      <c r="R1079" s="18">
        <v>61.67</v>
      </c>
      <c r="S1079" s="19">
        <v>3217.4354999999996</v>
      </c>
      <c r="T1079" s="20" t="s">
        <v>99</v>
      </c>
      <c r="U1079" s="21" t="s">
        <v>52</v>
      </c>
      <c r="V1079" s="22" t="s">
        <v>41</v>
      </c>
      <c r="W1079" s="23">
        <v>3</v>
      </c>
      <c r="X1079" s="24"/>
    </row>
    <row r="1080" spans="1:24" s="1" customFormat="1" ht="26" customHeight="1" x14ac:dyDescent="0.3">
      <c r="A1080" s="25" t="s">
        <v>607</v>
      </c>
      <c r="B1080" s="25" t="s">
        <v>1800</v>
      </c>
      <c r="C1080" s="12" t="s">
        <v>1804</v>
      </c>
      <c r="D1080" s="87"/>
      <c r="E1080" s="67" t="str">
        <f>HYPERLINK("https://www.google.ru/search?q=814305-WH&amp;newwindow=1&amp;tbm=isch","Еще фото")</f>
        <v>Еще фото</v>
      </c>
      <c r="F1080" s="14"/>
      <c r="G1080" s="25" t="s">
        <v>439</v>
      </c>
      <c r="H1080" s="25" t="s">
        <v>27</v>
      </c>
      <c r="I1080" s="25" t="s">
        <v>439</v>
      </c>
      <c r="J1080" s="15" t="s">
        <v>360</v>
      </c>
      <c r="K1080" s="16" t="s">
        <v>29</v>
      </c>
      <c r="L1080" s="84"/>
      <c r="M1080" s="15"/>
      <c r="N1080" s="15" t="s">
        <v>173</v>
      </c>
      <c r="O1080" s="15"/>
      <c r="P1080" s="16" t="s">
        <v>1799</v>
      </c>
      <c r="Q1080" s="17">
        <v>7299</v>
      </c>
      <c r="R1080" s="18">
        <v>61.67</v>
      </c>
      <c r="S1080" s="19">
        <v>3217.4354999999996</v>
      </c>
      <c r="T1080" s="20" t="s">
        <v>99</v>
      </c>
      <c r="U1080" s="21" t="s">
        <v>40</v>
      </c>
      <c r="V1080" s="22" t="s">
        <v>43</v>
      </c>
      <c r="W1080" s="23">
        <v>2</v>
      </c>
      <c r="X1080" s="24"/>
    </row>
    <row r="1081" spans="1:24" s="1" customFormat="1" ht="26" customHeight="1" x14ac:dyDescent="0.3">
      <c r="A1081" s="11" t="s">
        <v>607</v>
      </c>
      <c r="B1081" s="11" t="s">
        <v>1800</v>
      </c>
      <c r="C1081" s="12" t="s">
        <v>1805</v>
      </c>
      <c r="D1081" s="85"/>
      <c r="E1081" s="67" t="str">
        <f>HYPERLINK("https://www.google.ru/search?q=814305-ZI&amp;newwindow=1&amp;tbm=isch","Еще фото")</f>
        <v>Еще фото</v>
      </c>
      <c r="F1081" s="14"/>
      <c r="G1081" s="11" t="s">
        <v>439</v>
      </c>
      <c r="H1081" s="11" t="s">
        <v>27</v>
      </c>
      <c r="I1081" s="15" t="s">
        <v>439</v>
      </c>
      <c r="J1081" s="15" t="s">
        <v>360</v>
      </c>
      <c r="K1081" s="16" t="s">
        <v>29</v>
      </c>
      <c r="L1081" s="83" t="s">
        <v>1802</v>
      </c>
      <c r="M1081" s="15"/>
      <c r="N1081" s="15" t="s">
        <v>212</v>
      </c>
      <c r="O1081" s="15"/>
      <c r="P1081" s="16" t="s">
        <v>1799</v>
      </c>
      <c r="Q1081" s="17">
        <v>7299</v>
      </c>
      <c r="R1081" s="18">
        <v>61.67</v>
      </c>
      <c r="S1081" s="19">
        <v>3217.4354999999996</v>
      </c>
      <c r="T1081" s="20" t="s">
        <v>99</v>
      </c>
      <c r="U1081" s="21" t="s">
        <v>442</v>
      </c>
      <c r="V1081" s="22" t="s">
        <v>35</v>
      </c>
      <c r="W1081" s="23">
        <v>2</v>
      </c>
      <c r="X1081" s="24"/>
    </row>
    <row r="1082" spans="1:24" s="1" customFormat="1" ht="26" customHeight="1" x14ac:dyDescent="0.3">
      <c r="A1082" s="25" t="s">
        <v>607</v>
      </c>
      <c r="B1082" s="25" t="s">
        <v>1800</v>
      </c>
      <c r="C1082" s="12" t="s">
        <v>1805</v>
      </c>
      <c r="D1082" s="86"/>
      <c r="E1082" s="67" t="str">
        <f>HYPERLINK("https://www.google.ru/search?q=814305-ZI&amp;newwindow=1&amp;tbm=isch","Еще фото")</f>
        <v>Еще фото</v>
      </c>
      <c r="F1082" s="14"/>
      <c r="G1082" s="25" t="s">
        <v>439</v>
      </c>
      <c r="H1082" s="25" t="s">
        <v>27</v>
      </c>
      <c r="I1082" s="25" t="s">
        <v>439</v>
      </c>
      <c r="J1082" s="15" t="s">
        <v>360</v>
      </c>
      <c r="K1082" s="16" t="s">
        <v>29</v>
      </c>
      <c r="L1082" s="88"/>
      <c r="M1082" s="15"/>
      <c r="N1082" s="15" t="s">
        <v>212</v>
      </c>
      <c r="O1082" s="15"/>
      <c r="P1082" s="16" t="s">
        <v>1799</v>
      </c>
      <c r="Q1082" s="17">
        <v>7299</v>
      </c>
      <c r="R1082" s="18">
        <v>61.67</v>
      </c>
      <c r="S1082" s="19">
        <v>3217.4354999999996</v>
      </c>
      <c r="T1082" s="20" t="s">
        <v>99</v>
      </c>
      <c r="U1082" s="21" t="s">
        <v>34</v>
      </c>
      <c r="V1082" s="22" t="s">
        <v>53</v>
      </c>
      <c r="W1082" s="23">
        <v>3</v>
      </c>
      <c r="X1082" s="24"/>
    </row>
    <row r="1083" spans="1:24" s="1" customFormat="1" ht="26" customHeight="1" x14ac:dyDescent="0.3">
      <c r="A1083" s="25" t="s">
        <v>607</v>
      </c>
      <c r="B1083" s="25" t="s">
        <v>1800</v>
      </c>
      <c r="C1083" s="12" t="s">
        <v>1805</v>
      </c>
      <c r="D1083" s="86"/>
      <c r="E1083" s="67" t="str">
        <f>HYPERLINK("https://www.google.ru/search?q=814305-ZI&amp;newwindow=1&amp;tbm=isch","Еще фото")</f>
        <v>Еще фото</v>
      </c>
      <c r="F1083" s="14"/>
      <c r="G1083" s="25" t="s">
        <v>439</v>
      </c>
      <c r="H1083" s="25" t="s">
        <v>27</v>
      </c>
      <c r="I1083" s="25" t="s">
        <v>439</v>
      </c>
      <c r="J1083" s="15" t="s">
        <v>360</v>
      </c>
      <c r="K1083" s="16" t="s">
        <v>29</v>
      </c>
      <c r="L1083" s="88"/>
      <c r="M1083" s="15"/>
      <c r="N1083" s="15" t="s">
        <v>212</v>
      </c>
      <c r="O1083" s="15"/>
      <c r="P1083" s="16" t="s">
        <v>1799</v>
      </c>
      <c r="Q1083" s="17">
        <v>7299</v>
      </c>
      <c r="R1083" s="18">
        <v>61.67</v>
      </c>
      <c r="S1083" s="19">
        <v>3217.4354999999996</v>
      </c>
      <c r="T1083" s="20" t="s">
        <v>99</v>
      </c>
      <c r="U1083" s="21" t="s">
        <v>52</v>
      </c>
      <c r="V1083" s="22" t="s">
        <v>41</v>
      </c>
      <c r="W1083" s="23">
        <v>3</v>
      </c>
      <c r="X1083" s="24"/>
    </row>
    <row r="1084" spans="1:24" s="1" customFormat="1" ht="26" customHeight="1" x14ac:dyDescent="0.3">
      <c r="A1084" s="25" t="s">
        <v>607</v>
      </c>
      <c r="B1084" s="25" t="s">
        <v>1800</v>
      </c>
      <c r="C1084" s="12" t="s">
        <v>1805</v>
      </c>
      <c r="D1084" s="87"/>
      <c r="E1084" s="67" t="str">
        <f>HYPERLINK("https://www.google.ru/search?q=814305-ZI&amp;newwindow=1&amp;tbm=isch","Еще фото")</f>
        <v>Еще фото</v>
      </c>
      <c r="F1084" s="14"/>
      <c r="G1084" s="25" t="s">
        <v>439</v>
      </c>
      <c r="H1084" s="25" t="s">
        <v>27</v>
      </c>
      <c r="I1084" s="25" t="s">
        <v>439</v>
      </c>
      <c r="J1084" s="15" t="s">
        <v>360</v>
      </c>
      <c r="K1084" s="16" t="s">
        <v>29</v>
      </c>
      <c r="L1084" s="84"/>
      <c r="M1084" s="15"/>
      <c r="N1084" s="15" t="s">
        <v>212</v>
      </c>
      <c r="O1084" s="15"/>
      <c r="P1084" s="16" t="s">
        <v>1799</v>
      </c>
      <c r="Q1084" s="17">
        <v>7299</v>
      </c>
      <c r="R1084" s="18">
        <v>61.67</v>
      </c>
      <c r="S1084" s="19">
        <v>3217.4354999999996</v>
      </c>
      <c r="T1084" s="20" t="s">
        <v>99</v>
      </c>
      <c r="U1084" s="21" t="s">
        <v>40</v>
      </c>
      <c r="V1084" s="22" t="s">
        <v>43</v>
      </c>
      <c r="W1084" s="23">
        <v>1</v>
      </c>
      <c r="X1084" s="24"/>
    </row>
    <row r="1085" spans="1:24" s="1" customFormat="1" ht="35" customHeight="1" x14ac:dyDescent="0.3">
      <c r="A1085" s="11" t="s">
        <v>607</v>
      </c>
      <c r="B1085" s="11" t="s">
        <v>1806</v>
      </c>
      <c r="C1085" s="12" t="s">
        <v>1807</v>
      </c>
      <c r="D1085" s="85"/>
      <c r="E1085" s="67" t="str">
        <f>HYPERLINK("https://www.google.ru/search?q=811125-WH&amp;newwindow=1&amp;tbm=isch","Еще фото")</f>
        <v>Еще фото</v>
      </c>
      <c r="F1085" s="14"/>
      <c r="G1085" s="11" t="s">
        <v>439</v>
      </c>
      <c r="H1085" s="11" t="s">
        <v>27</v>
      </c>
      <c r="I1085" s="15" t="s">
        <v>439</v>
      </c>
      <c r="J1085" s="15" t="s">
        <v>360</v>
      </c>
      <c r="K1085" s="16" t="s">
        <v>45</v>
      </c>
      <c r="L1085" s="83" t="s">
        <v>1808</v>
      </c>
      <c r="M1085" s="15"/>
      <c r="N1085" s="15" t="s">
        <v>173</v>
      </c>
      <c r="O1085" s="15"/>
      <c r="P1085" s="16" t="s">
        <v>1809</v>
      </c>
      <c r="Q1085" s="17">
        <v>7999</v>
      </c>
      <c r="R1085" s="18">
        <v>61.65</v>
      </c>
      <c r="S1085" s="19">
        <v>3527.9354999999996</v>
      </c>
      <c r="T1085" s="20" t="s">
        <v>99</v>
      </c>
      <c r="U1085" s="21" t="s">
        <v>34</v>
      </c>
      <c r="V1085" s="22" t="s">
        <v>35</v>
      </c>
      <c r="W1085" s="23">
        <v>2</v>
      </c>
      <c r="X1085" s="24"/>
    </row>
    <row r="1086" spans="1:24" s="1" customFormat="1" ht="35" customHeight="1" x14ac:dyDescent="0.3">
      <c r="A1086" s="25" t="s">
        <v>607</v>
      </c>
      <c r="B1086" s="25" t="s">
        <v>1806</v>
      </c>
      <c r="C1086" s="12" t="s">
        <v>1807</v>
      </c>
      <c r="D1086" s="86"/>
      <c r="E1086" s="67" t="str">
        <f>HYPERLINK("https://www.google.ru/search?q=811125-WH&amp;newwindow=1&amp;tbm=isch","Еще фото")</f>
        <v>Еще фото</v>
      </c>
      <c r="F1086" s="14"/>
      <c r="G1086" s="25" t="s">
        <v>439</v>
      </c>
      <c r="H1086" s="25" t="s">
        <v>27</v>
      </c>
      <c r="I1086" s="25" t="s">
        <v>439</v>
      </c>
      <c r="J1086" s="15" t="s">
        <v>360</v>
      </c>
      <c r="K1086" s="16" t="s">
        <v>45</v>
      </c>
      <c r="L1086" s="88"/>
      <c r="M1086" s="15"/>
      <c r="N1086" s="15" t="s">
        <v>173</v>
      </c>
      <c r="O1086" s="15"/>
      <c r="P1086" s="16" t="s">
        <v>1809</v>
      </c>
      <c r="Q1086" s="17">
        <v>7999</v>
      </c>
      <c r="R1086" s="18">
        <v>61.65</v>
      </c>
      <c r="S1086" s="19">
        <v>3527.9354999999996</v>
      </c>
      <c r="T1086" s="20" t="s">
        <v>99</v>
      </c>
      <c r="U1086" s="21" t="s">
        <v>52</v>
      </c>
      <c r="V1086" s="22" t="s">
        <v>53</v>
      </c>
      <c r="W1086" s="23">
        <v>2</v>
      </c>
      <c r="X1086" s="24"/>
    </row>
    <row r="1087" spans="1:24" s="1" customFormat="1" ht="37.049999999999997" customHeight="1" x14ac:dyDescent="0.3">
      <c r="A1087" s="25" t="s">
        <v>607</v>
      </c>
      <c r="B1087" s="25" t="s">
        <v>1806</v>
      </c>
      <c r="C1087" s="12" t="s">
        <v>1807</v>
      </c>
      <c r="D1087" s="87"/>
      <c r="E1087" s="67" t="str">
        <f>HYPERLINK("https://www.google.ru/search?q=811125-WH&amp;newwindow=1&amp;tbm=isch","Еще фото")</f>
        <v>Еще фото</v>
      </c>
      <c r="F1087" s="14"/>
      <c r="G1087" s="25" t="s">
        <v>439</v>
      </c>
      <c r="H1087" s="25" t="s">
        <v>27</v>
      </c>
      <c r="I1087" s="25" t="s">
        <v>439</v>
      </c>
      <c r="J1087" s="15" t="s">
        <v>360</v>
      </c>
      <c r="K1087" s="16" t="s">
        <v>45</v>
      </c>
      <c r="L1087" s="84"/>
      <c r="M1087" s="15"/>
      <c r="N1087" s="15" t="s">
        <v>173</v>
      </c>
      <c r="O1087" s="15"/>
      <c r="P1087" s="16" t="s">
        <v>1809</v>
      </c>
      <c r="Q1087" s="17">
        <v>7999</v>
      </c>
      <c r="R1087" s="18">
        <v>61.65</v>
      </c>
      <c r="S1087" s="19">
        <v>3527.9354999999996</v>
      </c>
      <c r="T1087" s="20" t="s">
        <v>99</v>
      </c>
      <c r="U1087" s="21" t="s">
        <v>40</v>
      </c>
      <c r="V1087" s="22" t="s">
        <v>41</v>
      </c>
      <c r="W1087" s="23">
        <v>3</v>
      </c>
      <c r="X1087" s="24"/>
    </row>
    <row r="1088" spans="1:24" s="1" customFormat="1" ht="35" customHeight="1" x14ac:dyDescent="0.3">
      <c r="A1088" s="11" t="s">
        <v>607</v>
      </c>
      <c r="B1088" s="11" t="s">
        <v>1810</v>
      </c>
      <c r="C1088" s="12" t="s">
        <v>1811</v>
      </c>
      <c r="D1088" s="85"/>
      <c r="E1088" s="67" t="str">
        <f>HYPERLINK("https://www.google.ru/search?q=814874-NV&amp;newwindow=1&amp;tbm=isch","Еще фото")</f>
        <v>Еще фото</v>
      </c>
      <c r="F1088" s="14"/>
      <c r="G1088" s="11" t="s">
        <v>439</v>
      </c>
      <c r="H1088" s="11" t="s">
        <v>27</v>
      </c>
      <c r="I1088" s="15" t="s">
        <v>439</v>
      </c>
      <c r="J1088" s="15" t="s">
        <v>360</v>
      </c>
      <c r="K1088" s="16" t="s">
        <v>29</v>
      </c>
      <c r="L1088" s="83" t="s">
        <v>1812</v>
      </c>
      <c r="M1088" s="15"/>
      <c r="N1088" s="15" t="s">
        <v>31</v>
      </c>
      <c r="O1088" s="15"/>
      <c r="P1088" s="16" t="s">
        <v>1809</v>
      </c>
      <c r="Q1088" s="17">
        <v>7999</v>
      </c>
      <c r="R1088" s="18">
        <v>61.65</v>
      </c>
      <c r="S1088" s="19">
        <v>3527.9354999999996</v>
      </c>
      <c r="T1088" s="20" t="s">
        <v>99</v>
      </c>
      <c r="U1088" s="21" t="s">
        <v>442</v>
      </c>
      <c r="V1088" s="22" t="s">
        <v>35</v>
      </c>
      <c r="W1088" s="23">
        <v>2</v>
      </c>
      <c r="X1088" s="24"/>
    </row>
    <row r="1089" spans="1:24" s="1" customFormat="1" ht="35" customHeight="1" x14ac:dyDescent="0.3">
      <c r="A1089" s="25" t="s">
        <v>607</v>
      </c>
      <c r="B1089" s="25" t="s">
        <v>1810</v>
      </c>
      <c r="C1089" s="12" t="s">
        <v>1811</v>
      </c>
      <c r="D1089" s="86"/>
      <c r="E1089" s="67" t="str">
        <f>HYPERLINK("https://www.google.ru/search?q=814874-NV&amp;newwindow=1&amp;tbm=isch","Еще фото")</f>
        <v>Еще фото</v>
      </c>
      <c r="F1089" s="14"/>
      <c r="G1089" s="25" t="s">
        <v>439</v>
      </c>
      <c r="H1089" s="25" t="s">
        <v>27</v>
      </c>
      <c r="I1089" s="25" t="s">
        <v>439</v>
      </c>
      <c r="J1089" s="15" t="s">
        <v>360</v>
      </c>
      <c r="K1089" s="16" t="s">
        <v>29</v>
      </c>
      <c r="L1089" s="88"/>
      <c r="M1089" s="15"/>
      <c r="N1089" s="15" t="s">
        <v>31</v>
      </c>
      <c r="O1089" s="15"/>
      <c r="P1089" s="16" t="s">
        <v>1809</v>
      </c>
      <c r="Q1089" s="17">
        <v>7999</v>
      </c>
      <c r="R1089" s="18">
        <v>61.65</v>
      </c>
      <c r="S1089" s="19">
        <v>3527.9354999999996</v>
      </c>
      <c r="T1089" s="20" t="s">
        <v>99</v>
      </c>
      <c r="U1089" s="21" t="s">
        <v>34</v>
      </c>
      <c r="V1089" s="22" t="s">
        <v>53</v>
      </c>
      <c r="W1089" s="23">
        <v>3</v>
      </c>
      <c r="X1089" s="24"/>
    </row>
    <row r="1090" spans="1:24" s="1" customFormat="1" ht="37.049999999999997" customHeight="1" x14ac:dyDescent="0.3">
      <c r="A1090" s="25" t="s">
        <v>607</v>
      </c>
      <c r="B1090" s="25" t="s">
        <v>1810</v>
      </c>
      <c r="C1090" s="12" t="s">
        <v>1811</v>
      </c>
      <c r="D1090" s="87"/>
      <c r="E1090" s="67" t="str">
        <f>HYPERLINK("https://www.google.ru/search?q=814874-NV&amp;newwindow=1&amp;tbm=isch","Еще фото")</f>
        <v>Еще фото</v>
      </c>
      <c r="F1090" s="14"/>
      <c r="G1090" s="25" t="s">
        <v>439</v>
      </c>
      <c r="H1090" s="25" t="s">
        <v>27</v>
      </c>
      <c r="I1090" s="25" t="s">
        <v>439</v>
      </c>
      <c r="J1090" s="15" t="s">
        <v>360</v>
      </c>
      <c r="K1090" s="16" t="s">
        <v>29</v>
      </c>
      <c r="L1090" s="84"/>
      <c r="M1090" s="15"/>
      <c r="N1090" s="15" t="s">
        <v>31</v>
      </c>
      <c r="O1090" s="15"/>
      <c r="P1090" s="16" t="s">
        <v>1809</v>
      </c>
      <c r="Q1090" s="17">
        <v>7999</v>
      </c>
      <c r="R1090" s="18">
        <v>61.65</v>
      </c>
      <c r="S1090" s="19">
        <v>3527.9354999999996</v>
      </c>
      <c r="T1090" s="20" t="s">
        <v>99</v>
      </c>
      <c r="U1090" s="21" t="s">
        <v>52</v>
      </c>
      <c r="V1090" s="22" t="s">
        <v>41</v>
      </c>
      <c r="W1090" s="23">
        <v>2</v>
      </c>
      <c r="X1090" s="24"/>
    </row>
    <row r="1091" spans="1:24" s="1" customFormat="1" ht="35" customHeight="1" x14ac:dyDescent="0.3">
      <c r="A1091" s="11" t="s">
        <v>607</v>
      </c>
      <c r="B1091" s="11" t="s">
        <v>1813</v>
      </c>
      <c r="C1091" s="12" t="s">
        <v>1814</v>
      </c>
      <c r="D1091" s="85"/>
      <c r="E1091" s="67" t="str">
        <f>HYPERLINK("https://www.google.ru/search?q=811389-RD&amp;newwindow=1&amp;tbm=isch","Еще фото")</f>
        <v>Еще фото</v>
      </c>
      <c r="F1091" s="14"/>
      <c r="G1091" s="11" t="s">
        <v>439</v>
      </c>
      <c r="H1091" s="11" t="s">
        <v>27</v>
      </c>
      <c r="I1091" s="15" t="s">
        <v>439</v>
      </c>
      <c r="J1091" s="15" t="s">
        <v>360</v>
      </c>
      <c r="K1091" s="16" t="s">
        <v>45</v>
      </c>
      <c r="L1091" s="83" t="s">
        <v>1815</v>
      </c>
      <c r="M1091" s="15"/>
      <c r="N1091" s="15" t="s">
        <v>73</v>
      </c>
      <c r="O1091" s="15"/>
      <c r="P1091" s="16" t="s">
        <v>106</v>
      </c>
      <c r="Q1091" s="17">
        <v>5799</v>
      </c>
      <c r="R1091" s="18">
        <v>61.58</v>
      </c>
      <c r="S1091" s="19">
        <v>2561.9354999999996</v>
      </c>
      <c r="T1091" s="20" t="s">
        <v>99</v>
      </c>
      <c r="U1091" s="21" t="s">
        <v>34</v>
      </c>
      <c r="V1091" s="22" t="s">
        <v>35</v>
      </c>
      <c r="W1091" s="23">
        <v>2</v>
      </c>
      <c r="X1091" s="24"/>
    </row>
    <row r="1092" spans="1:24" s="1" customFormat="1" ht="35" customHeight="1" x14ac:dyDescent="0.3">
      <c r="A1092" s="25" t="s">
        <v>607</v>
      </c>
      <c r="B1092" s="25" t="s">
        <v>1813</v>
      </c>
      <c r="C1092" s="12" t="s">
        <v>1814</v>
      </c>
      <c r="D1092" s="86"/>
      <c r="E1092" s="67" t="str">
        <f>HYPERLINK("https://www.google.ru/search?q=811389-RD&amp;newwindow=1&amp;tbm=isch","Еще фото")</f>
        <v>Еще фото</v>
      </c>
      <c r="F1092" s="14"/>
      <c r="G1092" s="25" t="s">
        <v>439</v>
      </c>
      <c r="H1092" s="25" t="s">
        <v>27</v>
      </c>
      <c r="I1092" s="25" t="s">
        <v>439</v>
      </c>
      <c r="J1092" s="15" t="s">
        <v>360</v>
      </c>
      <c r="K1092" s="16" t="s">
        <v>45</v>
      </c>
      <c r="L1092" s="88"/>
      <c r="M1092" s="15"/>
      <c r="N1092" s="15" t="s">
        <v>73</v>
      </c>
      <c r="O1092" s="15"/>
      <c r="P1092" s="16" t="s">
        <v>106</v>
      </c>
      <c r="Q1092" s="17">
        <v>5799</v>
      </c>
      <c r="R1092" s="18">
        <v>61.58</v>
      </c>
      <c r="S1092" s="19">
        <v>2561.9354999999996</v>
      </c>
      <c r="T1092" s="20" t="s">
        <v>99</v>
      </c>
      <c r="U1092" s="21" t="s">
        <v>52</v>
      </c>
      <c r="V1092" s="22" t="s">
        <v>53</v>
      </c>
      <c r="W1092" s="23">
        <v>4</v>
      </c>
      <c r="X1092" s="24"/>
    </row>
    <row r="1093" spans="1:24" s="1" customFormat="1" ht="37.049999999999997" customHeight="1" x14ac:dyDescent="0.3">
      <c r="A1093" s="25" t="s">
        <v>607</v>
      </c>
      <c r="B1093" s="25" t="s">
        <v>1813</v>
      </c>
      <c r="C1093" s="12" t="s">
        <v>1814</v>
      </c>
      <c r="D1093" s="87"/>
      <c r="E1093" s="67" t="str">
        <f>HYPERLINK("https://www.google.ru/search?q=811389-RD&amp;newwindow=1&amp;tbm=isch","Еще фото")</f>
        <v>Еще фото</v>
      </c>
      <c r="F1093" s="14"/>
      <c r="G1093" s="25" t="s">
        <v>439</v>
      </c>
      <c r="H1093" s="25" t="s">
        <v>27</v>
      </c>
      <c r="I1093" s="25" t="s">
        <v>439</v>
      </c>
      <c r="J1093" s="15" t="s">
        <v>360</v>
      </c>
      <c r="K1093" s="16" t="s">
        <v>45</v>
      </c>
      <c r="L1093" s="84"/>
      <c r="M1093" s="15"/>
      <c r="N1093" s="15" t="s">
        <v>73</v>
      </c>
      <c r="O1093" s="15"/>
      <c r="P1093" s="16" t="s">
        <v>106</v>
      </c>
      <c r="Q1093" s="17">
        <v>5799</v>
      </c>
      <c r="R1093" s="18">
        <v>61.58</v>
      </c>
      <c r="S1093" s="19">
        <v>2561.9354999999996</v>
      </c>
      <c r="T1093" s="20" t="s">
        <v>99</v>
      </c>
      <c r="U1093" s="21" t="s">
        <v>40</v>
      </c>
      <c r="V1093" s="22" t="s">
        <v>41</v>
      </c>
      <c r="W1093" s="23">
        <v>3</v>
      </c>
      <c r="X1093" s="24"/>
    </row>
    <row r="1094" spans="1:24" s="1" customFormat="1" ht="21" customHeight="1" x14ac:dyDescent="0.3">
      <c r="A1094" s="11" t="s">
        <v>607</v>
      </c>
      <c r="B1094" s="11" t="s">
        <v>1813</v>
      </c>
      <c r="C1094" s="27" t="s">
        <v>1816</v>
      </c>
      <c r="D1094" s="85"/>
      <c r="E1094" s="67" t="str">
        <f>HYPERLINK("https://www.google.ru/search?q=811389-WH&amp;newwindow=1&amp;tbm=isch","Еще фото")</f>
        <v>Еще фото</v>
      </c>
      <c r="F1094" s="14"/>
      <c r="G1094" s="11" t="s">
        <v>439</v>
      </c>
      <c r="H1094" s="11" t="s">
        <v>27</v>
      </c>
      <c r="I1094" s="15" t="s">
        <v>439</v>
      </c>
      <c r="J1094" s="15" t="s">
        <v>360</v>
      </c>
      <c r="K1094" s="16" t="s">
        <v>45</v>
      </c>
      <c r="L1094" s="83" t="s">
        <v>1815</v>
      </c>
      <c r="M1094" s="15"/>
      <c r="N1094" s="15" t="s">
        <v>173</v>
      </c>
      <c r="O1094" s="15"/>
      <c r="P1094" s="16" t="s">
        <v>106</v>
      </c>
      <c r="Q1094" s="17">
        <v>5799</v>
      </c>
      <c r="R1094" s="18">
        <v>61.58</v>
      </c>
      <c r="S1094" s="19">
        <v>2561.9354999999996</v>
      </c>
      <c r="T1094" s="20" t="s">
        <v>99</v>
      </c>
      <c r="U1094" s="21" t="s">
        <v>34</v>
      </c>
      <c r="V1094" s="22" t="s">
        <v>35</v>
      </c>
      <c r="W1094" s="23">
        <v>2</v>
      </c>
      <c r="X1094" s="24"/>
    </row>
    <row r="1095" spans="1:24" s="1" customFormat="1" ht="21" customHeight="1" x14ac:dyDescent="0.3">
      <c r="A1095" s="25" t="s">
        <v>607</v>
      </c>
      <c r="B1095" s="25" t="s">
        <v>1813</v>
      </c>
      <c r="C1095" s="28" t="s">
        <v>1816</v>
      </c>
      <c r="D1095" s="86"/>
      <c r="E1095" s="67" t="str">
        <f>HYPERLINK("https://www.google.ru/search?q=811389-WH&amp;newwindow=1&amp;tbm=isch","Еще фото")</f>
        <v>Еще фото</v>
      </c>
      <c r="F1095" s="14"/>
      <c r="G1095" s="25" t="s">
        <v>439</v>
      </c>
      <c r="H1095" s="25" t="s">
        <v>27</v>
      </c>
      <c r="I1095" s="25" t="s">
        <v>439</v>
      </c>
      <c r="J1095" s="15" t="s">
        <v>360</v>
      </c>
      <c r="K1095" s="16" t="s">
        <v>45</v>
      </c>
      <c r="L1095" s="88"/>
      <c r="M1095" s="15"/>
      <c r="N1095" s="15" t="s">
        <v>173</v>
      </c>
      <c r="O1095" s="15"/>
      <c r="P1095" s="16" t="s">
        <v>106</v>
      </c>
      <c r="Q1095" s="17">
        <v>5799</v>
      </c>
      <c r="R1095" s="18">
        <v>61.58</v>
      </c>
      <c r="S1095" s="19">
        <v>2561.9354999999996</v>
      </c>
      <c r="T1095" s="20" t="s">
        <v>99</v>
      </c>
      <c r="U1095" s="21" t="s">
        <v>52</v>
      </c>
      <c r="V1095" s="22" t="s">
        <v>53</v>
      </c>
      <c r="W1095" s="23">
        <v>14</v>
      </c>
      <c r="X1095" s="24"/>
    </row>
    <row r="1096" spans="1:24" s="1" customFormat="1" ht="21" customHeight="1" x14ac:dyDescent="0.3">
      <c r="A1096" s="25" t="s">
        <v>607</v>
      </c>
      <c r="B1096" s="25" t="s">
        <v>1813</v>
      </c>
      <c r="C1096" s="28" t="s">
        <v>1816</v>
      </c>
      <c r="D1096" s="86"/>
      <c r="E1096" s="67" t="str">
        <f>HYPERLINK("https://www.google.ru/search?q=811389-WH&amp;newwindow=1&amp;tbm=isch","Еще фото")</f>
        <v>Еще фото</v>
      </c>
      <c r="F1096" s="14"/>
      <c r="G1096" s="25" t="s">
        <v>439</v>
      </c>
      <c r="H1096" s="25" t="s">
        <v>27</v>
      </c>
      <c r="I1096" s="25" t="s">
        <v>439</v>
      </c>
      <c r="J1096" s="15" t="s">
        <v>360</v>
      </c>
      <c r="K1096" s="16" t="s">
        <v>45</v>
      </c>
      <c r="L1096" s="88"/>
      <c r="M1096" s="15"/>
      <c r="N1096" s="15" t="s">
        <v>173</v>
      </c>
      <c r="O1096" s="15"/>
      <c r="P1096" s="16" t="s">
        <v>106</v>
      </c>
      <c r="Q1096" s="17">
        <v>5799</v>
      </c>
      <c r="R1096" s="18">
        <v>61.58</v>
      </c>
      <c r="S1096" s="19">
        <v>2561.9354999999996</v>
      </c>
      <c r="T1096" s="20" t="s">
        <v>99</v>
      </c>
      <c r="U1096" s="21" t="s">
        <v>40</v>
      </c>
      <c r="V1096" s="22" t="s">
        <v>41</v>
      </c>
      <c r="W1096" s="23">
        <v>11</v>
      </c>
      <c r="X1096" s="24"/>
    </row>
    <row r="1097" spans="1:24" s="1" customFormat="1" ht="21" customHeight="1" x14ac:dyDescent="0.3">
      <c r="A1097" s="25" t="s">
        <v>607</v>
      </c>
      <c r="B1097" s="25" t="s">
        <v>1813</v>
      </c>
      <c r="C1097" s="28" t="s">
        <v>1816</v>
      </c>
      <c r="D1097" s="86"/>
      <c r="E1097" s="67" t="str">
        <f>HYPERLINK("https://www.google.ru/search?q=811389-WH&amp;newwindow=1&amp;tbm=isch","Еще фото")</f>
        <v>Еще фото</v>
      </c>
      <c r="F1097" s="14"/>
      <c r="G1097" s="25" t="s">
        <v>439</v>
      </c>
      <c r="H1097" s="25" t="s">
        <v>27</v>
      </c>
      <c r="I1097" s="25" t="s">
        <v>439</v>
      </c>
      <c r="J1097" s="15" t="s">
        <v>360</v>
      </c>
      <c r="K1097" s="16" t="s">
        <v>45</v>
      </c>
      <c r="L1097" s="88"/>
      <c r="M1097" s="15"/>
      <c r="N1097" s="15" t="s">
        <v>173</v>
      </c>
      <c r="O1097" s="15"/>
      <c r="P1097" s="16" t="s">
        <v>106</v>
      </c>
      <c r="Q1097" s="17">
        <v>5799</v>
      </c>
      <c r="R1097" s="18">
        <v>61.58</v>
      </c>
      <c r="S1097" s="19">
        <v>2561.9354999999996</v>
      </c>
      <c r="T1097" s="20" t="s">
        <v>99</v>
      </c>
      <c r="U1097" s="21" t="s">
        <v>42</v>
      </c>
      <c r="V1097" s="22" t="s">
        <v>43</v>
      </c>
      <c r="W1097" s="23">
        <v>4</v>
      </c>
      <c r="X1097" s="24"/>
    </row>
    <row r="1098" spans="1:24" s="1" customFormat="1" ht="32" customHeight="1" x14ac:dyDescent="0.3">
      <c r="A1098" s="25" t="s">
        <v>607</v>
      </c>
      <c r="B1098" s="25" t="s">
        <v>1813</v>
      </c>
      <c r="C1098" s="28" t="s">
        <v>1816</v>
      </c>
      <c r="D1098" s="87"/>
      <c r="E1098" s="67" t="str">
        <f>HYPERLINK("https://www.google.ru/search?q=811389-WH&amp;newwindow=1&amp;tbm=isch","Еще фото")</f>
        <v>Еще фото</v>
      </c>
      <c r="F1098" s="14"/>
      <c r="G1098" s="25" t="s">
        <v>439</v>
      </c>
      <c r="H1098" s="25" t="s">
        <v>27</v>
      </c>
      <c r="I1098" s="25" t="s">
        <v>439</v>
      </c>
      <c r="J1098" s="15" t="s">
        <v>360</v>
      </c>
      <c r="K1098" s="16" t="s">
        <v>45</v>
      </c>
      <c r="L1098" s="84"/>
      <c r="M1098" s="15"/>
      <c r="N1098" s="15" t="s">
        <v>173</v>
      </c>
      <c r="O1098" s="15"/>
      <c r="P1098" s="16" t="s">
        <v>106</v>
      </c>
      <c r="Q1098" s="17">
        <v>5799</v>
      </c>
      <c r="R1098" s="18">
        <v>61.58</v>
      </c>
      <c r="S1098" s="19">
        <v>2561.9354999999996</v>
      </c>
      <c r="T1098" s="20" t="s">
        <v>99</v>
      </c>
      <c r="U1098" s="21" t="s">
        <v>493</v>
      </c>
      <c r="V1098" s="22" t="s">
        <v>48</v>
      </c>
      <c r="W1098" s="23">
        <v>4</v>
      </c>
      <c r="X1098" s="24"/>
    </row>
    <row r="1099" spans="1:24" s="1" customFormat="1" ht="52.05" customHeight="1" x14ac:dyDescent="0.3">
      <c r="A1099" s="11" t="s">
        <v>607</v>
      </c>
      <c r="B1099" s="11" t="s">
        <v>1817</v>
      </c>
      <c r="C1099" s="12" t="s">
        <v>1818</v>
      </c>
      <c r="D1099" s="81"/>
      <c r="E1099" s="67" t="str">
        <f>HYPERLINK("https://www.google.ru/search?q=814379-AN&amp;newwindow=1&amp;tbm=isch","Еще фото")</f>
        <v>Еще фото</v>
      </c>
      <c r="F1099" s="14"/>
      <c r="G1099" s="11" t="s">
        <v>439</v>
      </c>
      <c r="H1099" s="11" t="s">
        <v>27</v>
      </c>
      <c r="I1099" s="15" t="s">
        <v>439</v>
      </c>
      <c r="J1099" s="15" t="s">
        <v>360</v>
      </c>
      <c r="K1099" s="16" t="s">
        <v>29</v>
      </c>
      <c r="L1099" s="83" t="s">
        <v>1819</v>
      </c>
      <c r="M1099" s="15"/>
      <c r="N1099" s="15" t="s">
        <v>218</v>
      </c>
      <c r="O1099" s="15"/>
      <c r="P1099" s="16" t="s">
        <v>106</v>
      </c>
      <c r="Q1099" s="17">
        <v>5199</v>
      </c>
      <c r="R1099" s="18">
        <v>61.57</v>
      </c>
      <c r="S1099" s="19">
        <v>2297.4354999999996</v>
      </c>
      <c r="T1099" s="20" t="s">
        <v>99</v>
      </c>
      <c r="U1099" s="21" t="s">
        <v>442</v>
      </c>
      <c r="V1099" s="22" t="s">
        <v>35</v>
      </c>
      <c r="W1099" s="23">
        <v>1</v>
      </c>
      <c r="X1099" s="24"/>
    </row>
    <row r="1100" spans="1:24" s="1" customFormat="1" ht="61.05" customHeight="1" x14ac:dyDescent="0.3">
      <c r="A1100" s="25" t="s">
        <v>607</v>
      </c>
      <c r="B1100" s="25" t="s">
        <v>1817</v>
      </c>
      <c r="C1100" s="12" t="s">
        <v>1818</v>
      </c>
      <c r="D1100" s="82"/>
      <c r="E1100" s="67" t="str">
        <f>HYPERLINK("https://www.google.ru/search?q=814379-AN&amp;newwindow=1&amp;tbm=isch","Еще фото")</f>
        <v>Еще фото</v>
      </c>
      <c r="F1100" s="14"/>
      <c r="G1100" s="25" t="s">
        <v>439</v>
      </c>
      <c r="H1100" s="25" t="s">
        <v>27</v>
      </c>
      <c r="I1100" s="25" t="s">
        <v>439</v>
      </c>
      <c r="J1100" s="15" t="s">
        <v>360</v>
      </c>
      <c r="K1100" s="16" t="s">
        <v>29</v>
      </c>
      <c r="L1100" s="84"/>
      <c r="M1100" s="15"/>
      <c r="N1100" s="15" t="s">
        <v>218</v>
      </c>
      <c r="O1100" s="15"/>
      <c r="P1100" s="16" t="s">
        <v>106</v>
      </c>
      <c r="Q1100" s="17">
        <v>5199</v>
      </c>
      <c r="R1100" s="18">
        <v>61.57</v>
      </c>
      <c r="S1100" s="19">
        <v>2297.4354999999996</v>
      </c>
      <c r="T1100" s="20" t="s">
        <v>99</v>
      </c>
      <c r="U1100" s="21" t="s">
        <v>52</v>
      </c>
      <c r="V1100" s="22" t="s">
        <v>41</v>
      </c>
      <c r="W1100" s="23">
        <v>1</v>
      </c>
      <c r="X1100" s="24"/>
    </row>
    <row r="1101" spans="1:24" s="1" customFormat="1" ht="35" customHeight="1" x14ac:dyDescent="0.3">
      <c r="A1101" s="11" t="s">
        <v>607</v>
      </c>
      <c r="B1101" s="11" t="s">
        <v>1820</v>
      </c>
      <c r="C1101" s="12" t="s">
        <v>1821</v>
      </c>
      <c r="D1101" s="85"/>
      <c r="E1101" s="67" t="str">
        <f>HYPERLINK("https://www.google.ru/search?q=814379-RO&amp;newwindow=1&amp;tbm=isch","Еще фото")</f>
        <v>Еще фото</v>
      </c>
      <c r="F1101" s="14"/>
      <c r="G1101" s="11" t="s">
        <v>439</v>
      </c>
      <c r="H1101" s="11" t="s">
        <v>27</v>
      </c>
      <c r="I1101" s="15" t="s">
        <v>439</v>
      </c>
      <c r="J1101" s="15" t="s">
        <v>360</v>
      </c>
      <c r="K1101" s="16" t="s">
        <v>29</v>
      </c>
      <c r="L1101" s="83" t="s">
        <v>1819</v>
      </c>
      <c r="M1101" s="15"/>
      <c r="N1101" s="15" t="s">
        <v>31</v>
      </c>
      <c r="O1101" s="15"/>
      <c r="P1101" s="16" t="s">
        <v>106</v>
      </c>
      <c r="Q1101" s="17">
        <v>5199</v>
      </c>
      <c r="R1101" s="18">
        <v>61.57</v>
      </c>
      <c r="S1101" s="19">
        <v>2297.4354999999996</v>
      </c>
      <c r="T1101" s="20" t="s">
        <v>99</v>
      </c>
      <c r="U1101" s="21" t="s">
        <v>442</v>
      </c>
      <c r="V1101" s="22" t="s">
        <v>35</v>
      </c>
      <c r="W1101" s="23">
        <v>1</v>
      </c>
      <c r="X1101" s="24"/>
    </row>
    <row r="1102" spans="1:24" s="1" customFormat="1" ht="35" customHeight="1" x14ac:dyDescent="0.3">
      <c r="A1102" s="25" t="s">
        <v>607</v>
      </c>
      <c r="B1102" s="25" t="s">
        <v>1820</v>
      </c>
      <c r="C1102" s="12" t="s">
        <v>1821</v>
      </c>
      <c r="D1102" s="86"/>
      <c r="E1102" s="67" t="str">
        <f>HYPERLINK("https://www.google.ru/search?q=814379-RO&amp;newwindow=1&amp;tbm=isch","Еще фото")</f>
        <v>Еще фото</v>
      </c>
      <c r="F1102" s="14"/>
      <c r="G1102" s="25" t="s">
        <v>439</v>
      </c>
      <c r="H1102" s="25" t="s">
        <v>27</v>
      </c>
      <c r="I1102" s="25" t="s">
        <v>439</v>
      </c>
      <c r="J1102" s="15" t="s">
        <v>360</v>
      </c>
      <c r="K1102" s="16" t="s">
        <v>29</v>
      </c>
      <c r="L1102" s="88"/>
      <c r="M1102" s="15"/>
      <c r="N1102" s="15" t="s">
        <v>31</v>
      </c>
      <c r="O1102" s="15"/>
      <c r="P1102" s="16" t="s">
        <v>106</v>
      </c>
      <c r="Q1102" s="17">
        <v>5199</v>
      </c>
      <c r="R1102" s="18">
        <v>61.57</v>
      </c>
      <c r="S1102" s="19">
        <v>2297.4354999999996</v>
      </c>
      <c r="T1102" s="20" t="s">
        <v>99</v>
      </c>
      <c r="U1102" s="21" t="s">
        <v>34</v>
      </c>
      <c r="V1102" s="22" t="s">
        <v>53</v>
      </c>
      <c r="W1102" s="23">
        <v>7</v>
      </c>
      <c r="X1102" s="24"/>
    </row>
    <row r="1103" spans="1:24" s="1" customFormat="1" ht="37.049999999999997" customHeight="1" x14ac:dyDescent="0.3">
      <c r="A1103" s="25" t="s">
        <v>607</v>
      </c>
      <c r="B1103" s="25" t="s">
        <v>1820</v>
      </c>
      <c r="C1103" s="12" t="s">
        <v>1821</v>
      </c>
      <c r="D1103" s="87"/>
      <c r="E1103" s="67" t="str">
        <f>HYPERLINK("https://www.google.ru/search?q=814379-RO&amp;newwindow=1&amp;tbm=isch","Еще фото")</f>
        <v>Еще фото</v>
      </c>
      <c r="F1103" s="14"/>
      <c r="G1103" s="25" t="s">
        <v>439</v>
      </c>
      <c r="H1103" s="25" t="s">
        <v>27</v>
      </c>
      <c r="I1103" s="25" t="s">
        <v>439</v>
      </c>
      <c r="J1103" s="15" t="s">
        <v>360</v>
      </c>
      <c r="K1103" s="16" t="s">
        <v>29</v>
      </c>
      <c r="L1103" s="84"/>
      <c r="M1103" s="15"/>
      <c r="N1103" s="15" t="s">
        <v>31</v>
      </c>
      <c r="O1103" s="15"/>
      <c r="P1103" s="16" t="s">
        <v>106</v>
      </c>
      <c r="Q1103" s="17">
        <v>5199</v>
      </c>
      <c r="R1103" s="18">
        <v>61.57</v>
      </c>
      <c r="S1103" s="19">
        <v>2297.4354999999996</v>
      </c>
      <c r="T1103" s="20" t="s">
        <v>99</v>
      </c>
      <c r="U1103" s="21" t="s">
        <v>52</v>
      </c>
      <c r="V1103" s="22" t="s">
        <v>41</v>
      </c>
      <c r="W1103" s="23">
        <v>5</v>
      </c>
      <c r="X1103" s="24"/>
    </row>
    <row r="1104" spans="1:24" s="1" customFormat="1" ht="35" customHeight="1" x14ac:dyDescent="0.3">
      <c r="A1104" s="11" t="s">
        <v>607</v>
      </c>
      <c r="B1104" s="11" t="s">
        <v>1792</v>
      </c>
      <c r="C1104" s="12" t="s">
        <v>1822</v>
      </c>
      <c r="D1104" s="85"/>
      <c r="E1104" s="67" t="str">
        <f>HYPERLINK("https://www.google.ru/search?q=816499-BK&amp;newwindow=1&amp;tbm=isch","Еще фото")</f>
        <v>Еще фото</v>
      </c>
      <c r="F1104" s="14"/>
      <c r="G1104" s="11" t="s">
        <v>439</v>
      </c>
      <c r="H1104" s="11" t="s">
        <v>27</v>
      </c>
      <c r="I1104" s="15" t="s">
        <v>439</v>
      </c>
      <c r="J1104" s="15" t="s">
        <v>360</v>
      </c>
      <c r="K1104" s="16" t="s">
        <v>59</v>
      </c>
      <c r="L1104" s="83" t="s">
        <v>1794</v>
      </c>
      <c r="M1104" s="15"/>
      <c r="N1104" s="15" t="s">
        <v>38</v>
      </c>
      <c r="O1104" s="15"/>
      <c r="P1104" s="16" t="s">
        <v>1795</v>
      </c>
      <c r="Q1104" s="17">
        <v>3699</v>
      </c>
      <c r="R1104" s="18">
        <v>61.4</v>
      </c>
      <c r="S1104" s="19">
        <v>1641.9354999999998</v>
      </c>
      <c r="T1104" s="20" t="s">
        <v>99</v>
      </c>
      <c r="U1104" s="21" t="s">
        <v>611</v>
      </c>
      <c r="V1104" s="23">
        <v>128</v>
      </c>
      <c r="W1104" s="23">
        <v>1</v>
      </c>
      <c r="X1104" s="24"/>
    </row>
    <row r="1105" spans="1:24" s="1" customFormat="1" ht="35" customHeight="1" x14ac:dyDescent="0.3">
      <c r="A1105" s="25" t="s">
        <v>607</v>
      </c>
      <c r="B1105" s="25" t="s">
        <v>1792</v>
      </c>
      <c r="C1105" s="12" t="s">
        <v>1822</v>
      </c>
      <c r="D1105" s="86"/>
      <c r="E1105" s="67" t="str">
        <f>HYPERLINK("https://www.google.ru/search?q=816499-BK&amp;newwindow=1&amp;tbm=isch","Еще фото")</f>
        <v>Еще фото</v>
      </c>
      <c r="F1105" s="14"/>
      <c r="G1105" s="25" t="s">
        <v>439</v>
      </c>
      <c r="H1105" s="25" t="s">
        <v>27</v>
      </c>
      <c r="I1105" s="25" t="s">
        <v>439</v>
      </c>
      <c r="J1105" s="15" t="s">
        <v>360</v>
      </c>
      <c r="K1105" s="16" t="s">
        <v>59</v>
      </c>
      <c r="L1105" s="88"/>
      <c r="M1105" s="15"/>
      <c r="N1105" s="15" t="s">
        <v>38</v>
      </c>
      <c r="O1105" s="15"/>
      <c r="P1105" s="16" t="s">
        <v>1795</v>
      </c>
      <c r="Q1105" s="17">
        <v>3699</v>
      </c>
      <c r="R1105" s="18">
        <v>61.4</v>
      </c>
      <c r="S1105" s="19">
        <v>1641.9354999999998</v>
      </c>
      <c r="T1105" s="20" t="s">
        <v>99</v>
      </c>
      <c r="U1105" s="21" t="s">
        <v>1670</v>
      </c>
      <c r="V1105" s="23">
        <v>140</v>
      </c>
      <c r="W1105" s="23">
        <v>1</v>
      </c>
      <c r="X1105" s="24"/>
    </row>
    <row r="1106" spans="1:24" s="1" customFormat="1" ht="37.049999999999997" customHeight="1" x14ac:dyDescent="0.3">
      <c r="A1106" s="25" t="s">
        <v>607</v>
      </c>
      <c r="B1106" s="25" t="s">
        <v>1792</v>
      </c>
      <c r="C1106" s="12" t="s">
        <v>1822</v>
      </c>
      <c r="D1106" s="87"/>
      <c r="E1106" s="67" t="str">
        <f>HYPERLINK("https://www.google.ru/search?q=816499-BK&amp;newwindow=1&amp;tbm=isch","Еще фото")</f>
        <v>Еще фото</v>
      </c>
      <c r="F1106" s="14"/>
      <c r="G1106" s="25" t="s">
        <v>439</v>
      </c>
      <c r="H1106" s="25" t="s">
        <v>27</v>
      </c>
      <c r="I1106" s="25" t="s">
        <v>439</v>
      </c>
      <c r="J1106" s="15" t="s">
        <v>360</v>
      </c>
      <c r="K1106" s="16" t="s">
        <v>59</v>
      </c>
      <c r="L1106" s="84"/>
      <c r="M1106" s="15"/>
      <c r="N1106" s="15" t="s">
        <v>38</v>
      </c>
      <c r="O1106" s="15"/>
      <c r="P1106" s="16" t="s">
        <v>1795</v>
      </c>
      <c r="Q1106" s="17">
        <v>3699</v>
      </c>
      <c r="R1106" s="18">
        <v>61.4</v>
      </c>
      <c r="S1106" s="19">
        <v>1641.9354999999998</v>
      </c>
      <c r="T1106" s="20" t="s">
        <v>99</v>
      </c>
      <c r="U1106" s="21" t="s">
        <v>1673</v>
      </c>
      <c r="V1106" s="23">
        <v>176</v>
      </c>
      <c r="W1106" s="23">
        <v>2</v>
      </c>
      <c r="X1106" s="24"/>
    </row>
    <row r="1107" spans="1:24" s="1" customFormat="1" ht="26" customHeight="1" x14ac:dyDescent="0.3">
      <c r="A1107" s="11" t="s">
        <v>607</v>
      </c>
      <c r="B1107" s="11" t="s">
        <v>1792</v>
      </c>
      <c r="C1107" s="12" t="s">
        <v>1823</v>
      </c>
      <c r="D1107" s="85"/>
      <c r="E1107" s="67" t="str">
        <f>HYPERLINK("https://www.google.ru/search?q=816499-DB&amp;newwindow=1&amp;tbm=isch","Еще фото")</f>
        <v>Еще фото</v>
      </c>
      <c r="F1107" s="14"/>
      <c r="G1107" s="11" t="s">
        <v>439</v>
      </c>
      <c r="H1107" s="11" t="s">
        <v>27</v>
      </c>
      <c r="I1107" s="15" t="s">
        <v>439</v>
      </c>
      <c r="J1107" s="15" t="s">
        <v>360</v>
      </c>
      <c r="K1107" s="16" t="s">
        <v>59</v>
      </c>
      <c r="L1107" s="83" t="s">
        <v>1794</v>
      </c>
      <c r="M1107" s="15"/>
      <c r="N1107" s="15" t="s">
        <v>84</v>
      </c>
      <c r="O1107" s="15"/>
      <c r="P1107" s="16" t="s">
        <v>1795</v>
      </c>
      <c r="Q1107" s="17">
        <v>3699</v>
      </c>
      <c r="R1107" s="18">
        <v>61.4</v>
      </c>
      <c r="S1107" s="19">
        <v>1641.9354999999998</v>
      </c>
      <c r="T1107" s="20" t="s">
        <v>99</v>
      </c>
      <c r="U1107" s="21" t="s">
        <v>611</v>
      </c>
      <c r="V1107" s="23">
        <v>128</v>
      </c>
      <c r="W1107" s="23">
        <v>1</v>
      </c>
      <c r="X1107" s="24"/>
    </row>
    <row r="1108" spans="1:24" s="1" customFormat="1" ht="26" customHeight="1" x14ac:dyDescent="0.3">
      <c r="A1108" s="25" t="s">
        <v>607</v>
      </c>
      <c r="B1108" s="25" t="s">
        <v>1792</v>
      </c>
      <c r="C1108" s="12" t="s">
        <v>1823</v>
      </c>
      <c r="D1108" s="86"/>
      <c r="E1108" s="67" t="str">
        <f>HYPERLINK("https://www.google.ru/search?q=816499-DB&amp;newwindow=1&amp;tbm=isch","Еще фото")</f>
        <v>Еще фото</v>
      </c>
      <c r="F1108" s="14"/>
      <c r="G1108" s="25" t="s">
        <v>439</v>
      </c>
      <c r="H1108" s="25" t="s">
        <v>27</v>
      </c>
      <c r="I1108" s="25" t="s">
        <v>439</v>
      </c>
      <c r="J1108" s="15" t="s">
        <v>360</v>
      </c>
      <c r="K1108" s="16" t="s">
        <v>59</v>
      </c>
      <c r="L1108" s="88"/>
      <c r="M1108" s="15"/>
      <c r="N1108" s="15" t="s">
        <v>84</v>
      </c>
      <c r="O1108" s="15"/>
      <c r="P1108" s="16" t="s">
        <v>1795</v>
      </c>
      <c r="Q1108" s="17">
        <v>3699</v>
      </c>
      <c r="R1108" s="18">
        <v>61.4</v>
      </c>
      <c r="S1108" s="19">
        <v>1641.9354999999998</v>
      </c>
      <c r="T1108" s="20" t="s">
        <v>99</v>
      </c>
      <c r="U1108" s="21" t="s">
        <v>1671</v>
      </c>
      <c r="V1108" s="23">
        <v>152</v>
      </c>
      <c r="W1108" s="23">
        <v>1</v>
      </c>
      <c r="X1108" s="24"/>
    </row>
    <row r="1109" spans="1:24" s="1" customFormat="1" ht="26" customHeight="1" x14ac:dyDescent="0.3">
      <c r="A1109" s="25" t="s">
        <v>607</v>
      </c>
      <c r="B1109" s="25" t="s">
        <v>1792</v>
      </c>
      <c r="C1109" s="12" t="s">
        <v>1823</v>
      </c>
      <c r="D1109" s="86"/>
      <c r="E1109" s="67" t="str">
        <f>HYPERLINK("https://www.google.ru/search?q=816499-DB&amp;newwindow=1&amp;tbm=isch","Еще фото")</f>
        <v>Еще фото</v>
      </c>
      <c r="F1109" s="14"/>
      <c r="G1109" s="25" t="s">
        <v>439</v>
      </c>
      <c r="H1109" s="25" t="s">
        <v>27</v>
      </c>
      <c r="I1109" s="25" t="s">
        <v>439</v>
      </c>
      <c r="J1109" s="15" t="s">
        <v>360</v>
      </c>
      <c r="K1109" s="16" t="s">
        <v>59</v>
      </c>
      <c r="L1109" s="88"/>
      <c r="M1109" s="15"/>
      <c r="N1109" s="15" t="s">
        <v>84</v>
      </c>
      <c r="O1109" s="15"/>
      <c r="P1109" s="16" t="s">
        <v>1795</v>
      </c>
      <c r="Q1109" s="17">
        <v>3699</v>
      </c>
      <c r="R1109" s="18">
        <v>61.4</v>
      </c>
      <c r="S1109" s="19">
        <v>1641.9354999999998</v>
      </c>
      <c r="T1109" s="20" t="s">
        <v>99</v>
      </c>
      <c r="U1109" s="21" t="s">
        <v>1672</v>
      </c>
      <c r="V1109" s="23">
        <v>164</v>
      </c>
      <c r="W1109" s="23">
        <v>3</v>
      </c>
      <c r="X1109" s="24"/>
    </row>
    <row r="1110" spans="1:24" s="1" customFormat="1" ht="26" customHeight="1" x14ac:dyDescent="0.3">
      <c r="A1110" s="25" t="s">
        <v>607</v>
      </c>
      <c r="B1110" s="25" t="s">
        <v>1792</v>
      </c>
      <c r="C1110" s="12" t="s">
        <v>1823</v>
      </c>
      <c r="D1110" s="87"/>
      <c r="E1110" s="67" t="str">
        <f>HYPERLINK("https://www.google.ru/search?q=816499-DB&amp;newwindow=1&amp;tbm=isch","Еще фото")</f>
        <v>Еще фото</v>
      </c>
      <c r="F1110" s="14"/>
      <c r="G1110" s="25" t="s">
        <v>439</v>
      </c>
      <c r="H1110" s="25" t="s">
        <v>27</v>
      </c>
      <c r="I1110" s="25" t="s">
        <v>439</v>
      </c>
      <c r="J1110" s="15" t="s">
        <v>360</v>
      </c>
      <c r="K1110" s="16" t="s">
        <v>59</v>
      </c>
      <c r="L1110" s="84"/>
      <c r="M1110" s="15"/>
      <c r="N1110" s="15" t="s">
        <v>84</v>
      </c>
      <c r="O1110" s="15"/>
      <c r="P1110" s="16" t="s">
        <v>1795</v>
      </c>
      <c r="Q1110" s="17">
        <v>3699</v>
      </c>
      <c r="R1110" s="18">
        <v>61.4</v>
      </c>
      <c r="S1110" s="19">
        <v>1641.9354999999998</v>
      </c>
      <c r="T1110" s="20" t="s">
        <v>99</v>
      </c>
      <c r="U1110" s="21" t="s">
        <v>1673</v>
      </c>
      <c r="V1110" s="23">
        <v>176</v>
      </c>
      <c r="W1110" s="23">
        <v>2</v>
      </c>
      <c r="X1110" s="24"/>
    </row>
    <row r="1111" spans="1:24" s="1" customFormat="1" ht="26" customHeight="1" x14ac:dyDescent="0.3">
      <c r="A1111" s="11" t="s">
        <v>607</v>
      </c>
      <c r="B1111" s="11" t="s">
        <v>1824</v>
      </c>
      <c r="C1111" s="12" t="s">
        <v>1825</v>
      </c>
      <c r="D1111" s="85"/>
      <c r="E1111" s="67" t="str">
        <f>HYPERLINK("https://www.google.ru/search?q=816349-RD&amp;newwindow=1&amp;tbm=isch","Еще фото")</f>
        <v>Еще фото</v>
      </c>
      <c r="F1111" s="14"/>
      <c r="G1111" s="11" t="s">
        <v>439</v>
      </c>
      <c r="H1111" s="11" t="s">
        <v>27</v>
      </c>
      <c r="I1111" s="15" t="s">
        <v>439</v>
      </c>
      <c r="J1111" s="15" t="s">
        <v>360</v>
      </c>
      <c r="K1111" s="16" t="s">
        <v>59</v>
      </c>
      <c r="L1111" s="83" t="s">
        <v>1815</v>
      </c>
      <c r="M1111" s="15"/>
      <c r="N1111" s="15" t="s">
        <v>73</v>
      </c>
      <c r="O1111" s="15"/>
      <c r="P1111" s="16" t="s">
        <v>106</v>
      </c>
      <c r="Q1111" s="17">
        <v>3999</v>
      </c>
      <c r="R1111" s="18">
        <v>61.3</v>
      </c>
      <c r="S1111" s="19">
        <v>1779.9354999999998</v>
      </c>
      <c r="T1111" s="20" t="s">
        <v>99</v>
      </c>
      <c r="U1111" s="21" t="s">
        <v>1670</v>
      </c>
      <c r="V1111" s="23">
        <v>140</v>
      </c>
      <c r="W1111" s="23">
        <v>8</v>
      </c>
      <c r="X1111" s="24"/>
    </row>
    <row r="1112" spans="1:24" s="1" customFormat="1" ht="26" customHeight="1" x14ac:dyDescent="0.3">
      <c r="A1112" s="25" t="s">
        <v>607</v>
      </c>
      <c r="B1112" s="25" t="s">
        <v>1824</v>
      </c>
      <c r="C1112" s="12" t="s">
        <v>1825</v>
      </c>
      <c r="D1112" s="86"/>
      <c r="E1112" s="67" t="str">
        <f>HYPERLINK("https://www.google.ru/search?q=816349-RD&amp;newwindow=1&amp;tbm=isch","Еще фото")</f>
        <v>Еще фото</v>
      </c>
      <c r="F1112" s="14"/>
      <c r="G1112" s="25" t="s">
        <v>439</v>
      </c>
      <c r="H1112" s="25" t="s">
        <v>27</v>
      </c>
      <c r="I1112" s="25" t="s">
        <v>439</v>
      </c>
      <c r="J1112" s="15" t="s">
        <v>360</v>
      </c>
      <c r="K1112" s="16" t="s">
        <v>59</v>
      </c>
      <c r="L1112" s="88"/>
      <c r="M1112" s="15"/>
      <c r="N1112" s="15" t="s">
        <v>73</v>
      </c>
      <c r="O1112" s="15"/>
      <c r="P1112" s="16" t="s">
        <v>106</v>
      </c>
      <c r="Q1112" s="17">
        <v>3999</v>
      </c>
      <c r="R1112" s="18">
        <v>61.3</v>
      </c>
      <c r="S1112" s="19">
        <v>1779.9354999999998</v>
      </c>
      <c r="T1112" s="20" t="s">
        <v>99</v>
      </c>
      <c r="U1112" s="21" t="s">
        <v>1671</v>
      </c>
      <c r="V1112" s="23">
        <v>152</v>
      </c>
      <c r="W1112" s="23">
        <v>9</v>
      </c>
      <c r="X1112" s="24"/>
    </row>
    <row r="1113" spans="1:24" s="1" customFormat="1" ht="26" customHeight="1" x14ac:dyDescent="0.3">
      <c r="A1113" s="25" t="s">
        <v>607</v>
      </c>
      <c r="B1113" s="25" t="s">
        <v>1824</v>
      </c>
      <c r="C1113" s="12" t="s">
        <v>1825</v>
      </c>
      <c r="D1113" s="86"/>
      <c r="E1113" s="67" t="str">
        <f>HYPERLINK("https://www.google.ru/search?q=816349-RD&amp;newwindow=1&amp;tbm=isch","Еще фото")</f>
        <v>Еще фото</v>
      </c>
      <c r="F1113" s="14"/>
      <c r="G1113" s="25" t="s">
        <v>439</v>
      </c>
      <c r="H1113" s="25" t="s">
        <v>27</v>
      </c>
      <c r="I1113" s="25" t="s">
        <v>439</v>
      </c>
      <c r="J1113" s="15" t="s">
        <v>360</v>
      </c>
      <c r="K1113" s="16" t="s">
        <v>59</v>
      </c>
      <c r="L1113" s="88"/>
      <c r="M1113" s="15"/>
      <c r="N1113" s="15" t="s">
        <v>73</v>
      </c>
      <c r="O1113" s="15"/>
      <c r="P1113" s="16" t="s">
        <v>106</v>
      </c>
      <c r="Q1113" s="17">
        <v>3999</v>
      </c>
      <c r="R1113" s="18">
        <v>61.3</v>
      </c>
      <c r="S1113" s="19">
        <v>1779.9354999999998</v>
      </c>
      <c r="T1113" s="20" t="s">
        <v>99</v>
      </c>
      <c r="U1113" s="21" t="s">
        <v>1672</v>
      </c>
      <c r="V1113" s="23">
        <v>164</v>
      </c>
      <c r="W1113" s="23">
        <v>3</v>
      </c>
      <c r="X1113" s="24"/>
    </row>
    <row r="1114" spans="1:24" s="1" customFormat="1" ht="26" customHeight="1" x14ac:dyDescent="0.3">
      <c r="A1114" s="25" t="s">
        <v>607</v>
      </c>
      <c r="B1114" s="25" t="s">
        <v>1824</v>
      </c>
      <c r="C1114" s="12" t="s">
        <v>1825</v>
      </c>
      <c r="D1114" s="87"/>
      <c r="E1114" s="67" t="str">
        <f>HYPERLINK("https://www.google.ru/search?q=816349-RD&amp;newwindow=1&amp;tbm=isch","Еще фото")</f>
        <v>Еще фото</v>
      </c>
      <c r="F1114" s="14"/>
      <c r="G1114" s="25" t="s">
        <v>439</v>
      </c>
      <c r="H1114" s="25" t="s">
        <v>27</v>
      </c>
      <c r="I1114" s="25" t="s">
        <v>439</v>
      </c>
      <c r="J1114" s="15" t="s">
        <v>360</v>
      </c>
      <c r="K1114" s="16" t="s">
        <v>59</v>
      </c>
      <c r="L1114" s="84"/>
      <c r="M1114" s="15"/>
      <c r="N1114" s="15" t="s">
        <v>73</v>
      </c>
      <c r="O1114" s="15"/>
      <c r="P1114" s="16" t="s">
        <v>106</v>
      </c>
      <c r="Q1114" s="17">
        <v>3999</v>
      </c>
      <c r="R1114" s="18">
        <v>61.3</v>
      </c>
      <c r="S1114" s="19">
        <v>1779.9354999999998</v>
      </c>
      <c r="T1114" s="20" t="s">
        <v>99</v>
      </c>
      <c r="U1114" s="21" t="s">
        <v>1673</v>
      </c>
      <c r="V1114" s="23">
        <v>176</v>
      </c>
      <c r="W1114" s="23">
        <v>2</v>
      </c>
      <c r="X1114" s="24"/>
    </row>
    <row r="1115" spans="1:24" s="1" customFormat="1" ht="21" customHeight="1" x14ac:dyDescent="0.3">
      <c r="A1115" s="11" t="s">
        <v>607</v>
      </c>
      <c r="B1115" s="11" t="s">
        <v>1820</v>
      </c>
      <c r="C1115" s="27" t="s">
        <v>1826</v>
      </c>
      <c r="D1115" s="85"/>
      <c r="E1115" s="67" t="str">
        <f>HYPERLINK("https://www.google.ru/search?q=814379-BK&amp;newwindow=1&amp;tbm=isch","Еще фото")</f>
        <v>Еще фото</v>
      </c>
      <c r="F1115" s="14"/>
      <c r="G1115" s="11" t="s">
        <v>439</v>
      </c>
      <c r="H1115" s="11" t="s">
        <v>27</v>
      </c>
      <c r="I1115" s="15" t="s">
        <v>439</v>
      </c>
      <c r="J1115" s="15" t="s">
        <v>360</v>
      </c>
      <c r="K1115" s="16" t="s">
        <v>29</v>
      </c>
      <c r="L1115" s="83" t="s">
        <v>1819</v>
      </c>
      <c r="M1115" s="15"/>
      <c r="N1115" s="15" t="s">
        <v>38</v>
      </c>
      <c r="O1115" s="15"/>
      <c r="P1115" s="16" t="s">
        <v>106</v>
      </c>
      <c r="Q1115" s="17">
        <v>5199</v>
      </c>
      <c r="R1115" s="18">
        <v>58.69</v>
      </c>
      <c r="S1115" s="19">
        <v>2469.9354999999996</v>
      </c>
      <c r="T1115" s="20" t="s">
        <v>99</v>
      </c>
      <c r="U1115" s="21" t="s">
        <v>442</v>
      </c>
      <c r="V1115" s="22" t="s">
        <v>35</v>
      </c>
      <c r="W1115" s="23">
        <v>1</v>
      </c>
      <c r="X1115" s="24"/>
    </row>
    <row r="1116" spans="1:24" s="1" customFormat="1" ht="21" customHeight="1" x14ac:dyDescent="0.3">
      <c r="A1116" s="25" t="s">
        <v>607</v>
      </c>
      <c r="B1116" s="25" t="s">
        <v>1820</v>
      </c>
      <c r="C1116" s="28" t="s">
        <v>1826</v>
      </c>
      <c r="D1116" s="86"/>
      <c r="E1116" s="67" t="str">
        <f>HYPERLINK("https://www.google.ru/search?q=814379-BK&amp;newwindow=1&amp;tbm=isch","Еще фото")</f>
        <v>Еще фото</v>
      </c>
      <c r="F1116" s="14"/>
      <c r="G1116" s="25" t="s">
        <v>439</v>
      </c>
      <c r="H1116" s="25" t="s">
        <v>27</v>
      </c>
      <c r="I1116" s="25" t="s">
        <v>439</v>
      </c>
      <c r="J1116" s="15" t="s">
        <v>360</v>
      </c>
      <c r="K1116" s="16" t="s">
        <v>29</v>
      </c>
      <c r="L1116" s="88"/>
      <c r="M1116" s="15"/>
      <c r="N1116" s="15" t="s">
        <v>38</v>
      </c>
      <c r="O1116" s="15"/>
      <c r="P1116" s="16" t="s">
        <v>106</v>
      </c>
      <c r="Q1116" s="17">
        <v>5199</v>
      </c>
      <c r="R1116" s="18">
        <v>58.69</v>
      </c>
      <c r="S1116" s="19">
        <v>2469.9354999999996</v>
      </c>
      <c r="T1116" s="20" t="s">
        <v>99</v>
      </c>
      <c r="U1116" s="21" t="s">
        <v>34</v>
      </c>
      <c r="V1116" s="22" t="s">
        <v>53</v>
      </c>
      <c r="W1116" s="23">
        <v>7</v>
      </c>
      <c r="X1116" s="24"/>
    </row>
    <row r="1117" spans="1:24" s="1" customFormat="1" ht="21" customHeight="1" x14ac:dyDescent="0.3">
      <c r="A1117" s="25" t="s">
        <v>607</v>
      </c>
      <c r="B1117" s="25" t="s">
        <v>1820</v>
      </c>
      <c r="C1117" s="28" t="s">
        <v>1826</v>
      </c>
      <c r="D1117" s="86"/>
      <c r="E1117" s="67" t="str">
        <f>HYPERLINK("https://www.google.ru/search?q=814379-BK&amp;newwindow=1&amp;tbm=isch","Еще фото")</f>
        <v>Еще фото</v>
      </c>
      <c r="F1117" s="14"/>
      <c r="G1117" s="25" t="s">
        <v>439</v>
      </c>
      <c r="H1117" s="25" t="s">
        <v>27</v>
      </c>
      <c r="I1117" s="25" t="s">
        <v>439</v>
      </c>
      <c r="J1117" s="15" t="s">
        <v>360</v>
      </c>
      <c r="K1117" s="16" t="s">
        <v>29</v>
      </c>
      <c r="L1117" s="88"/>
      <c r="M1117" s="15"/>
      <c r="N1117" s="15" t="s">
        <v>38</v>
      </c>
      <c r="O1117" s="15"/>
      <c r="P1117" s="16" t="s">
        <v>106</v>
      </c>
      <c r="Q1117" s="17">
        <v>5199</v>
      </c>
      <c r="R1117" s="18">
        <v>58.69</v>
      </c>
      <c r="S1117" s="19">
        <v>2469.9354999999996</v>
      </c>
      <c r="T1117" s="20" t="s">
        <v>99</v>
      </c>
      <c r="U1117" s="21" t="s">
        <v>52</v>
      </c>
      <c r="V1117" s="22" t="s">
        <v>41</v>
      </c>
      <c r="W1117" s="23">
        <v>6</v>
      </c>
      <c r="X1117" s="24"/>
    </row>
    <row r="1118" spans="1:24" s="1" customFormat="1" ht="21" customHeight="1" x14ac:dyDescent="0.3">
      <c r="A1118" s="25" t="s">
        <v>607</v>
      </c>
      <c r="B1118" s="25" t="s">
        <v>1820</v>
      </c>
      <c r="C1118" s="28" t="s">
        <v>1826</v>
      </c>
      <c r="D1118" s="86"/>
      <c r="E1118" s="67" t="str">
        <f>HYPERLINK("https://www.google.ru/search?q=814379-BK&amp;newwindow=1&amp;tbm=isch","Еще фото")</f>
        <v>Еще фото</v>
      </c>
      <c r="F1118" s="14"/>
      <c r="G1118" s="25" t="s">
        <v>439</v>
      </c>
      <c r="H1118" s="25" t="s">
        <v>27</v>
      </c>
      <c r="I1118" s="25" t="s">
        <v>439</v>
      </c>
      <c r="J1118" s="15" t="s">
        <v>360</v>
      </c>
      <c r="K1118" s="16" t="s">
        <v>29</v>
      </c>
      <c r="L1118" s="88"/>
      <c r="M1118" s="15"/>
      <c r="N1118" s="15" t="s">
        <v>38</v>
      </c>
      <c r="O1118" s="15"/>
      <c r="P1118" s="16" t="s">
        <v>106</v>
      </c>
      <c r="Q1118" s="17">
        <v>5199</v>
      </c>
      <c r="R1118" s="18">
        <v>58.69</v>
      </c>
      <c r="S1118" s="19">
        <v>2469.9354999999996</v>
      </c>
      <c r="T1118" s="20" t="s">
        <v>99</v>
      </c>
      <c r="U1118" s="21" t="s">
        <v>40</v>
      </c>
      <c r="V1118" s="22" t="s">
        <v>43</v>
      </c>
      <c r="W1118" s="23">
        <v>3</v>
      </c>
      <c r="X1118" s="24"/>
    </row>
    <row r="1119" spans="1:24" s="1" customFormat="1" ht="32" customHeight="1" x14ac:dyDescent="0.3">
      <c r="A1119" s="25" t="s">
        <v>607</v>
      </c>
      <c r="B1119" s="25" t="s">
        <v>1820</v>
      </c>
      <c r="C1119" s="28" t="s">
        <v>1826</v>
      </c>
      <c r="D1119" s="87"/>
      <c r="E1119" s="67" t="str">
        <f>HYPERLINK("https://www.google.ru/search?q=814379-BK&amp;newwindow=1&amp;tbm=isch","Еще фото")</f>
        <v>Еще фото</v>
      </c>
      <c r="F1119" s="14"/>
      <c r="G1119" s="25" t="s">
        <v>439</v>
      </c>
      <c r="H1119" s="25" t="s">
        <v>27</v>
      </c>
      <c r="I1119" s="25" t="s">
        <v>439</v>
      </c>
      <c r="J1119" s="15" t="s">
        <v>360</v>
      </c>
      <c r="K1119" s="16" t="s">
        <v>29</v>
      </c>
      <c r="L1119" s="84"/>
      <c r="M1119" s="15"/>
      <c r="N1119" s="15" t="s">
        <v>38</v>
      </c>
      <c r="O1119" s="15"/>
      <c r="P1119" s="16" t="s">
        <v>106</v>
      </c>
      <c r="Q1119" s="17">
        <v>5199</v>
      </c>
      <c r="R1119" s="18">
        <v>58.69</v>
      </c>
      <c r="S1119" s="19">
        <v>2469.9354999999996</v>
      </c>
      <c r="T1119" s="20" t="s">
        <v>99</v>
      </c>
      <c r="U1119" s="21" t="s">
        <v>42</v>
      </c>
      <c r="V1119" s="22" t="s">
        <v>48</v>
      </c>
      <c r="W1119" s="23">
        <v>2</v>
      </c>
      <c r="X1119" s="24"/>
    </row>
    <row r="1120" spans="1:24" s="1" customFormat="1" ht="26" customHeight="1" x14ac:dyDescent="0.3">
      <c r="A1120" s="11" t="s">
        <v>607</v>
      </c>
      <c r="B1120" s="11" t="s">
        <v>1827</v>
      </c>
      <c r="C1120" s="12" t="s">
        <v>1828</v>
      </c>
      <c r="D1120" s="85"/>
      <c r="E1120" s="67" t="str">
        <f>HYPERLINK("https://www.google.ru/search?q=816795-BK&amp;newwindow=1&amp;tbm=isch","Еще фото")</f>
        <v>Еще фото</v>
      </c>
      <c r="F1120" s="14"/>
      <c r="G1120" s="11" t="s">
        <v>439</v>
      </c>
      <c r="H1120" s="11" t="s">
        <v>27</v>
      </c>
      <c r="I1120" s="15" t="s">
        <v>439</v>
      </c>
      <c r="J1120" s="15" t="s">
        <v>360</v>
      </c>
      <c r="K1120" s="16" t="s">
        <v>59</v>
      </c>
      <c r="L1120" s="83" t="s">
        <v>1829</v>
      </c>
      <c r="M1120" s="15"/>
      <c r="N1120" s="15" t="s">
        <v>38</v>
      </c>
      <c r="O1120" s="15"/>
      <c r="P1120" s="16" t="s">
        <v>525</v>
      </c>
      <c r="Q1120" s="17">
        <v>3999</v>
      </c>
      <c r="R1120" s="18">
        <v>52.29</v>
      </c>
      <c r="S1120" s="19">
        <v>2193.9354999999996</v>
      </c>
      <c r="T1120" s="20" t="s">
        <v>99</v>
      </c>
      <c r="U1120" s="21" t="s">
        <v>611</v>
      </c>
      <c r="V1120" s="23">
        <v>128</v>
      </c>
      <c r="W1120" s="23">
        <v>1</v>
      </c>
      <c r="X1120" s="24"/>
    </row>
    <row r="1121" spans="1:24" s="1" customFormat="1" ht="26" customHeight="1" x14ac:dyDescent="0.3">
      <c r="A1121" s="25" t="s">
        <v>607</v>
      </c>
      <c r="B1121" s="25" t="s">
        <v>1827</v>
      </c>
      <c r="C1121" s="12" t="s">
        <v>1828</v>
      </c>
      <c r="D1121" s="86"/>
      <c r="E1121" s="67" t="str">
        <f>HYPERLINK("https://www.google.ru/search?q=816795-BK&amp;newwindow=1&amp;tbm=isch","Еще фото")</f>
        <v>Еще фото</v>
      </c>
      <c r="F1121" s="14"/>
      <c r="G1121" s="25" t="s">
        <v>439</v>
      </c>
      <c r="H1121" s="25" t="s">
        <v>27</v>
      </c>
      <c r="I1121" s="25" t="s">
        <v>439</v>
      </c>
      <c r="J1121" s="15" t="s">
        <v>360</v>
      </c>
      <c r="K1121" s="16" t="s">
        <v>59</v>
      </c>
      <c r="L1121" s="88"/>
      <c r="M1121" s="15"/>
      <c r="N1121" s="15" t="s">
        <v>38</v>
      </c>
      <c r="O1121" s="15"/>
      <c r="P1121" s="16" t="s">
        <v>525</v>
      </c>
      <c r="Q1121" s="17">
        <v>3999</v>
      </c>
      <c r="R1121" s="18">
        <v>52.29</v>
      </c>
      <c r="S1121" s="19">
        <v>2193.9354999999996</v>
      </c>
      <c r="T1121" s="20" t="s">
        <v>99</v>
      </c>
      <c r="U1121" s="21" t="s">
        <v>1670</v>
      </c>
      <c r="V1121" s="23">
        <v>140</v>
      </c>
      <c r="W1121" s="23">
        <v>1</v>
      </c>
      <c r="X1121" s="24"/>
    </row>
    <row r="1122" spans="1:24" s="1" customFormat="1" ht="26" customHeight="1" x14ac:dyDescent="0.3">
      <c r="A1122" s="25" t="s">
        <v>607</v>
      </c>
      <c r="B1122" s="25" t="s">
        <v>1827</v>
      </c>
      <c r="C1122" s="12" t="s">
        <v>1828</v>
      </c>
      <c r="D1122" s="86"/>
      <c r="E1122" s="67" t="str">
        <f>HYPERLINK("https://www.google.ru/search?q=816795-BK&amp;newwindow=1&amp;tbm=isch","Еще фото")</f>
        <v>Еще фото</v>
      </c>
      <c r="F1122" s="14"/>
      <c r="G1122" s="25" t="s">
        <v>439</v>
      </c>
      <c r="H1122" s="25" t="s">
        <v>27</v>
      </c>
      <c r="I1122" s="25" t="s">
        <v>439</v>
      </c>
      <c r="J1122" s="15" t="s">
        <v>360</v>
      </c>
      <c r="K1122" s="16" t="s">
        <v>59</v>
      </c>
      <c r="L1122" s="88"/>
      <c r="M1122" s="15"/>
      <c r="N1122" s="15" t="s">
        <v>38</v>
      </c>
      <c r="O1122" s="15"/>
      <c r="P1122" s="16" t="s">
        <v>525</v>
      </c>
      <c r="Q1122" s="17">
        <v>3999</v>
      </c>
      <c r="R1122" s="18">
        <v>52.29</v>
      </c>
      <c r="S1122" s="19">
        <v>2193.9354999999996</v>
      </c>
      <c r="T1122" s="20" t="s">
        <v>99</v>
      </c>
      <c r="U1122" s="21" t="s">
        <v>1671</v>
      </c>
      <c r="V1122" s="23">
        <v>152</v>
      </c>
      <c r="W1122" s="23">
        <v>1</v>
      </c>
      <c r="X1122" s="24"/>
    </row>
    <row r="1123" spans="1:24" s="1" customFormat="1" ht="26" customHeight="1" x14ac:dyDescent="0.3">
      <c r="A1123" s="25" t="s">
        <v>607</v>
      </c>
      <c r="B1123" s="25" t="s">
        <v>1827</v>
      </c>
      <c r="C1123" s="12" t="s">
        <v>1828</v>
      </c>
      <c r="D1123" s="87"/>
      <c r="E1123" s="67" t="str">
        <f>HYPERLINK("https://www.google.ru/search?q=816795-BK&amp;newwindow=1&amp;tbm=isch","Еще фото")</f>
        <v>Еще фото</v>
      </c>
      <c r="F1123" s="14"/>
      <c r="G1123" s="25" t="s">
        <v>439</v>
      </c>
      <c r="H1123" s="25" t="s">
        <v>27</v>
      </c>
      <c r="I1123" s="25" t="s">
        <v>439</v>
      </c>
      <c r="J1123" s="15" t="s">
        <v>360</v>
      </c>
      <c r="K1123" s="16" t="s">
        <v>59</v>
      </c>
      <c r="L1123" s="84"/>
      <c r="M1123" s="15"/>
      <c r="N1123" s="15" t="s">
        <v>38</v>
      </c>
      <c r="O1123" s="15"/>
      <c r="P1123" s="16" t="s">
        <v>525</v>
      </c>
      <c r="Q1123" s="17">
        <v>3999</v>
      </c>
      <c r="R1123" s="18">
        <v>52.29</v>
      </c>
      <c r="S1123" s="19">
        <v>2193.9354999999996</v>
      </c>
      <c r="T1123" s="20" t="s">
        <v>99</v>
      </c>
      <c r="U1123" s="21" t="s">
        <v>1672</v>
      </c>
      <c r="V1123" s="23">
        <v>164</v>
      </c>
      <c r="W1123" s="23">
        <v>1</v>
      </c>
      <c r="X1123" s="24"/>
    </row>
    <row r="1124" spans="1:24" s="1" customFormat="1" ht="52.05" customHeight="1" x14ac:dyDescent="0.3">
      <c r="A1124" s="11" t="s">
        <v>607</v>
      </c>
      <c r="B1124" s="11" t="s">
        <v>1830</v>
      </c>
      <c r="C1124" s="12" t="s">
        <v>1831</v>
      </c>
      <c r="D1124" s="81"/>
      <c r="E1124" s="67" t="str">
        <f>HYPERLINK("https://www.google.ru/search?q=811379-RD&amp;newwindow=1&amp;tbm=isch","Еще фото")</f>
        <v>Еще фото</v>
      </c>
      <c r="F1124" s="14"/>
      <c r="G1124" s="11" t="s">
        <v>439</v>
      </c>
      <c r="H1124" s="11" t="s">
        <v>27</v>
      </c>
      <c r="I1124" s="15" t="s">
        <v>439</v>
      </c>
      <c r="J1124" s="15" t="s">
        <v>360</v>
      </c>
      <c r="K1124" s="16" t="s">
        <v>45</v>
      </c>
      <c r="L1124" s="83" t="s">
        <v>1819</v>
      </c>
      <c r="M1124" s="15"/>
      <c r="N1124" s="15" t="s">
        <v>73</v>
      </c>
      <c r="O1124" s="15"/>
      <c r="P1124" s="16" t="s">
        <v>106</v>
      </c>
      <c r="Q1124" s="17">
        <v>5199</v>
      </c>
      <c r="R1124" s="18">
        <v>48.88</v>
      </c>
      <c r="S1124" s="19">
        <v>3056.4354999999996</v>
      </c>
      <c r="T1124" s="20" t="s">
        <v>99</v>
      </c>
      <c r="U1124" s="21" t="s">
        <v>34</v>
      </c>
      <c r="V1124" s="22" t="s">
        <v>35</v>
      </c>
      <c r="W1124" s="23">
        <v>1</v>
      </c>
      <c r="X1124" s="24"/>
    </row>
    <row r="1125" spans="1:24" s="1" customFormat="1" ht="61.05" customHeight="1" x14ac:dyDescent="0.3">
      <c r="A1125" s="25" t="s">
        <v>607</v>
      </c>
      <c r="B1125" s="25" t="s">
        <v>1830</v>
      </c>
      <c r="C1125" s="12" t="s">
        <v>1831</v>
      </c>
      <c r="D1125" s="82"/>
      <c r="E1125" s="67" t="str">
        <f>HYPERLINK("https://www.google.ru/search?q=811379-RD&amp;newwindow=1&amp;tbm=isch","Еще фото")</f>
        <v>Еще фото</v>
      </c>
      <c r="F1125" s="14"/>
      <c r="G1125" s="25" t="s">
        <v>439</v>
      </c>
      <c r="H1125" s="25" t="s">
        <v>27</v>
      </c>
      <c r="I1125" s="25" t="s">
        <v>439</v>
      </c>
      <c r="J1125" s="15" t="s">
        <v>360</v>
      </c>
      <c r="K1125" s="16" t="s">
        <v>45</v>
      </c>
      <c r="L1125" s="84"/>
      <c r="M1125" s="15"/>
      <c r="N1125" s="15" t="s">
        <v>73</v>
      </c>
      <c r="O1125" s="15"/>
      <c r="P1125" s="16" t="s">
        <v>106</v>
      </c>
      <c r="Q1125" s="17">
        <v>5199</v>
      </c>
      <c r="R1125" s="18">
        <v>48.88</v>
      </c>
      <c r="S1125" s="19">
        <v>3056.4354999999996</v>
      </c>
      <c r="T1125" s="20" t="s">
        <v>99</v>
      </c>
      <c r="U1125" s="21" t="s">
        <v>40</v>
      </c>
      <c r="V1125" s="22" t="s">
        <v>41</v>
      </c>
      <c r="W1125" s="23">
        <v>4</v>
      </c>
      <c r="X1125" s="24"/>
    </row>
    <row r="1126" spans="1:24" s="1" customFormat="1" ht="108" customHeight="1" x14ac:dyDescent="0.3">
      <c r="A1126" s="11" t="s">
        <v>607</v>
      </c>
      <c r="B1126" s="11" t="s">
        <v>1832</v>
      </c>
      <c r="C1126" s="12" t="s">
        <v>1833</v>
      </c>
      <c r="D1126" s="13"/>
      <c r="E1126" s="67" t="str">
        <f>HYPERLINK("https://www.google.ru/search?q=811480-WH&amp;newwindow=1&amp;tbm=isch","Еще фото")</f>
        <v>Еще фото</v>
      </c>
      <c r="F1126" s="14"/>
      <c r="G1126" s="11" t="s">
        <v>439</v>
      </c>
      <c r="H1126" s="11" t="s">
        <v>27</v>
      </c>
      <c r="I1126" s="15" t="s">
        <v>439</v>
      </c>
      <c r="J1126" s="15" t="s">
        <v>360</v>
      </c>
      <c r="K1126" s="16" t="s">
        <v>45</v>
      </c>
      <c r="L1126" s="15" t="s">
        <v>1834</v>
      </c>
      <c r="M1126" s="15"/>
      <c r="N1126" s="15" t="s">
        <v>173</v>
      </c>
      <c r="O1126" s="15"/>
      <c r="P1126" s="16" t="s">
        <v>106</v>
      </c>
      <c r="Q1126" s="17">
        <v>2999</v>
      </c>
      <c r="R1126" s="18">
        <v>46.65</v>
      </c>
      <c r="S1126" s="19">
        <v>1839.9884999999999</v>
      </c>
      <c r="T1126" s="20" t="s">
        <v>99</v>
      </c>
      <c r="U1126" s="21" t="s">
        <v>34</v>
      </c>
      <c r="V1126" s="22" t="s">
        <v>35</v>
      </c>
      <c r="W1126" s="23">
        <v>1</v>
      </c>
      <c r="X1126" s="24"/>
    </row>
    <row r="1127" spans="1:24" s="1" customFormat="1" ht="108" customHeight="1" x14ac:dyDescent="0.3">
      <c r="A1127" s="11" t="s">
        <v>607</v>
      </c>
      <c r="B1127" s="11" t="s">
        <v>1830</v>
      </c>
      <c r="C1127" s="12" t="s">
        <v>1835</v>
      </c>
      <c r="D1127" s="13"/>
      <c r="E1127" s="67" t="str">
        <f>HYPERLINK("https://www.google.ru/search?q=811379-RO&amp;newwindow=1&amp;tbm=isch","Еще фото")</f>
        <v>Еще фото</v>
      </c>
      <c r="F1127" s="14"/>
      <c r="G1127" s="11" t="s">
        <v>439</v>
      </c>
      <c r="H1127" s="11" t="s">
        <v>27</v>
      </c>
      <c r="I1127" s="15" t="s">
        <v>439</v>
      </c>
      <c r="J1127" s="15" t="s">
        <v>360</v>
      </c>
      <c r="K1127" s="16" t="s">
        <v>45</v>
      </c>
      <c r="L1127" s="15" t="s">
        <v>1819</v>
      </c>
      <c r="M1127" s="15"/>
      <c r="N1127" s="15" t="s">
        <v>31</v>
      </c>
      <c r="O1127" s="15"/>
      <c r="P1127" s="16" t="s">
        <v>106</v>
      </c>
      <c r="Q1127" s="17">
        <v>5199</v>
      </c>
      <c r="R1127" s="18">
        <v>46.14</v>
      </c>
      <c r="S1127" s="19">
        <v>3219.9884999999995</v>
      </c>
      <c r="T1127" s="20" t="s">
        <v>99</v>
      </c>
      <c r="U1127" s="21" t="s">
        <v>34</v>
      </c>
      <c r="V1127" s="22" t="s">
        <v>35</v>
      </c>
      <c r="W1127" s="23">
        <v>2</v>
      </c>
      <c r="X1127" s="24"/>
    </row>
    <row r="1128" spans="1:24" s="1" customFormat="1" ht="108" customHeight="1" x14ac:dyDescent="0.3">
      <c r="A1128" s="11" t="s">
        <v>607</v>
      </c>
      <c r="B1128" s="11" t="s">
        <v>1796</v>
      </c>
      <c r="C1128" s="12" t="s">
        <v>1836</v>
      </c>
      <c r="D1128" s="13"/>
      <c r="E1128" s="67" t="str">
        <f>HYPERLINK("https://www.google.ru/search?q=811574-OA&amp;newwindow=1&amp;tbm=isch","Еще фото")</f>
        <v>Еще фото</v>
      </c>
      <c r="F1128" s="14"/>
      <c r="G1128" s="11" t="s">
        <v>439</v>
      </c>
      <c r="H1128" s="11" t="s">
        <v>27</v>
      </c>
      <c r="I1128" s="15" t="s">
        <v>439</v>
      </c>
      <c r="J1128" s="15" t="s">
        <v>360</v>
      </c>
      <c r="K1128" s="16" t="s">
        <v>45</v>
      </c>
      <c r="L1128" s="15" t="s">
        <v>1837</v>
      </c>
      <c r="M1128" s="15"/>
      <c r="N1128" s="15" t="s">
        <v>948</v>
      </c>
      <c r="O1128" s="15"/>
      <c r="P1128" s="16" t="s">
        <v>1838</v>
      </c>
      <c r="Q1128" s="17">
        <v>6999</v>
      </c>
      <c r="R1128" s="18">
        <v>45.71</v>
      </c>
      <c r="S1128" s="19">
        <v>4369.9884999999995</v>
      </c>
      <c r="T1128" s="20" t="s">
        <v>99</v>
      </c>
      <c r="U1128" s="21" t="s">
        <v>34</v>
      </c>
      <c r="V1128" s="22" t="s">
        <v>35</v>
      </c>
      <c r="W1128" s="23">
        <v>1</v>
      </c>
      <c r="X1128" s="24"/>
    </row>
    <row r="1129" spans="1:24" s="1" customFormat="1" ht="108" customHeight="1" x14ac:dyDescent="0.3">
      <c r="A1129" s="11" t="s">
        <v>607</v>
      </c>
      <c r="B1129" s="11" t="s">
        <v>1839</v>
      </c>
      <c r="C1129" s="12" t="s">
        <v>1840</v>
      </c>
      <c r="D1129" s="13"/>
      <c r="E1129" s="67" t="str">
        <f>HYPERLINK("https://www.google.ru/search?q=811504-NV&amp;newwindow=1&amp;tbm=isch","Еще фото")</f>
        <v>Еще фото</v>
      </c>
      <c r="F1129" s="14"/>
      <c r="G1129" s="11" t="s">
        <v>439</v>
      </c>
      <c r="H1129" s="11" t="s">
        <v>27</v>
      </c>
      <c r="I1129" s="15" t="s">
        <v>439</v>
      </c>
      <c r="J1129" s="15" t="s">
        <v>360</v>
      </c>
      <c r="K1129" s="16" t="s">
        <v>45</v>
      </c>
      <c r="L1129" s="15" t="s">
        <v>1841</v>
      </c>
      <c r="M1129" s="15"/>
      <c r="N1129" s="15" t="s">
        <v>31</v>
      </c>
      <c r="O1129" s="15"/>
      <c r="P1129" s="16" t="s">
        <v>1799</v>
      </c>
      <c r="Q1129" s="17">
        <v>10099</v>
      </c>
      <c r="R1129" s="18">
        <v>45.54</v>
      </c>
      <c r="S1129" s="19">
        <v>6324.9884999999995</v>
      </c>
      <c r="T1129" s="20" t="s">
        <v>99</v>
      </c>
      <c r="U1129" s="21" t="s">
        <v>34</v>
      </c>
      <c r="V1129" s="22" t="s">
        <v>35</v>
      </c>
      <c r="W1129" s="23">
        <v>1</v>
      </c>
      <c r="X1129" s="24"/>
    </row>
    <row r="1130" spans="1:24" s="1" customFormat="1" ht="35" customHeight="1" x14ac:dyDescent="0.3">
      <c r="A1130" s="11" t="s">
        <v>607</v>
      </c>
      <c r="B1130" s="11" t="s">
        <v>1842</v>
      </c>
      <c r="C1130" s="12" t="s">
        <v>1843</v>
      </c>
      <c r="D1130" s="85"/>
      <c r="E1130" s="67" t="str">
        <f>HYPERLINK("https://www.google.ru/search?q=811379-BK&amp;newwindow=1&amp;tbm=isch","Еще фото")</f>
        <v>Еще фото</v>
      </c>
      <c r="F1130" s="14"/>
      <c r="G1130" s="11" t="s">
        <v>439</v>
      </c>
      <c r="H1130" s="11" t="s">
        <v>27</v>
      </c>
      <c r="I1130" s="15" t="s">
        <v>439</v>
      </c>
      <c r="J1130" s="15" t="s">
        <v>360</v>
      </c>
      <c r="K1130" s="16" t="s">
        <v>45</v>
      </c>
      <c r="L1130" s="83" t="s">
        <v>1819</v>
      </c>
      <c r="M1130" s="15"/>
      <c r="N1130" s="15" t="s">
        <v>38</v>
      </c>
      <c r="O1130" s="15"/>
      <c r="P1130" s="16" t="s">
        <v>500</v>
      </c>
      <c r="Q1130" s="17">
        <v>5899</v>
      </c>
      <c r="R1130" s="18">
        <v>45.11</v>
      </c>
      <c r="S1130" s="19">
        <v>3723.4354999999996</v>
      </c>
      <c r="T1130" s="20" t="s">
        <v>99</v>
      </c>
      <c r="U1130" s="21" t="s">
        <v>34</v>
      </c>
      <c r="V1130" s="22" t="s">
        <v>35</v>
      </c>
      <c r="W1130" s="23">
        <v>6</v>
      </c>
      <c r="X1130" s="24"/>
    </row>
    <row r="1131" spans="1:24" s="1" customFormat="1" ht="35" customHeight="1" x14ac:dyDescent="0.3">
      <c r="A1131" s="25" t="s">
        <v>607</v>
      </c>
      <c r="B1131" s="25" t="s">
        <v>1842</v>
      </c>
      <c r="C1131" s="12" t="s">
        <v>1843</v>
      </c>
      <c r="D1131" s="86"/>
      <c r="E1131" s="67" t="str">
        <f>HYPERLINK("https://www.google.ru/search?q=811379-BK&amp;newwindow=1&amp;tbm=isch","Еще фото")</f>
        <v>Еще фото</v>
      </c>
      <c r="F1131" s="14"/>
      <c r="G1131" s="25" t="s">
        <v>439</v>
      </c>
      <c r="H1131" s="25" t="s">
        <v>27</v>
      </c>
      <c r="I1131" s="25" t="s">
        <v>439</v>
      </c>
      <c r="J1131" s="15" t="s">
        <v>360</v>
      </c>
      <c r="K1131" s="16" t="s">
        <v>45</v>
      </c>
      <c r="L1131" s="88"/>
      <c r="M1131" s="15"/>
      <c r="N1131" s="15" t="s">
        <v>38</v>
      </c>
      <c r="O1131" s="15"/>
      <c r="P1131" s="16" t="s">
        <v>500</v>
      </c>
      <c r="Q1131" s="17">
        <v>5899</v>
      </c>
      <c r="R1131" s="18">
        <v>45.11</v>
      </c>
      <c r="S1131" s="19">
        <v>3723.4354999999996</v>
      </c>
      <c r="T1131" s="20" t="s">
        <v>99</v>
      </c>
      <c r="U1131" s="21" t="s">
        <v>52</v>
      </c>
      <c r="V1131" s="22" t="s">
        <v>53</v>
      </c>
      <c r="W1131" s="23">
        <v>16</v>
      </c>
      <c r="X1131" s="24"/>
    </row>
    <row r="1132" spans="1:24" s="1" customFormat="1" ht="37.049999999999997" customHeight="1" x14ac:dyDescent="0.3">
      <c r="A1132" s="25" t="s">
        <v>607</v>
      </c>
      <c r="B1132" s="25" t="s">
        <v>1842</v>
      </c>
      <c r="C1132" s="12" t="s">
        <v>1843</v>
      </c>
      <c r="D1132" s="87"/>
      <c r="E1132" s="67" t="str">
        <f>HYPERLINK("https://www.google.ru/search?q=811379-BK&amp;newwindow=1&amp;tbm=isch","Еще фото")</f>
        <v>Еще фото</v>
      </c>
      <c r="F1132" s="14"/>
      <c r="G1132" s="25" t="s">
        <v>439</v>
      </c>
      <c r="H1132" s="25" t="s">
        <v>27</v>
      </c>
      <c r="I1132" s="25" t="s">
        <v>439</v>
      </c>
      <c r="J1132" s="15" t="s">
        <v>360</v>
      </c>
      <c r="K1132" s="16" t="s">
        <v>45</v>
      </c>
      <c r="L1132" s="84"/>
      <c r="M1132" s="15"/>
      <c r="N1132" s="15" t="s">
        <v>38</v>
      </c>
      <c r="O1132" s="15"/>
      <c r="P1132" s="16" t="s">
        <v>500</v>
      </c>
      <c r="Q1132" s="17">
        <v>5899</v>
      </c>
      <c r="R1132" s="18">
        <v>45.11</v>
      </c>
      <c r="S1132" s="19">
        <v>3723.4354999999996</v>
      </c>
      <c r="T1132" s="20" t="s">
        <v>99</v>
      </c>
      <c r="U1132" s="21" t="s">
        <v>40</v>
      </c>
      <c r="V1132" s="22" t="s">
        <v>41</v>
      </c>
      <c r="W1132" s="23">
        <v>2</v>
      </c>
      <c r="X1132" s="24"/>
    </row>
    <row r="1133" spans="1:24" s="1" customFormat="1" ht="21" customHeight="1" x14ac:dyDescent="0.3">
      <c r="A1133" s="11" t="s">
        <v>607</v>
      </c>
      <c r="B1133" s="11" t="s">
        <v>1824</v>
      </c>
      <c r="C1133" s="27" t="s">
        <v>1844</v>
      </c>
      <c r="D1133" s="85"/>
      <c r="E1133" s="67" t="str">
        <f>HYPERLINK("https://www.google.ru/search?q=816349-BK&amp;newwindow=1&amp;tbm=isch","Еще фото")</f>
        <v>Еще фото</v>
      </c>
      <c r="F1133" s="14"/>
      <c r="G1133" s="11" t="s">
        <v>439</v>
      </c>
      <c r="H1133" s="11" t="s">
        <v>27</v>
      </c>
      <c r="I1133" s="15" t="s">
        <v>439</v>
      </c>
      <c r="J1133" s="15" t="s">
        <v>360</v>
      </c>
      <c r="K1133" s="16" t="s">
        <v>59</v>
      </c>
      <c r="L1133" s="83" t="s">
        <v>1815</v>
      </c>
      <c r="M1133" s="15"/>
      <c r="N1133" s="15" t="s">
        <v>38</v>
      </c>
      <c r="O1133" s="15"/>
      <c r="P1133" s="16" t="s">
        <v>106</v>
      </c>
      <c r="Q1133" s="17">
        <v>3999</v>
      </c>
      <c r="R1133" s="18">
        <v>45.04</v>
      </c>
      <c r="S1133" s="19">
        <v>2527.4354999999996</v>
      </c>
      <c r="T1133" s="20" t="s">
        <v>99</v>
      </c>
      <c r="U1133" s="21" t="s">
        <v>611</v>
      </c>
      <c r="V1133" s="23">
        <v>128</v>
      </c>
      <c r="W1133" s="23">
        <v>1</v>
      </c>
      <c r="X1133" s="24"/>
    </row>
    <row r="1134" spans="1:24" s="1" customFormat="1" ht="21" customHeight="1" x14ac:dyDescent="0.3">
      <c r="A1134" s="25" t="s">
        <v>607</v>
      </c>
      <c r="B1134" s="25" t="s">
        <v>1824</v>
      </c>
      <c r="C1134" s="28" t="s">
        <v>1844</v>
      </c>
      <c r="D1134" s="86"/>
      <c r="E1134" s="67" t="str">
        <f>HYPERLINK("https://www.google.ru/search?q=816349-BK&amp;newwindow=1&amp;tbm=isch","Еще фото")</f>
        <v>Еще фото</v>
      </c>
      <c r="F1134" s="14"/>
      <c r="G1134" s="25" t="s">
        <v>439</v>
      </c>
      <c r="H1134" s="25" t="s">
        <v>27</v>
      </c>
      <c r="I1134" s="25" t="s">
        <v>439</v>
      </c>
      <c r="J1134" s="15" t="s">
        <v>360</v>
      </c>
      <c r="K1134" s="16" t="s">
        <v>59</v>
      </c>
      <c r="L1134" s="88"/>
      <c r="M1134" s="15"/>
      <c r="N1134" s="15" t="s">
        <v>38</v>
      </c>
      <c r="O1134" s="15"/>
      <c r="P1134" s="16" t="s">
        <v>106</v>
      </c>
      <c r="Q1134" s="17">
        <v>3999</v>
      </c>
      <c r="R1134" s="18">
        <v>45.04</v>
      </c>
      <c r="S1134" s="19">
        <v>2527.4354999999996</v>
      </c>
      <c r="T1134" s="20" t="s">
        <v>99</v>
      </c>
      <c r="U1134" s="21" t="s">
        <v>1670</v>
      </c>
      <c r="V1134" s="23">
        <v>140</v>
      </c>
      <c r="W1134" s="23">
        <v>4</v>
      </c>
      <c r="X1134" s="24"/>
    </row>
    <row r="1135" spans="1:24" s="1" customFormat="1" ht="21" customHeight="1" x14ac:dyDescent="0.3">
      <c r="A1135" s="25" t="s">
        <v>607</v>
      </c>
      <c r="B1135" s="25" t="s">
        <v>1824</v>
      </c>
      <c r="C1135" s="28" t="s">
        <v>1844</v>
      </c>
      <c r="D1135" s="86"/>
      <c r="E1135" s="67" t="str">
        <f>HYPERLINK("https://www.google.ru/search?q=816349-BK&amp;newwindow=1&amp;tbm=isch","Еще фото")</f>
        <v>Еще фото</v>
      </c>
      <c r="F1135" s="14"/>
      <c r="G1135" s="25" t="s">
        <v>439</v>
      </c>
      <c r="H1135" s="25" t="s">
        <v>27</v>
      </c>
      <c r="I1135" s="25" t="s">
        <v>439</v>
      </c>
      <c r="J1135" s="15" t="s">
        <v>360</v>
      </c>
      <c r="K1135" s="16" t="s">
        <v>59</v>
      </c>
      <c r="L1135" s="88"/>
      <c r="M1135" s="15"/>
      <c r="N1135" s="15" t="s">
        <v>38</v>
      </c>
      <c r="O1135" s="15"/>
      <c r="P1135" s="16" t="s">
        <v>106</v>
      </c>
      <c r="Q1135" s="17">
        <v>3999</v>
      </c>
      <c r="R1135" s="18">
        <v>45.04</v>
      </c>
      <c r="S1135" s="19">
        <v>2527.4354999999996</v>
      </c>
      <c r="T1135" s="20" t="s">
        <v>99</v>
      </c>
      <c r="U1135" s="21" t="s">
        <v>1671</v>
      </c>
      <c r="V1135" s="23">
        <v>152</v>
      </c>
      <c r="W1135" s="23">
        <v>5</v>
      </c>
      <c r="X1135" s="24"/>
    </row>
    <row r="1136" spans="1:24" s="1" customFormat="1" ht="21" customHeight="1" x14ac:dyDescent="0.3">
      <c r="A1136" s="25" t="s">
        <v>607</v>
      </c>
      <c r="B1136" s="25" t="s">
        <v>1824</v>
      </c>
      <c r="C1136" s="28" t="s">
        <v>1844</v>
      </c>
      <c r="D1136" s="86"/>
      <c r="E1136" s="67" t="str">
        <f>HYPERLINK("https://www.google.ru/search?q=816349-BK&amp;newwindow=1&amp;tbm=isch","Еще фото")</f>
        <v>Еще фото</v>
      </c>
      <c r="F1136" s="14"/>
      <c r="G1136" s="25" t="s">
        <v>439</v>
      </c>
      <c r="H1136" s="25" t="s">
        <v>27</v>
      </c>
      <c r="I1136" s="25" t="s">
        <v>439</v>
      </c>
      <c r="J1136" s="15" t="s">
        <v>360</v>
      </c>
      <c r="K1136" s="16" t="s">
        <v>59</v>
      </c>
      <c r="L1136" s="88"/>
      <c r="M1136" s="15"/>
      <c r="N1136" s="15" t="s">
        <v>38</v>
      </c>
      <c r="O1136" s="15"/>
      <c r="P1136" s="16" t="s">
        <v>106</v>
      </c>
      <c r="Q1136" s="17">
        <v>3999</v>
      </c>
      <c r="R1136" s="18">
        <v>45.04</v>
      </c>
      <c r="S1136" s="19">
        <v>2527.4354999999996</v>
      </c>
      <c r="T1136" s="20" t="s">
        <v>99</v>
      </c>
      <c r="U1136" s="21" t="s">
        <v>1672</v>
      </c>
      <c r="V1136" s="23">
        <v>164</v>
      </c>
      <c r="W1136" s="23">
        <v>7</v>
      </c>
      <c r="X1136" s="24"/>
    </row>
    <row r="1137" spans="1:24" s="1" customFormat="1" ht="32" customHeight="1" x14ac:dyDescent="0.3">
      <c r="A1137" s="25" t="s">
        <v>607</v>
      </c>
      <c r="B1137" s="25" t="s">
        <v>1824</v>
      </c>
      <c r="C1137" s="28" t="s">
        <v>1844</v>
      </c>
      <c r="D1137" s="87"/>
      <c r="E1137" s="67" t="str">
        <f>HYPERLINK("https://www.google.ru/search?q=816349-BK&amp;newwindow=1&amp;tbm=isch","Еще фото")</f>
        <v>Еще фото</v>
      </c>
      <c r="F1137" s="14"/>
      <c r="G1137" s="25" t="s">
        <v>439</v>
      </c>
      <c r="H1137" s="25" t="s">
        <v>27</v>
      </c>
      <c r="I1137" s="25" t="s">
        <v>439</v>
      </c>
      <c r="J1137" s="15" t="s">
        <v>360</v>
      </c>
      <c r="K1137" s="16" t="s">
        <v>59</v>
      </c>
      <c r="L1137" s="84"/>
      <c r="M1137" s="15"/>
      <c r="N1137" s="15" t="s">
        <v>38</v>
      </c>
      <c r="O1137" s="15"/>
      <c r="P1137" s="16" t="s">
        <v>106</v>
      </c>
      <c r="Q1137" s="17">
        <v>3999</v>
      </c>
      <c r="R1137" s="18">
        <v>45.04</v>
      </c>
      <c r="S1137" s="19">
        <v>2527.4354999999996</v>
      </c>
      <c r="T1137" s="20" t="s">
        <v>99</v>
      </c>
      <c r="U1137" s="21" t="s">
        <v>1673</v>
      </c>
      <c r="V1137" s="23">
        <v>176</v>
      </c>
      <c r="W1137" s="23">
        <v>2</v>
      </c>
      <c r="X1137" s="24"/>
    </row>
    <row r="1138" spans="1:24" s="1" customFormat="1" ht="26" customHeight="1" x14ac:dyDescent="0.3">
      <c r="A1138" s="11" t="s">
        <v>607</v>
      </c>
      <c r="B1138" s="11" t="s">
        <v>1824</v>
      </c>
      <c r="C1138" s="12" t="s">
        <v>1845</v>
      </c>
      <c r="D1138" s="85"/>
      <c r="E1138" s="67" t="str">
        <f>HYPERLINK("https://www.google.ru/search?q=816349-RO&amp;newwindow=1&amp;tbm=isch","Еще фото")</f>
        <v>Еще фото</v>
      </c>
      <c r="F1138" s="14"/>
      <c r="G1138" s="11" t="s">
        <v>439</v>
      </c>
      <c r="H1138" s="11" t="s">
        <v>27</v>
      </c>
      <c r="I1138" s="15" t="s">
        <v>439</v>
      </c>
      <c r="J1138" s="15" t="s">
        <v>360</v>
      </c>
      <c r="K1138" s="16" t="s">
        <v>59</v>
      </c>
      <c r="L1138" s="83" t="s">
        <v>1815</v>
      </c>
      <c r="M1138" s="15"/>
      <c r="N1138" s="15" t="s">
        <v>31</v>
      </c>
      <c r="O1138" s="15"/>
      <c r="P1138" s="16" t="s">
        <v>106</v>
      </c>
      <c r="Q1138" s="17">
        <v>3999</v>
      </c>
      <c r="R1138" s="18">
        <v>45.04</v>
      </c>
      <c r="S1138" s="19">
        <v>2527.4354999999996</v>
      </c>
      <c r="T1138" s="20" t="s">
        <v>99</v>
      </c>
      <c r="U1138" s="21" t="s">
        <v>611</v>
      </c>
      <c r="V1138" s="23">
        <v>128</v>
      </c>
      <c r="W1138" s="23">
        <v>1</v>
      </c>
      <c r="X1138" s="24"/>
    </row>
    <row r="1139" spans="1:24" s="1" customFormat="1" ht="26" customHeight="1" x14ac:dyDescent="0.3">
      <c r="A1139" s="25" t="s">
        <v>607</v>
      </c>
      <c r="B1139" s="25" t="s">
        <v>1824</v>
      </c>
      <c r="C1139" s="12" t="s">
        <v>1845</v>
      </c>
      <c r="D1139" s="86"/>
      <c r="E1139" s="67" t="str">
        <f>HYPERLINK("https://www.google.ru/search?q=816349-RO&amp;newwindow=1&amp;tbm=isch","Еще фото")</f>
        <v>Еще фото</v>
      </c>
      <c r="F1139" s="14"/>
      <c r="G1139" s="25" t="s">
        <v>439</v>
      </c>
      <c r="H1139" s="25" t="s">
        <v>27</v>
      </c>
      <c r="I1139" s="25" t="s">
        <v>439</v>
      </c>
      <c r="J1139" s="15" t="s">
        <v>360</v>
      </c>
      <c r="K1139" s="16" t="s">
        <v>59</v>
      </c>
      <c r="L1139" s="88"/>
      <c r="M1139" s="15"/>
      <c r="N1139" s="15" t="s">
        <v>31</v>
      </c>
      <c r="O1139" s="15"/>
      <c r="P1139" s="16" t="s">
        <v>106</v>
      </c>
      <c r="Q1139" s="17">
        <v>3999</v>
      </c>
      <c r="R1139" s="18">
        <v>45.04</v>
      </c>
      <c r="S1139" s="19">
        <v>2527.4354999999996</v>
      </c>
      <c r="T1139" s="20" t="s">
        <v>99</v>
      </c>
      <c r="U1139" s="21" t="s">
        <v>1670</v>
      </c>
      <c r="V1139" s="23">
        <v>140</v>
      </c>
      <c r="W1139" s="23">
        <v>5</v>
      </c>
      <c r="X1139" s="24"/>
    </row>
    <row r="1140" spans="1:24" s="1" customFormat="1" ht="26" customHeight="1" x14ac:dyDescent="0.3">
      <c r="A1140" s="25" t="s">
        <v>607</v>
      </c>
      <c r="B1140" s="25" t="s">
        <v>1824</v>
      </c>
      <c r="C1140" s="12" t="s">
        <v>1845</v>
      </c>
      <c r="D1140" s="86"/>
      <c r="E1140" s="67" t="str">
        <f>HYPERLINK("https://www.google.ru/search?q=816349-RO&amp;newwindow=1&amp;tbm=isch","Еще фото")</f>
        <v>Еще фото</v>
      </c>
      <c r="F1140" s="14"/>
      <c r="G1140" s="25" t="s">
        <v>439</v>
      </c>
      <c r="H1140" s="25" t="s">
        <v>27</v>
      </c>
      <c r="I1140" s="25" t="s">
        <v>439</v>
      </c>
      <c r="J1140" s="15" t="s">
        <v>360</v>
      </c>
      <c r="K1140" s="16" t="s">
        <v>59</v>
      </c>
      <c r="L1140" s="88"/>
      <c r="M1140" s="15"/>
      <c r="N1140" s="15" t="s">
        <v>31</v>
      </c>
      <c r="O1140" s="15"/>
      <c r="P1140" s="16" t="s">
        <v>106</v>
      </c>
      <c r="Q1140" s="17">
        <v>3999</v>
      </c>
      <c r="R1140" s="18">
        <v>45.04</v>
      </c>
      <c r="S1140" s="19">
        <v>2527.4354999999996</v>
      </c>
      <c r="T1140" s="20" t="s">
        <v>99</v>
      </c>
      <c r="U1140" s="21" t="s">
        <v>1671</v>
      </c>
      <c r="V1140" s="23">
        <v>152</v>
      </c>
      <c r="W1140" s="23">
        <v>4</v>
      </c>
      <c r="X1140" s="24"/>
    </row>
    <row r="1141" spans="1:24" s="1" customFormat="1" ht="26" customHeight="1" x14ac:dyDescent="0.3">
      <c r="A1141" s="25" t="s">
        <v>607</v>
      </c>
      <c r="B1141" s="25" t="s">
        <v>1824</v>
      </c>
      <c r="C1141" s="12" t="s">
        <v>1845</v>
      </c>
      <c r="D1141" s="87"/>
      <c r="E1141" s="67" t="str">
        <f>HYPERLINK("https://www.google.ru/search?q=816349-RO&amp;newwindow=1&amp;tbm=isch","Еще фото")</f>
        <v>Еще фото</v>
      </c>
      <c r="F1141" s="14"/>
      <c r="G1141" s="25" t="s">
        <v>439</v>
      </c>
      <c r="H1141" s="25" t="s">
        <v>27</v>
      </c>
      <c r="I1141" s="25" t="s">
        <v>439</v>
      </c>
      <c r="J1141" s="15" t="s">
        <v>360</v>
      </c>
      <c r="K1141" s="16" t="s">
        <v>59</v>
      </c>
      <c r="L1141" s="84"/>
      <c r="M1141" s="15"/>
      <c r="N1141" s="15" t="s">
        <v>31</v>
      </c>
      <c r="O1141" s="15"/>
      <c r="P1141" s="16" t="s">
        <v>106</v>
      </c>
      <c r="Q1141" s="17">
        <v>3999</v>
      </c>
      <c r="R1141" s="18">
        <v>45.04</v>
      </c>
      <c r="S1141" s="19">
        <v>2527.4354999999996</v>
      </c>
      <c r="T1141" s="20" t="s">
        <v>99</v>
      </c>
      <c r="U1141" s="21" t="s">
        <v>1673</v>
      </c>
      <c r="V1141" s="23">
        <v>176</v>
      </c>
      <c r="W1141" s="23">
        <v>4</v>
      </c>
      <c r="X1141" s="24"/>
    </row>
    <row r="1142" spans="1:24" s="1" customFormat="1" ht="17" customHeight="1" x14ac:dyDescent="0.3">
      <c r="A1142" s="11" t="s">
        <v>607</v>
      </c>
      <c r="B1142" s="11" t="s">
        <v>1830</v>
      </c>
      <c r="C1142" s="12" t="s">
        <v>1846</v>
      </c>
      <c r="D1142" s="85"/>
      <c r="E1142" s="67" t="str">
        <f t="shared" ref="E1142:E1147" si="21">HYPERLINK("https://www.google.ru/search?q=811379-WH&amp;newwindow=1&amp;tbm=isch","Еще фото")</f>
        <v>Еще фото</v>
      </c>
      <c r="F1142" s="14"/>
      <c r="G1142" s="11" t="s">
        <v>439</v>
      </c>
      <c r="H1142" s="11" t="s">
        <v>27</v>
      </c>
      <c r="I1142" s="15" t="s">
        <v>439</v>
      </c>
      <c r="J1142" s="15" t="s">
        <v>360</v>
      </c>
      <c r="K1142" s="16" t="s">
        <v>45</v>
      </c>
      <c r="L1142" s="83" t="s">
        <v>1819</v>
      </c>
      <c r="M1142" s="15"/>
      <c r="N1142" s="15" t="s">
        <v>173</v>
      </c>
      <c r="O1142" s="15"/>
      <c r="P1142" s="16" t="s">
        <v>106</v>
      </c>
      <c r="Q1142" s="17">
        <v>5199</v>
      </c>
      <c r="R1142" s="18">
        <v>45.03</v>
      </c>
      <c r="S1142" s="19">
        <v>3286.4354999999996</v>
      </c>
      <c r="T1142" s="20" t="s">
        <v>99</v>
      </c>
      <c r="U1142" s="21" t="s">
        <v>34</v>
      </c>
      <c r="V1142" s="22" t="s">
        <v>35</v>
      </c>
      <c r="W1142" s="23">
        <v>5</v>
      </c>
      <c r="X1142" s="24"/>
    </row>
    <row r="1143" spans="1:24" s="1" customFormat="1" ht="17" customHeight="1" x14ac:dyDescent="0.3">
      <c r="A1143" s="25" t="s">
        <v>607</v>
      </c>
      <c r="B1143" s="25" t="s">
        <v>1830</v>
      </c>
      <c r="C1143" s="12" t="s">
        <v>1846</v>
      </c>
      <c r="D1143" s="86"/>
      <c r="E1143" s="67" t="str">
        <f t="shared" si="21"/>
        <v>Еще фото</v>
      </c>
      <c r="F1143" s="14"/>
      <c r="G1143" s="25" t="s">
        <v>439</v>
      </c>
      <c r="H1143" s="25" t="s">
        <v>27</v>
      </c>
      <c r="I1143" s="25" t="s">
        <v>439</v>
      </c>
      <c r="J1143" s="15" t="s">
        <v>360</v>
      </c>
      <c r="K1143" s="16" t="s">
        <v>45</v>
      </c>
      <c r="L1143" s="88"/>
      <c r="M1143" s="15"/>
      <c r="N1143" s="15" t="s">
        <v>173</v>
      </c>
      <c r="O1143" s="15"/>
      <c r="P1143" s="16" t="s">
        <v>106</v>
      </c>
      <c r="Q1143" s="17">
        <v>5199</v>
      </c>
      <c r="R1143" s="18">
        <v>45.03</v>
      </c>
      <c r="S1143" s="19">
        <v>3286.4354999999996</v>
      </c>
      <c r="T1143" s="20" t="s">
        <v>99</v>
      </c>
      <c r="U1143" s="21" t="s">
        <v>52</v>
      </c>
      <c r="V1143" s="22" t="s">
        <v>53</v>
      </c>
      <c r="W1143" s="23">
        <v>3</v>
      </c>
      <c r="X1143" s="24"/>
    </row>
    <row r="1144" spans="1:24" s="1" customFormat="1" ht="17" customHeight="1" x14ac:dyDescent="0.3">
      <c r="A1144" s="25" t="s">
        <v>607</v>
      </c>
      <c r="B1144" s="25" t="s">
        <v>1830</v>
      </c>
      <c r="C1144" s="12" t="s">
        <v>1846</v>
      </c>
      <c r="D1144" s="86"/>
      <c r="E1144" s="67" t="str">
        <f t="shared" si="21"/>
        <v>Еще фото</v>
      </c>
      <c r="F1144" s="14"/>
      <c r="G1144" s="25" t="s">
        <v>439</v>
      </c>
      <c r="H1144" s="25" t="s">
        <v>27</v>
      </c>
      <c r="I1144" s="25" t="s">
        <v>439</v>
      </c>
      <c r="J1144" s="15" t="s">
        <v>360</v>
      </c>
      <c r="K1144" s="16" t="s">
        <v>45</v>
      </c>
      <c r="L1144" s="88"/>
      <c r="M1144" s="15"/>
      <c r="N1144" s="15" t="s">
        <v>173</v>
      </c>
      <c r="O1144" s="15"/>
      <c r="P1144" s="16" t="s">
        <v>106</v>
      </c>
      <c r="Q1144" s="17">
        <v>5199</v>
      </c>
      <c r="R1144" s="18">
        <v>45.03</v>
      </c>
      <c r="S1144" s="19">
        <v>3286.4354999999996</v>
      </c>
      <c r="T1144" s="20" t="s">
        <v>99</v>
      </c>
      <c r="U1144" s="21" t="s">
        <v>40</v>
      </c>
      <c r="V1144" s="22" t="s">
        <v>41</v>
      </c>
      <c r="W1144" s="23">
        <v>6</v>
      </c>
      <c r="X1144" s="24"/>
    </row>
    <row r="1145" spans="1:24" s="1" customFormat="1" ht="17" customHeight="1" x14ac:dyDescent="0.3">
      <c r="A1145" s="25" t="s">
        <v>607</v>
      </c>
      <c r="B1145" s="25" t="s">
        <v>1830</v>
      </c>
      <c r="C1145" s="12" t="s">
        <v>1846</v>
      </c>
      <c r="D1145" s="86"/>
      <c r="E1145" s="67" t="str">
        <f t="shared" si="21"/>
        <v>Еще фото</v>
      </c>
      <c r="F1145" s="14"/>
      <c r="G1145" s="25" t="s">
        <v>439</v>
      </c>
      <c r="H1145" s="25" t="s">
        <v>27</v>
      </c>
      <c r="I1145" s="25" t="s">
        <v>439</v>
      </c>
      <c r="J1145" s="15" t="s">
        <v>360</v>
      </c>
      <c r="K1145" s="16" t="s">
        <v>45</v>
      </c>
      <c r="L1145" s="88"/>
      <c r="M1145" s="15"/>
      <c r="N1145" s="15" t="s">
        <v>173</v>
      </c>
      <c r="O1145" s="15"/>
      <c r="P1145" s="16" t="s">
        <v>106</v>
      </c>
      <c r="Q1145" s="17">
        <v>5199</v>
      </c>
      <c r="R1145" s="18">
        <v>45.03</v>
      </c>
      <c r="S1145" s="19">
        <v>3286.4354999999996</v>
      </c>
      <c r="T1145" s="20" t="s">
        <v>99</v>
      </c>
      <c r="U1145" s="21" t="s">
        <v>42</v>
      </c>
      <c r="V1145" s="22" t="s">
        <v>43</v>
      </c>
      <c r="W1145" s="23">
        <v>3</v>
      </c>
      <c r="X1145" s="24"/>
    </row>
    <row r="1146" spans="1:24" s="1" customFormat="1" ht="17" customHeight="1" x14ac:dyDescent="0.3">
      <c r="A1146" s="25" t="s">
        <v>607</v>
      </c>
      <c r="B1146" s="25" t="s">
        <v>1830</v>
      </c>
      <c r="C1146" s="12" t="s">
        <v>1846</v>
      </c>
      <c r="D1146" s="86"/>
      <c r="E1146" s="67" t="str">
        <f t="shared" si="21"/>
        <v>Еще фото</v>
      </c>
      <c r="F1146" s="14"/>
      <c r="G1146" s="25" t="s">
        <v>439</v>
      </c>
      <c r="H1146" s="25" t="s">
        <v>27</v>
      </c>
      <c r="I1146" s="25" t="s">
        <v>439</v>
      </c>
      <c r="J1146" s="15" t="s">
        <v>360</v>
      </c>
      <c r="K1146" s="16" t="s">
        <v>45</v>
      </c>
      <c r="L1146" s="88"/>
      <c r="M1146" s="15"/>
      <c r="N1146" s="15" t="s">
        <v>173</v>
      </c>
      <c r="O1146" s="15"/>
      <c r="P1146" s="16" t="s">
        <v>106</v>
      </c>
      <c r="Q1146" s="17">
        <v>5199</v>
      </c>
      <c r="R1146" s="18">
        <v>45.03</v>
      </c>
      <c r="S1146" s="19">
        <v>3286.4354999999996</v>
      </c>
      <c r="T1146" s="20" t="s">
        <v>99</v>
      </c>
      <c r="U1146" s="21" t="s">
        <v>493</v>
      </c>
      <c r="V1146" s="22" t="s">
        <v>48</v>
      </c>
      <c r="W1146" s="23">
        <v>1</v>
      </c>
      <c r="X1146" s="24"/>
    </row>
    <row r="1147" spans="1:24" s="1" customFormat="1" ht="22.05" customHeight="1" x14ac:dyDescent="0.3">
      <c r="A1147" s="25" t="s">
        <v>607</v>
      </c>
      <c r="B1147" s="25" t="s">
        <v>1830</v>
      </c>
      <c r="C1147" s="12" t="s">
        <v>1846</v>
      </c>
      <c r="D1147" s="87"/>
      <c r="E1147" s="67" t="str">
        <f t="shared" si="21"/>
        <v>Еще фото</v>
      </c>
      <c r="F1147" s="14"/>
      <c r="G1147" s="25" t="s">
        <v>439</v>
      </c>
      <c r="H1147" s="25" t="s">
        <v>27</v>
      </c>
      <c r="I1147" s="25" t="s">
        <v>439</v>
      </c>
      <c r="J1147" s="15" t="s">
        <v>360</v>
      </c>
      <c r="K1147" s="16" t="s">
        <v>45</v>
      </c>
      <c r="L1147" s="84"/>
      <c r="M1147" s="15"/>
      <c r="N1147" s="15" t="s">
        <v>173</v>
      </c>
      <c r="O1147" s="15"/>
      <c r="P1147" s="16" t="s">
        <v>106</v>
      </c>
      <c r="Q1147" s="17">
        <v>5199</v>
      </c>
      <c r="R1147" s="18">
        <v>45.03</v>
      </c>
      <c r="S1147" s="19">
        <v>3286.4354999999996</v>
      </c>
      <c r="T1147" s="20" t="s">
        <v>99</v>
      </c>
      <c r="U1147" s="21" t="s">
        <v>1847</v>
      </c>
      <c r="V1147" s="22" t="s">
        <v>49</v>
      </c>
      <c r="W1147" s="23">
        <v>1</v>
      </c>
      <c r="X1147" s="24"/>
    </row>
    <row r="1148" spans="1:24" s="1" customFormat="1" ht="21" customHeight="1" x14ac:dyDescent="0.3">
      <c r="A1148" s="11" t="s">
        <v>607</v>
      </c>
      <c r="B1148" s="11" t="s">
        <v>1820</v>
      </c>
      <c r="C1148" s="27" t="s">
        <v>1848</v>
      </c>
      <c r="D1148" s="85"/>
      <c r="E1148" s="67" t="str">
        <f>HYPERLINK("https://www.google.ru/search?q=814379-WH&amp;newwindow=1&amp;tbm=isch","Еще фото")</f>
        <v>Еще фото</v>
      </c>
      <c r="F1148" s="14"/>
      <c r="G1148" s="11" t="s">
        <v>439</v>
      </c>
      <c r="H1148" s="11" t="s">
        <v>27</v>
      </c>
      <c r="I1148" s="15" t="s">
        <v>439</v>
      </c>
      <c r="J1148" s="15" t="s">
        <v>360</v>
      </c>
      <c r="K1148" s="16" t="s">
        <v>29</v>
      </c>
      <c r="L1148" s="83" t="s">
        <v>1819</v>
      </c>
      <c r="M1148" s="15"/>
      <c r="N1148" s="15" t="s">
        <v>173</v>
      </c>
      <c r="O1148" s="15"/>
      <c r="P1148" s="16" t="s">
        <v>106</v>
      </c>
      <c r="Q1148" s="17">
        <v>5199</v>
      </c>
      <c r="R1148" s="18">
        <v>45.03</v>
      </c>
      <c r="S1148" s="19">
        <v>3286.4354999999996</v>
      </c>
      <c r="T1148" s="20" t="s">
        <v>99</v>
      </c>
      <c r="U1148" s="21" t="s">
        <v>442</v>
      </c>
      <c r="V1148" s="22" t="s">
        <v>35</v>
      </c>
      <c r="W1148" s="23">
        <v>2</v>
      </c>
      <c r="X1148" s="24"/>
    </row>
    <row r="1149" spans="1:24" s="1" customFormat="1" ht="21" customHeight="1" x14ac:dyDescent="0.3">
      <c r="A1149" s="25" t="s">
        <v>607</v>
      </c>
      <c r="B1149" s="25" t="s">
        <v>1820</v>
      </c>
      <c r="C1149" s="28" t="s">
        <v>1848</v>
      </c>
      <c r="D1149" s="86"/>
      <c r="E1149" s="67" t="str">
        <f>HYPERLINK("https://www.google.ru/search?q=814379-WH&amp;newwindow=1&amp;tbm=isch","Еще фото")</f>
        <v>Еще фото</v>
      </c>
      <c r="F1149" s="14"/>
      <c r="G1149" s="25" t="s">
        <v>439</v>
      </c>
      <c r="H1149" s="25" t="s">
        <v>27</v>
      </c>
      <c r="I1149" s="25" t="s">
        <v>439</v>
      </c>
      <c r="J1149" s="15" t="s">
        <v>360</v>
      </c>
      <c r="K1149" s="16" t="s">
        <v>29</v>
      </c>
      <c r="L1149" s="88"/>
      <c r="M1149" s="15"/>
      <c r="N1149" s="15" t="s">
        <v>173</v>
      </c>
      <c r="O1149" s="15"/>
      <c r="P1149" s="16" t="s">
        <v>106</v>
      </c>
      <c r="Q1149" s="17">
        <v>5199</v>
      </c>
      <c r="R1149" s="18">
        <v>45.03</v>
      </c>
      <c r="S1149" s="19">
        <v>3286.4354999999996</v>
      </c>
      <c r="T1149" s="20" t="s">
        <v>99</v>
      </c>
      <c r="U1149" s="21" t="s">
        <v>34</v>
      </c>
      <c r="V1149" s="22" t="s">
        <v>53</v>
      </c>
      <c r="W1149" s="23">
        <v>4</v>
      </c>
      <c r="X1149" s="24"/>
    </row>
    <row r="1150" spans="1:24" s="1" customFormat="1" ht="21" customHeight="1" x14ac:dyDescent="0.3">
      <c r="A1150" s="25" t="s">
        <v>607</v>
      </c>
      <c r="B1150" s="25" t="s">
        <v>1820</v>
      </c>
      <c r="C1150" s="28" t="s">
        <v>1848</v>
      </c>
      <c r="D1150" s="86"/>
      <c r="E1150" s="67" t="str">
        <f>HYPERLINK("https://www.google.ru/search?q=814379-WH&amp;newwindow=1&amp;tbm=isch","Еще фото")</f>
        <v>Еще фото</v>
      </c>
      <c r="F1150" s="14"/>
      <c r="G1150" s="25" t="s">
        <v>439</v>
      </c>
      <c r="H1150" s="25" t="s">
        <v>27</v>
      </c>
      <c r="I1150" s="25" t="s">
        <v>439</v>
      </c>
      <c r="J1150" s="15" t="s">
        <v>360</v>
      </c>
      <c r="K1150" s="16" t="s">
        <v>29</v>
      </c>
      <c r="L1150" s="88"/>
      <c r="M1150" s="15"/>
      <c r="N1150" s="15" t="s">
        <v>173</v>
      </c>
      <c r="O1150" s="15"/>
      <c r="P1150" s="16" t="s">
        <v>106</v>
      </c>
      <c r="Q1150" s="17">
        <v>5199</v>
      </c>
      <c r="R1150" s="18">
        <v>45.03</v>
      </c>
      <c r="S1150" s="19">
        <v>3286.4354999999996</v>
      </c>
      <c r="T1150" s="20" t="s">
        <v>99</v>
      </c>
      <c r="U1150" s="21" t="s">
        <v>52</v>
      </c>
      <c r="V1150" s="22" t="s">
        <v>41</v>
      </c>
      <c r="W1150" s="23">
        <v>4</v>
      </c>
      <c r="X1150" s="24"/>
    </row>
    <row r="1151" spans="1:24" s="1" customFormat="1" ht="21" customHeight="1" x14ac:dyDescent="0.3">
      <c r="A1151" s="25" t="s">
        <v>607</v>
      </c>
      <c r="B1151" s="25" t="s">
        <v>1820</v>
      </c>
      <c r="C1151" s="28" t="s">
        <v>1848</v>
      </c>
      <c r="D1151" s="86"/>
      <c r="E1151" s="67" t="str">
        <f>HYPERLINK("https://www.google.ru/search?q=814379-WH&amp;newwindow=1&amp;tbm=isch","Еще фото")</f>
        <v>Еще фото</v>
      </c>
      <c r="F1151" s="14"/>
      <c r="G1151" s="25" t="s">
        <v>439</v>
      </c>
      <c r="H1151" s="25" t="s">
        <v>27</v>
      </c>
      <c r="I1151" s="25" t="s">
        <v>439</v>
      </c>
      <c r="J1151" s="15" t="s">
        <v>360</v>
      </c>
      <c r="K1151" s="16" t="s">
        <v>29</v>
      </c>
      <c r="L1151" s="88"/>
      <c r="M1151" s="15"/>
      <c r="N1151" s="15" t="s">
        <v>173</v>
      </c>
      <c r="O1151" s="15"/>
      <c r="P1151" s="16" t="s">
        <v>106</v>
      </c>
      <c r="Q1151" s="17">
        <v>5199</v>
      </c>
      <c r="R1151" s="18">
        <v>45.03</v>
      </c>
      <c r="S1151" s="19">
        <v>3286.4354999999996</v>
      </c>
      <c r="T1151" s="20" t="s">
        <v>99</v>
      </c>
      <c r="U1151" s="21" t="s">
        <v>40</v>
      </c>
      <c r="V1151" s="22" t="s">
        <v>43</v>
      </c>
      <c r="W1151" s="23">
        <v>4</v>
      </c>
      <c r="X1151" s="24"/>
    </row>
    <row r="1152" spans="1:24" s="1" customFormat="1" ht="32" customHeight="1" x14ac:dyDescent="0.3">
      <c r="A1152" s="25" t="s">
        <v>607</v>
      </c>
      <c r="B1152" s="25" t="s">
        <v>1820</v>
      </c>
      <c r="C1152" s="28" t="s">
        <v>1848</v>
      </c>
      <c r="D1152" s="87"/>
      <c r="E1152" s="67" t="str">
        <f>HYPERLINK("https://www.google.ru/search?q=814379-WH&amp;newwindow=1&amp;tbm=isch","Еще фото")</f>
        <v>Еще фото</v>
      </c>
      <c r="F1152" s="14"/>
      <c r="G1152" s="25" t="s">
        <v>439</v>
      </c>
      <c r="H1152" s="25" t="s">
        <v>27</v>
      </c>
      <c r="I1152" s="25" t="s">
        <v>439</v>
      </c>
      <c r="J1152" s="15" t="s">
        <v>360</v>
      </c>
      <c r="K1152" s="16" t="s">
        <v>29</v>
      </c>
      <c r="L1152" s="84"/>
      <c r="M1152" s="15"/>
      <c r="N1152" s="15" t="s">
        <v>173</v>
      </c>
      <c r="O1152" s="15"/>
      <c r="P1152" s="16" t="s">
        <v>106</v>
      </c>
      <c r="Q1152" s="17">
        <v>5199</v>
      </c>
      <c r="R1152" s="18">
        <v>45.03</v>
      </c>
      <c r="S1152" s="19">
        <v>3286.4354999999996</v>
      </c>
      <c r="T1152" s="20" t="s">
        <v>99</v>
      </c>
      <c r="U1152" s="21" t="s">
        <v>42</v>
      </c>
      <c r="V1152" s="22" t="s">
        <v>48</v>
      </c>
      <c r="W1152" s="23">
        <v>2</v>
      </c>
      <c r="X1152" s="24"/>
    </row>
    <row r="1153" spans="1:24" s="1" customFormat="1" ht="21" customHeight="1" x14ac:dyDescent="0.3">
      <c r="A1153" s="11" t="s">
        <v>607</v>
      </c>
      <c r="B1153" s="11" t="s">
        <v>1813</v>
      </c>
      <c r="C1153" s="27" t="s">
        <v>1849</v>
      </c>
      <c r="D1153" s="85"/>
      <c r="E1153" s="67" t="str">
        <f>HYPERLINK("https://www.google.ru/search?q=811389-BK&amp;newwindow=1&amp;tbm=isch","Еще фото")</f>
        <v>Еще фото</v>
      </c>
      <c r="F1153" s="14"/>
      <c r="G1153" s="11" t="s">
        <v>439</v>
      </c>
      <c r="H1153" s="11" t="s">
        <v>27</v>
      </c>
      <c r="I1153" s="15" t="s">
        <v>439</v>
      </c>
      <c r="J1153" s="15" t="s">
        <v>360</v>
      </c>
      <c r="K1153" s="16" t="s">
        <v>45</v>
      </c>
      <c r="L1153" s="83" t="s">
        <v>1815</v>
      </c>
      <c r="M1153" s="15"/>
      <c r="N1153" s="15" t="s">
        <v>38</v>
      </c>
      <c r="O1153" s="15"/>
      <c r="P1153" s="16" t="s">
        <v>106</v>
      </c>
      <c r="Q1153" s="17">
        <v>5799</v>
      </c>
      <c r="R1153" s="18">
        <v>33</v>
      </c>
      <c r="S1153" s="19">
        <v>4468.1295</v>
      </c>
      <c r="T1153" s="20" t="s">
        <v>99</v>
      </c>
      <c r="U1153" s="21" t="s">
        <v>34</v>
      </c>
      <c r="V1153" s="22" t="s">
        <v>35</v>
      </c>
      <c r="W1153" s="23">
        <v>7</v>
      </c>
      <c r="X1153" s="24"/>
    </row>
    <row r="1154" spans="1:24" s="1" customFormat="1" ht="21" customHeight="1" x14ac:dyDescent="0.3">
      <c r="A1154" s="25" t="s">
        <v>607</v>
      </c>
      <c r="B1154" s="25" t="s">
        <v>1813</v>
      </c>
      <c r="C1154" s="28" t="s">
        <v>1849</v>
      </c>
      <c r="D1154" s="86"/>
      <c r="E1154" s="67" t="str">
        <f>HYPERLINK("https://www.google.ru/search?q=811389-BK&amp;newwindow=1&amp;tbm=isch","Еще фото")</f>
        <v>Еще фото</v>
      </c>
      <c r="F1154" s="14"/>
      <c r="G1154" s="25" t="s">
        <v>439</v>
      </c>
      <c r="H1154" s="25" t="s">
        <v>27</v>
      </c>
      <c r="I1154" s="25" t="s">
        <v>439</v>
      </c>
      <c r="J1154" s="15" t="s">
        <v>360</v>
      </c>
      <c r="K1154" s="16" t="s">
        <v>45</v>
      </c>
      <c r="L1154" s="88"/>
      <c r="M1154" s="15"/>
      <c r="N1154" s="15" t="s">
        <v>38</v>
      </c>
      <c r="O1154" s="15"/>
      <c r="P1154" s="16" t="s">
        <v>106</v>
      </c>
      <c r="Q1154" s="17">
        <v>5799</v>
      </c>
      <c r="R1154" s="18">
        <v>33</v>
      </c>
      <c r="S1154" s="19">
        <v>4468.1295</v>
      </c>
      <c r="T1154" s="20" t="s">
        <v>99</v>
      </c>
      <c r="U1154" s="21" t="s">
        <v>52</v>
      </c>
      <c r="V1154" s="22" t="s">
        <v>53</v>
      </c>
      <c r="W1154" s="23">
        <v>10</v>
      </c>
      <c r="X1154" s="24"/>
    </row>
    <row r="1155" spans="1:24" s="1" customFormat="1" ht="21" customHeight="1" x14ac:dyDescent="0.3">
      <c r="A1155" s="25" t="s">
        <v>607</v>
      </c>
      <c r="B1155" s="25" t="s">
        <v>1813</v>
      </c>
      <c r="C1155" s="28" t="s">
        <v>1849</v>
      </c>
      <c r="D1155" s="86"/>
      <c r="E1155" s="67" t="str">
        <f>HYPERLINK("https://www.google.ru/search?q=811389-BK&amp;newwindow=1&amp;tbm=isch","Еще фото")</f>
        <v>Еще фото</v>
      </c>
      <c r="F1155" s="14"/>
      <c r="G1155" s="25" t="s">
        <v>439</v>
      </c>
      <c r="H1155" s="25" t="s">
        <v>27</v>
      </c>
      <c r="I1155" s="25" t="s">
        <v>439</v>
      </c>
      <c r="J1155" s="15" t="s">
        <v>360</v>
      </c>
      <c r="K1155" s="16" t="s">
        <v>45</v>
      </c>
      <c r="L1155" s="88"/>
      <c r="M1155" s="15"/>
      <c r="N1155" s="15" t="s">
        <v>38</v>
      </c>
      <c r="O1155" s="15"/>
      <c r="P1155" s="16" t="s">
        <v>106</v>
      </c>
      <c r="Q1155" s="17">
        <v>5799</v>
      </c>
      <c r="R1155" s="18">
        <v>33</v>
      </c>
      <c r="S1155" s="19">
        <v>4468.1295</v>
      </c>
      <c r="T1155" s="20" t="s">
        <v>99</v>
      </c>
      <c r="U1155" s="21" t="s">
        <v>40</v>
      </c>
      <c r="V1155" s="22" t="s">
        <v>41</v>
      </c>
      <c r="W1155" s="23">
        <v>8</v>
      </c>
      <c r="X1155" s="24"/>
    </row>
    <row r="1156" spans="1:24" s="1" customFormat="1" ht="21" customHeight="1" x14ac:dyDescent="0.3">
      <c r="A1156" s="25" t="s">
        <v>607</v>
      </c>
      <c r="B1156" s="25" t="s">
        <v>1813</v>
      </c>
      <c r="C1156" s="28" t="s">
        <v>1849</v>
      </c>
      <c r="D1156" s="86"/>
      <c r="E1156" s="67" t="str">
        <f>HYPERLINK("https://www.google.ru/search?q=811389-BK&amp;newwindow=1&amp;tbm=isch","Еще фото")</f>
        <v>Еще фото</v>
      </c>
      <c r="F1156" s="14"/>
      <c r="G1156" s="25" t="s">
        <v>439</v>
      </c>
      <c r="H1156" s="25" t="s">
        <v>27</v>
      </c>
      <c r="I1156" s="25" t="s">
        <v>439</v>
      </c>
      <c r="J1156" s="15" t="s">
        <v>360</v>
      </c>
      <c r="K1156" s="16" t="s">
        <v>45</v>
      </c>
      <c r="L1156" s="88"/>
      <c r="M1156" s="15"/>
      <c r="N1156" s="15" t="s">
        <v>38</v>
      </c>
      <c r="O1156" s="15"/>
      <c r="P1156" s="16" t="s">
        <v>106</v>
      </c>
      <c r="Q1156" s="17">
        <v>5799</v>
      </c>
      <c r="R1156" s="18">
        <v>33</v>
      </c>
      <c r="S1156" s="19">
        <v>4468.1295</v>
      </c>
      <c r="T1156" s="20" t="s">
        <v>99</v>
      </c>
      <c r="U1156" s="21" t="s">
        <v>42</v>
      </c>
      <c r="V1156" s="22" t="s">
        <v>43</v>
      </c>
      <c r="W1156" s="23">
        <v>3</v>
      </c>
      <c r="X1156" s="24"/>
    </row>
    <row r="1157" spans="1:24" s="1" customFormat="1" ht="32" customHeight="1" x14ac:dyDescent="0.3">
      <c r="A1157" s="25" t="s">
        <v>607</v>
      </c>
      <c r="B1157" s="25" t="s">
        <v>1813</v>
      </c>
      <c r="C1157" s="28" t="s">
        <v>1849</v>
      </c>
      <c r="D1157" s="87"/>
      <c r="E1157" s="67" t="str">
        <f>HYPERLINK("https://www.google.ru/search?q=811389-BK&amp;newwindow=1&amp;tbm=isch","Еще фото")</f>
        <v>Еще фото</v>
      </c>
      <c r="F1157" s="14"/>
      <c r="G1157" s="25" t="s">
        <v>439</v>
      </c>
      <c r="H1157" s="25" t="s">
        <v>27</v>
      </c>
      <c r="I1157" s="25" t="s">
        <v>439</v>
      </c>
      <c r="J1157" s="15" t="s">
        <v>360</v>
      </c>
      <c r="K1157" s="16" t="s">
        <v>45</v>
      </c>
      <c r="L1157" s="84"/>
      <c r="M1157" s="15"/>
      <c r="N1157" s="15" t="s">
        <v>38</v>
      </c>
      <c r="O1157" s="15"/>
      <c r="P1157" s="16" t="s">
        <v>106</v>
      </c>
      <c r="Q1157" s="17">
        <v>5799</v>
      </c>
      <c r="R1157" s="18">
        <v>33</v>
      </c>
      <c r="S1157" s="19">
        <v>4468.1295</v>
      </c>
      <c r="T1157" s="20" t="s">
        <v>99</v>
      </c>
      <c r="U1157" s="21" t="s">
        <v>493</v>
      </c>
      <c r="V1157" s="22" t="s">
        <v>48</v>
      </c>
      <c r="W1157" s="23">
        <v>2</v>
      </c>
      <c r="X1157" s="24"/>
    </row>
    <row r="1158" spans="1:24" s="1" customFormat="1" ht="21" customHeight="1" x14ac:dyDescent="0.3">
      <c r="A1158" s="11" t="s">
        <v>607</v>
      </c>
      <c r="B1158" s="11" t="s">
        <v>1800</v>
      </c>
      <c r="C1158" s="27" t="s">
        <v>1850</v>
      </c>
      <c r="D1158" s="85"/>
      <c r="E1158" s="67" t="str">
        <f>HYPERLINK("https://www.google.ru/search?q=814306-APLB&amp;newwindow=1&amp;tbm=isch","Еще фото")</f>
        <v>Еще фото</v>
      </c>
      <c r="F1158" s="14"/>
      <c r="G1158" s="11" t="s">
        <v>439</v>
      </c>
      <c r="H1158" s="11" t="s">
        <v>27</v>
      </c>
      <c r="I1158" s="15" t="s">
        <v>439</v>
      </c>
      <c r="J1158" s="15" t="s">
        <v>360</v>
      </c>
      <c r="K1158" s="16" t="s">
        <v>29</v>
      </c>
      <c r="L1158" s="83" t="s">
        <v>1851</v>
      </c>
      <c r="M1158" s="15"/>
      <c r="N1158" s="15" t="s">
        <v>225</v>
      </c>
      <c r="O1158" s="15"/>
      <c r="P1158" s="16" t="s">
        <v>1799</v>
      </c>
      <c r="Q1158" s="17">
        <v>7899</v>
      </c>
      <c r="R1158" s="18">
        <v>33</v>
      </c>
      <c r="S1158" s="19">
        <v>6086.1794999999993</v>
      </c>
      <c r="T1158" s="20" t="s">
        <v>99</v>
      </c>
      <c r="U1158" s="21" t="s">
        <v>442</v>
      </c>
      <c r="V1158" s="22" t="s">
        <v>35</v>
      </c>
      <c r="W1158" s="23">
        <v>1</v>
      </c>
      <c r="X1158" s="24"/>
    </row>
    <row r="1159" spans="1:24" s="1" customFormat="1" ht="21" customHeight="1" x14ac:dyDescent="0.3">
      <c r="A1159" s="25" t="s">
        <v>607</v>
      </c>
      <c r="B1159" s="25" t="s">
        <v>1800</v>
      </c>
      <c r="C1159" s="28" t="s">
        <v>1850</v>
      </c>
      <c r="D1159" s="86"/>
      <c r="E1159" s="67" t="str">
        <f>HYPERLINK("https://www.google.ru/search?q=814306-APLB&amp;newwindow=1&amp;tbm=isch","Еще фото")</f>
        <v>Еще фото</v>
      </c>
      <c r="F1159" s="14"/>
      <c r="G1159" s="25" t="s">
        <v>439</v>
      </c>
      <c r="H1159" s="25" t="s">
        <v>27</v>
      </c>
      <c r="I1159" s="25" t="s">
        <v>439</v>
      </c>
      <c r="J1159" s="15" t="s">
        <v>360</v>
      </c>
      <c r="K1159" s="16" t="s">
        <v>29</v>
      </c>
      <c r="L1159" s="88"/>
      <c r="M1159" s="15"/>
      <c r="N1159" s="15" t="s">
        <v>225</v>
      </c>
      <c r="O1159" s="15"/>
      <c r="P1159" s="16" t="s">
        <v>1799</v>
      </c>
      <c r="Q1159" s="17">
        <v>7899</v>
      </c>
      <c r="R1159" s="18">
        <v>33</v>
      </c>
      <c r="S1159" s="19">
        <v>6086.1794999999993</v>
      </c>
      <c r="T1159" s="20" t="s">
        <v>99</v>
      </c>
      <c r="U1159" s="21" t="s">
        <v>34</v>
      </c>
      <c r="V1159" s="22" t="s">
        <v>53</v>
      </c>
      <c r="W1159" s="23">
        <v>4</v>
      </c>
      <c r="X1159" s="24"/>
    </row>
    <row r="1160" spans="1:24" s="1" customFormat="1" ht="21" customHeight="1" x14ac:dyDescent="0.3">
      <c r="A1160" s="25" t="s">
        <v>607</v>
      </c>
      <c r="B1160" s="25" t="s">
        <v>1800</v>
      </c>
      <c r="C1160" s="28" t="s">
        <v>1850</v>
      </c>
      <c r="D1160" s="86"/>
      <c r="E1160" s="67" t="str">
        <f>HYPERLINK("https://www.google.ru/search?q=814306-APLB&amp;newwindow=1&amp;tbm=isch","Еще фото")</f>
        <v>Еще фото</v>
      </c>
      <c r="F1160" s="14"/>
      <c r="G1160" s="25" t="s">
        <v>439</v>
      </c>
      <c r="H1160" s="25" t="s">
        <v>27</v>
      </c>
      <c r="I1160" s="25" t="s">
        <v>439</v>
      </c>
      <c r="J1160" s="15" t="s">
        <v>360</v>
      </c>
      <c r="K1160" s="16" t="s">
        <v>29</v>
      </c>
      <c r="L1160" s="88"/>
      <c r="M1160" s="15"/>
      <c r="N1160" s="15" t="s">
        <v>225</v>
      </c>
      <c r="O1160" s="15"/>
      <c r="P1160" s="16" t="s">
        <v>1799</v>
      </c>
      <c r="Q1160" s="17">
        <v>7899</v>
      </c>
      <c r="R1160" s="18">
        <v>33</v>
      </c>
      <c r="S1160" s="19">
        <v>6086.1794999999993</v>
      </c>
      <c r="T1160" s="20" t="s">
        <v>99</v>
      </c>
      <c r="U1160" s="21" t="s">
        <v>52</v>
      </c>
      <c r="V1160" s="22" t="s">
        <v>41</v>
      </c>
      <c r="W1160" s="23">
        <v>7</v>
      </c>
      <c r="X1160" s="24"/>
    </row>
    <row r="1161" spans="1:24" s="1" customFormat="1" ht="21" customHeight="1" x14ac:dyDescent="0.3">
      <c r="A1161" s="25" t="s">
        <v>607</v>
      </c>
      <c r="B1161" s="25" t="s">
        <v>1800</v>
      </c>
      <c r="C1161" s="28" t="s">
        <v>1850</v>
      </c>
      <c r="D1161" s="86"/>
      <c r="E1161" s="67" t="str">
        <f>HYPERLINK("https://www.google.ru/search?q=814306-APLB&amp;newwindow=1&amp;tbm=isch","Еще фото")</f>
        <v>Еще фото</v>
      </c>
      <c r="F1161" s="14"/>
      <c r="G1161" s="25" t="s">
        <v>439</v>
      </c>
      <c r="H1161" s="25" t="s">
        <v>27</v>
      </c>
      <c r="I1161" s="25" t="s">
        <v>439</v>
      </c>
      <c r="J1161" s="15" t="s">
        <v>360</v>
      </c>
      <c r="K1161" s="16" t="s">
        <v>29</v>
      </c>
      <c r="L1161" s="88"/>
      <c r="M1161" s="15"/>
      <c r="N1161" s="15" t="s">
        <v>225</v>
      </c>
      <c r="O1161" s="15"/>
      <c r="P1161" s="16" t="s">
        <v>1799</v>
      </c>
      <c r="Q1161" s="17">
        <v>7899</v>
      </c>
      <c r="R1161" s="18">
        <v>33</v>
      </c>
      <c r="S1161" s="19">
        <v>6086.1794999999993</v>
      </c>
      <c r="T1161" s="20" t="s">
        <v>99</v>
      </c>
      <c r="U1161" s="21" t="s">
        <v>40</v>
      </c>
      <c r="V1161" s="22" t="s">
        <v>43</v>
      </c>
      <c r="W1161" s="23">
        <v>4</v>
      </c>
      <c r="X1161" s="24"/>
    </row>
    <row r="1162" spans="1:24" s="1" customFormat="1" ht="32" customHeight="1" x14ac:dyDescent="0.3">
      <c r="A1162" s="25" t="s">
        <v>607</v>
      </c>
      <c r="B1162" s="25" t="s">
        <v>1800</v>
      </c>
      <c r="C1162" s="28" t="s">
        <v>1850</v>
      </c>
      <c r="D1162" s="87"/>
      <c r="E1162" s="67" t="str">
        <f>HYPERLINK("https://www.google.ru/search?q=814306-APLB&amp;newwindow=1&amp;tbm=isch","Еще фото")</f>
        <v>Еще фото</v>
      </c>
      <c r="F1162" s="14"/>
      <c r="G1162" s="25" t="s">
        <v>439</v>
      </c>
      <c r="H1162" s="25" t="s">
        <v>27</v>
      </c>
      <c r="I1162" s="25" t="s">
        <v>439</v>
      </c>
      <c r="J1162" s="15" t="s">
        <v>360</v>
      </c>
      <c r="K1162" s="16" t="s">
        <v>29</v>
      </c>
      <c r="L1162" s="84"/>
      <c r="M1162" s="15"/>
      <c r="N1162" s="15" t="s">
        <v>225</v>
      </c>
      <c r="O1162" s="15"/>
      <c r="P1162" s="16" t="s">
        <v>1799</v>
      </c>
      <c r="Q1162" s="17">
        <v>7899</v>
      </c>
      <c r="R1162" s="18">
        <v>33</v>
      </c>
      <c r="S1162" s="19">
        <v>6086.1794999999993</v>
      </c>
      <c r="T1162" s="20" t="s">
        <v>99</v>
      </c>
      <c r="U1162" s="21" t="s">
        <v>42</v>
      </c>
      <c r="V1162" s="22" t="s">
        <v>48</v>
      </c>
      <c r="W1162" s="23">
        <v>2</v>
      </c>
      <c r="X1162" s="24"/>
    </row>
    <row r="1163" spans="1:24" s="1" customFormat="1" ht="21" customHeight="1" x14ac:dyDescent="0.3">
      <c r="A1163" s="11" t="s">
        <v>607</v>
      </c>
      <c r="B1163" s="11" t="s">
        <v>1800</v>
      </c>
      <c r="C1163" s="27" t="s">
        <v>1852</v>
      </c>
      <c r="D1163" s="85"/>
      <c r="E1163" s="67" t="str">
        <f>HYPERLINK("https://www.google.ru/search?q=814306-WH&amp;newwindow=1&amp;tbm=isch","Еще фото")</f>
        <v>Еще фото</v>
      </c>
      <c r="F1163" s="14"/>
      <c r="G1163" s="11" t="s">
        <v>439</v>
      </c>
      <c r="H1163" s="11" t="s">
        <v>27</v>
      </c>
      <c r="I1163" s="15" t="s">
        <v>439</v>
      </c>
      <c r="J1163" s="15" t="s">
        <v>360</v>
      </c>
      <c r="K1163" s="16" t="s">
        <v>29</v>
      </c>
      <c r="L1163" s="83" t="s">
        <v>1851</v>
      </c>
      <c r="M1163" s="15"/>
      <c r="N1163" s="15" t="s">
        <v>173</v>
      </c>
      <c r="O1163" s="15"/>
      <c r="P1163" s="16" t="s">
        <v>1799</v>
      </c>
      <c r="Q1163" s="17">
        <v>7899</v>
      </c>
      <c r="R1163" s="18">
        <v>33</v>
      </c>
      <c r="S1163" s="19">
        <v>6086.1794999999993</v>
      </c>
      <c r="T1163" s="20" t="s">
        <v>99</v>
      </c>
      <c r="U1163" s="21" t="s">
        <v>442</v>
      </c>
      <c r="V1163" s="22" t="s">
        <v>35</v>
      </c>
      <c r="W1163" s="23">
        <v>1</v>
      </c>
      <c r="X1163" s="24"/>
    </row>
    <row r="1164" spans="1:24" s="1" customFormat="1" ht="21" customHeight="1" x14ac:dyDescent="0.3">
      <c r="A1164" s="25" t="s">
        <v>607</v>
      </c>
      <c r="B1164" s="25" t="s">
        <v>1800</v>
      </c>
      <c r="C1164" s="28" t="s">
        <v>1852</v>
      </c>
      <c r="D1164" s="86"/>
      <c r="E1164" s="67" t="str">
        <f>HYPERLINK("https://www.google.ru/search?q=814306-WH&amp;newwindow=1&amp;tbm=isch","Еще фото")</f>
        <v>Еще фото</v>
      </c>
      <c r="F1164" s="14"/>
      <c r="G1164" s="25" t="s">
        <v>439</v>
      </c>
      <c r="H1164" s="25" t="s">
        <v>27</v>
      </c>
      <c r="I1164" s="25" t="s">
        <v>439</v>
      </c>
      <c r="J1164" s="15" t="s">
        <v>360</v>
      </c>
      <c r="K1164" s="16" t="s">
        <v>29</v>
      </c>
      <c r="L1164" s="88"/>
      <c r="M1164" s="15"/>
      <c r="N1164" s="15" t="s">
        <v>173</v>
      </c>
      <c r="O1164" s="15"/>
      <c r="P1164" s="16" t="s">
        <v>1799</v>
      </c>
      <c r="Q1164" s="17">
        <v>7899</v>
      </c>
      <c r="R1164" s="18">
        <v>33</v>
      </c>
      <c r="S1164" s="19">
        <v>6086.1794999999993</v>
      </c>
      <c r="T1164" s="20" t="s">
        <v>99</v>
      </c>
      <c r="U1164" s="21" t="s">
        <v>34</v>
      </c>
      <c r="V1164" s="22" t="s">
        <v>53</v>
      </c>
      <c r="W1164" s="23">
        <v>3</v>
      </c>
      <c r="X1164" s="24"/>
    </row>
    <row r="1165" spans="1:24" s="1" customFormat="1" ht="21" customHeight="1" x14ac:dyDescent="0.3">
      <c r="A1165" s="25" t="s">
        <v>607</v>
      </c>
      <c r="B1165" s="25" t="s">
        <v>1800</v>
      </c>
      <c r="C1165" s="28" t="s">
        <v>1852</v>
      </c>
      <c r="D1165" s="86"/>
      <c r="E1165" s="67" t="str">
        <f>HYPERLINK("https://www.google.ru/search?q=814306-WH&amp;newwindow=1&amp;tbm=isch","Еще фото")</f>
        <v>Еще фото</v>
      </c>
      <c r="F1165" s="14"/>
      <c r="G1165" s="25" t="s">
        <v>439</v>
      </c>
      <c r="H1165" s="25" t="s">
        <v>27</v>
      </c>
      <c r="I1165" s="25" t="s">
        <v>439</v>
      </c>
      <c r="J1165" s="15" t="s">
        <v>360</v>
      </c>
      <c r="K1165" s="16" t="s">
        <v>29</v>
      </c>
      <c r="L1165" s="88"/>
      <c r="M1165" s="15"/>
      <c r="N1165" s="15" t="s">
        <v>173</v>
      </c>
      <c r="O1165" s="15"/>
      <c r="P1165" s="16" t="s">
        <v>1799</v>
      </c>
      <c r="Q1165" s="17">
        <v>7899</v>
      </c>
      <c r="R1165" s="18">
        <v>33</v>
      </c>
      <c r="S1165" s="19">
        <v>6086.1794999999993</v>
      </c>
      <c r="T1165" s="20" t="s">
        <v>99</v>
      </c>
      <c r="U1165" s="21" t="s">
        <v>52</v>
      </c>
      <c r="V1165" s="22" t="s">
        <v>41</v>
      </c>
      <c r="W1165" s="23">
        <v>7</v>
      </c>
      <c r="X1165" s="24"/>
    </row>
    <row r="1166" spans="1:24" s="1" customFormat="1" ht="21" customHeight="1" x14ac:dyDescent="0.3">
      <c r="A1166" s="25" t="s">
        <v>607</v>
      </c>
      <c r="B1166" s="25" t="s">
        <v>1800</v>
      </c>
      <c r="C1166" s="28" t="s">
        <v>1852</v>
      </c>
      <c r="D1166" s="86"/>
      <c r="E1166" s="67" t="str">
        <f>HYPERLINK("https://www.google.ru/search?q=814306-WH&amp;newwindow=1&amp;tbm=isch","Еще фото")</f>
        <v>Еще фото</v>
      </c>
      <c r="F1166" s="14"/>
      <c r="G1166" s="25" t="s">
        <v>439</v>
      </c>
      <c r="H1166" s="25" t="s">
        <v>27</v>
      </c>
      <c r="I1166" s="25" t="s">
        <v>439</v>
      </c>
      <c r="J1166" s="15" t="s">
        <v>360</v>
      </c>
      <c r="K1166" s="16" t="s">
        <v>29</v>
      </c>
      <c r="L1166" s="88"/>
      <c r="M1166" s="15"/>
      <c r="N1166" s="15" t="s">
        <v>173</v>
      </c>
      <c r="O1166" s="15"/>
      <c r="P1166" s="16" t="s">
        <v>1799</v>
      </c>
      <c r="Q1166" s="17">
        <v>7899</v>
      </c>
      <c r="R1166" s="18">
        <v>33</v>
      </c>
      <c r="S1166" s="19">
        <v>6086.1794999999993</v>
      </c>
      <c r="T1166" s="20" t="s">
        <v>99</v>
      </c>
      <c r="U1166" s="21" t="s">
        <v>40</v>
      </c>
      <c r="V1166" s="22" t="s">
        <v>43</v>
      </c>
      <c r="W1166" s="23">
        <v>4</v>
      </c>
      <c r="X1166" s="24"/>
    </row>
    <row r="1167" spans="1:24" s="1" customFormat="1" ht="32" customHeight="1" x14ac:dyDescent="0.3">
      <c r="A1167" s="25" t="s">
        <v>607</v>
      </c>
      <c r="B1167" s="25" t="s">
        <v>1800</v>
      </c>
      <c r="C1167" s="28" t="s">
        <v>1852</v>
      </c>
      <c r="D1167" s="87"/>
      <c r="E1167" s="67" t="str">
        <f>HYPERLINK("https://www.google.ru/search?q=814306-WH&amp;newwindow=1&amp;tbm=isch","Еще фото")</f>
        <v>Еще фото</v>
      </c>
      <c r="F1167" s="14"/>
      <c r="G1167" s="25" t="s">
        <v>439</v>
      </c>
      <c r="H1167" s="25" t="s">
        <v>27</v>
      </c>
      <c r="I1167" s="25" t="s">
        <v>439</v>
      </c>
      <c r="J1167" s="15" t="s">
        <v>360</v>
      </c>
      <c r="K1167" s="16" t="s">
        <v>29</v>
      </c>
      <c r="L1167" s="84"/>
      <c r="M1167" s="15"/>
      <c r="N1167" s="15" t="s">
        <v>173</v>
      </c>
      <c r="O1167" s="15"/>
      <c r="P1167" s="16" t="s">
        <v>1799</v>
      </c>
      <c r="Q1167" s="17">
        <v>7899</v>
      </c>
      <c r="R1167" s="18">
        <v>33</v>
      </c>
      <c r="S1167" s="19">
        <v>6086.1794999999993</v>
      </c>
      <c r="T1167" s="20" t="s">
        <v>99</v>
      </c>
      <c r="U1167" s="21" t="s">
        <v>42</v>
      </c>
      <c r="V1167" s="22" t="s">
        <v>48</v>
      </c>
      <c r="W1167" s="23">
        <v>2</v>
      </c>
      <c r="X1167" s="24"/>
    </row>
    <row r="1168" spans="1:24" s="1" customFormat="1" ht="108" customHeight="1" x14ac:dyDescent="0.3">
      <c r="A1168" s="11" t="s">
        <v>607</v>
      </c>
      <c r="B1168" s="11" t="s">
        <v>1806</v>
      </c>
      <c r="C1168" s="12" t="s">
        <v>1853</v>
      </c>
      <c r="D1168" s="13"/>
      <c r="E1168" s="67" t="str">
        <f>HYPERLINK("https://www.google.ru/search?q=811125-NV&amp;newwindow=1&amp;tbm=isch","Еще фото")</f>
        <v>Еще фото</v>
      </c>
      <c r="F1168" s="14"/>
      <c r="G1168" s="11" t="s">
        <v>439</v>
      </c>
      <c r="H1168" s="11" t="s">
        <v>27</v>
      </c>
      <c r="I1168" s="15" t="s">
        <v>439</v>
      </c>
      <c r="J1168" s="15" t="s">
        <v>360</v>
      </c>
      <c r="K1168" s="16" t="s">
        <v>45</v>
      </c>
      <c r="L1168" s="15" t="s">
        <v>1808</v>
      </c>
      <c r="M1168" s="15"/>
      <c r="N1168" s="15" t="s">
        <v>31</v>
      </c>
      <c r="O1168" s="15"/>
      <c r="P1168" s="16" t="s">
        <v>1809</v>
      </c>
      <c r="Q1168" s="17">
        <v>7999</v>
      </c>
      <c r="R1168" s="18">
        <v>30</v>
      </c>
      <c r="S1168" s="19">
        <v>6439.1949999999997</v>
      </c>
      <c r="T1168" s="20" t="s">
        <v>99</v>
      </c>
      <c r="U1168" s="21" t="s">
        <v>40</v>
      </c>
      <c r="V1168" s="22" t="s">
        <v>41</v>
      </c>
      <c r="W1168" s="23">
        <v>1</v>
      </c>
      <c r="X1168" s="24"/>
    </row>
    <row r="1169" spans="1:24" s="1" customFormat="1" ht="26" customHeight="1" x14ac:dyDescent="0.3">
      <c r="A1169" s="11" t="s">
        <v>607</v>
      </c>
      <c r="B1169" s="11" t="s">
        <v>1796</v>
      </c>
      <c r="C1169" s="12" t="s">
        <v>1854</v>
      </c>
      <c r="D1169" s="85"/>
      <c r="E1169" s="67" t="str">
        <f>HYPERLINK("https://www.google.ru/search?q=811255-ABWH&amp;newwindow=1&amp;tbm=isch","Еще фото")</f>
        <v>Еще фото</v>
      </c>
      <c r="F1169" s="14"/>
      <c r="G1169" s="11" t="s">
        <v>439</v>
      </c>
      <c r="H1169" s="11" t="s">
        <v>27</v>
      </c>
      <c r="I1169" s="15" t="s">
        <v>439</v>
      </c>
      <c r="J1169" s="15" t="s">
        <v>360</v>
      </c>
      <c r="K1169" s="16" t="s">
        <v>45</v>
      </c>
      <c r="L1169" s="83" t="s">
        <v>1855</v>
      </c>
      <c r="M1169" s="15"/>
      <c r="N1169" s="15" t="s">
        <v>31</v>
      </c>
      <c r="O1169" s="15"/>
      <c r="P1169" s="16" t="s">
        <v>106</v>
      </c>
      <c r="Q1169" s="17">
        <v>6599</v>
      </c>
      <c r="R1169" s="18">
        <v>30</v>
      </c>
      <c r="S1169" s="19">
        <v>5312.1949999999997</v>
      </c>
      <c r="T1169" s="20" t="s">
        <v>99</v>
      </c>
      <c r="U1169" s="21" t="s">
        <v>34</v>
      </c>
      <c r="V1169" s="22" t="s">
        <v>35</v>
      </c>
      <c r="W1169" s="23">
        <v>4</v>
      </c>
      <c r="X1169" s="24"/>
    </row>
    <row r="1170" spans="1:24" s="1" customFormat="1" ht="26" customHeight="1" x14ac:dyDescent="0.3">
      <c r="A1170" s="25" t="s">
        <v>607</v>
      </c>
      <c r="B1170" s="25" t="s">
        <v>1796</v>
      </c>
      <c r="C1170" s="12" t="s">
        <v>1854</v>
      </c>
      <c r="D1170" s="86"/>
      <c r="E1170" s="67" t="str">
        <f>HYPERLINK("https://www.google.ru/search?q=811255-ABWH&amp;newwindow=1&amp;tbm=isch","Еще фото")</f>
        <v>Еще фото</v>
      </c>
      <c r="F1170" s="14"/>
      <c r="G1170" s="25" t="s">
        <v>439</v>
      </c>
      <c r="H1170" s="25" t="s">
        <v>27</v>
      </c>
      <c r="I1170" s="25" t="s">
        <v>439</v>
      </c>
      <c r="J1170" s="15" t="s">
        <v>360</v>
      </c>
      <c r="K1170" s="16" t="s">
        <v>45</v>
      </c>
      <c r="L1170" s="88"/>
      <c r="M1170" s="15"/>
      <c r="N1170" s="15" t="s">
        <v>31</v>
      </c>
      <c r="O1170" s="15"/>
      <c r="P1170" s="16" t="s">
        <v>106</v>
      </c>
      <c r="Q1170" s="17">
        <v>6599</v>
      </c>
      <c r="R1170" s="18">
        <v>30</v>
      </c>
      <c r="S1170" s="19">
        <v>5312.1949999999997</v>
      </c>
      <c r="T1170" s="20" t="s">
        <v>99</v>
      </c>
      <c r="U1170" s="21" t="s">
        <v>52</v>
      </c>
      <c r="V1170" s="22" t="s">
        <v>53</v>
      </c>
      <c r="W1170" s="23">
        <v>3</v>
      </c>
      <c r="X1170" s="24"/>
    </row>
    <row r="1171" spans="1:24" s="1" customFormat="1" ht="26" customHeight="1" x14ac:dyDescent="0.3">
      <c r="A1171" s="25" t="s">
        <v>607</v>
      </c>
      <c r="B1171" s="25" t="s">
        <v>1796</v>
      </c>
      <c r="C1171" s="12" t="s">
        <v>1854</v>
      </c>
      <c r="D1171" s="86"/>
      <c r="E1171" s="67" t="str">
        <f>HYPERLINK("https://www.google.ru/search?q=811255-ABWH&amp;newwindow=1&amp;tbm=isch","Еще фото")</f>
        <v>Еще фото</v>
      </c>
      <c r="F1171" s="14"/>
      <c r="G1171" s="25" t="s">
        <v>439</v>
      </c>
      <c r="H1171" s="25" t="s">
        <v>27</v>
      </c>
      <c r="I1171" s="25" t="s">
        <v>439</v>
      </c>
      <c r="J1171" s="15" t="s">
        <v>360</v>
      </c>
      <c r="K1171" s="16" t="s">
        <v>45</v>
      </c>
      <c r="L1171" s="88"/>
      <c r="M1171" s="15"/>
      <c r="N1171" s="15" t="s">
        <v>31</v>
      </c>
      <c r="O1171" s="15"/>
      <c r="P1171" s="16" t="s">
        <v>106</v>
      </c>
      <c r="Q1171" s="17">
        <v>6599</v>
      </c>
      <c r="R1171" s="18">
        <v>30</v>
      </c>
      <c r="S1171" s="19">
        <v>5312.1949999999997</v>
      </c>
      <c r="T1171" s="20" t="s">
        <v>99</v>
      </c>
      <c r="U1171" s="21" t="s">
        <v>40</v>
      </c>
      <c r="V1171" s="22" t="s">
        <v>41</v>
      </c>
      <c r="W1171" s="23">
        <v>1</v>
      </c>
      <c r="X1171" s="24"/>
    </row>
    <row r="1172" spans="1:24" s="1" customFormat="1" ht="26" customHeight="1" x14ac:dyDescent="0.3">
      <c r="A1172" s="25" t="s">
        <v>607</v>
      </c>
      <c r="B1172" s="25" t="s">
        <v>1796</v>
      </c>
      <c r="C1172" s="12" t="s">
        <v>1854</v>
      </c>
      <c r="D1172" s="87"/>
      <c r="E1172" s="67" t="str">
        <f>HYPERLINK("https://www.google.ru/search?q=811255-ABWH&amp;newwindow=1&amp;tbm=isch","Еще фото")</f>
        <v>Еще фото</v>
      </c>
      <c r="F1172" s="14"/>
      <c r="G1172" s="25" t="s">
        <v>439</v>
      </c>
      <c r="H1172" s="25" t="s">
        <v>27</v>
      </c>
      <c r="I1172" s="25" t="s">
        <v>439</v>
      </c>
      <c r="J1172" s="15" t="s">
        <v>360</v>
      </c>
      <c r="K1172" s="16" t="s">
        <v>45</v>
      </c>
      <c r="L1172" s="84"/>
      <c r="M1172" s="15"/>
      <c r="N1172" s="15" t="s">
        <v>31</v>
      </c>
      <c r="O1172" s="15"/>
      <c r="P1172" s="16" t="s">
        <v>106</v>
      </c>
      <c r="Q1172" s="17">
        <v>6599</v>
      </c>
      <c r="R1172" s="18">
        <v>30</v>
      </c>
      <c r="S1172" s="19">
        <v>5312.1949999999997</v>
      </c>
      <c r="T1172" s="20" t="s">
        <v>99</v>
      </c>
      <c r="U1172" s="21" t="s">
        <v>42</v>
      </c>
      <c r="V1172" s="22" t="s">
        <v>43</v>
      </c>
      <c r="W1172" s="23">
        <v>2</v>
      </c>
      <c r="X1172" s="24"/>
    </row>
    <row r="1173" spans="1:24" s="1" customFormat="1" ht="35" customHeight="1" x14ac:dyDescent="0.3">
      <c r="A1173" s="11" t="s">
        <v>607</v>
      </c>
      <c r="B1173" s="11" t="s">
        <v>1796</v>
      </c>
      <c r="C1173" s="12" t="s">
        <v>1856</v>
      </c>
      <c r="D1173" s="85"/>
      <c r="E1173" s="67" t="str">
        <f>HYPERLINK("https://www.google.ru/search?q=811255-PUWH&amp;newwindow=1&amp;tbm=isch","Еще фото")</f>
        <v>Еще фото</v>
      </c>
      <c r="F1173" s="14"/>
      <c r="G1173" s="11" t="s">
        <v>439</v>
      </c>
      <c r="H1173" s="11" t="s">
        <v>27</v>
      </c>
      <c r="I1173" s="15" t="s">
        <v>439</v>
      </c>
      <c r="J1173" s="15" t="s">
        <v>360</v>
      </c>
      <c r="K1173" s="16" t="s">
        <v>45</v>
      </c>
      <c r="L1173" s="83" t="s">
        <v>1855</v>
      </c>
      <c r="M1173" s="15"/>
      <c r="N1173" s="15" t="s">
        <v>413</v>
      </c>
      <c r="O1173" s="15"/>
      <c r="P1173" s="16" t="s">
        <v>106</v>
      </c>
      <c r="Q1173" s="17">
        <v>6599</v>
      </c>
      <c r="R1173" s="18">
        <v>30</v>
      </c>
      <c r="S1173" s="19">
        <v>5312.1949999999997</v>
      </c>
      <c r="T1173" s="20" t="s">
        <v>99</v>
      </c>
      <c r="U1173" s="21" t="s">
        <v>34</v>
      </c>
      <c r="V1173" s="22" t="s">
        <v>35</v>
      </c>
      <c r="W1173" s="23">
        <v>4</v>
      </c>
      <c r="X1173" s="24"/>
    </row>
    <row r="1174" spans="1:24" s="1" customFormat="1" ht="35" customHeight="1" x14ac:dyDescent="0.3">
      <c r="A1174" s="25" t="s">
        <v>607</v>
      </c>
      <c r="B1174" s="25" t="s">
        <v>1796</v>
      </c>
      <c r="C1174" s="12" t="s">
        <v>1856</v>
      </c>
      <c r="D1174" s="86"/>
      <c r="E1174" s="67" t="str">
        <f>HYPERLINK("https://www.google.ru/search?q=811255-PUWH&amp;newwindow=1&amp;tbm=isch","Еще фото")</f>
        <v>Еще фото</v>
      </c>
      <c r="F1174" s="14"/>
      <c r="G1174" s="25" t="s">
        <v>439</v>
      </c>
      <c r="H1174" s="25" t="s">
        <v>27</v>
      </c>
      <c r="I1174" s="25" t="s">
        <v>439</v>
      </c>
      <c r="J1174" s="15" t="s">
        <v>360</v>
      </c>
      <c r="K1174" s="16" t="s">
        <v>45</v>
      </c>
      <c r="L1174" s="88"/>
      <c r="M1174" s="15"/>
      <c r="N1174" s="15" t="s">
        <v>413</v>
      </c>
      <c r="O1174" s="15"/>
      <c r="P1174" s="16" t="s">
        <v>106</v>
      </c>
      <c r="Q1174" s="17">
        <v>6599</v>
      </c>
      <c r="R1174" s="18">
        <v>30</v>
      </c>
      <c r="S1174" s="19">
        <v>5312.1949999999997</v>
      </c>
      <c r="T1174" s="20" t="s">
        <v>99</v>
      </c>
      <c r="U1174" s="21" t="s">
        <v>52</v>
      </c>
      <c r="V1174" s="22" t="s">
        <v>53</v>
      </c>
      <c r="W1174" s="23">
        <v>5</v>
      </c>
      <c r="X1174" s="24"/>
    </row>
    <row r="1175" spans="1:24" s="1" customFormat="1" ht="37.049999999999997" customHeight="1" x14ac:dyDescent="0.3">
      <c r="A1175" s="25" t="s">
        <v>607</v>
      </c>
      <c r="B1175" s="25" t="s">
        <v>1796</v>
      </c>
      <c r="C1175" s="12" t="s">
        <v>1856</v>
      </c>
      <c r="D1175" s="87"/>
      <c r="E1175" s="67" t="str">
        <f>HYPERLINK("https://www.google.ru/search?q=811255-PUWH&amp;newwindow=1&amp;tbm=isch","Еще фото")</f>
        <v>Еще фото</v>
      </c>
      <c r="F1175" s="14"/>
      <c r="G1175" s="25" t="s">
        <v>439</v>
      </c>
      <c r="H1175" s="25" t="s">
        <v>27</v>
      </c>
      <c r="I1175" s="25" t="s">
        <v>439</v>
      </c>
      <c r="J1175" s="15" t="s">
        <v>360</v>
      </c>
      <c r="K1175" s="16" t="s">
        <v>45</v>
      </c>
      <c r="L1175" s="84"/>
      <c r="M1175" s="15"/>
      <c r="N1175" s="15" t="s">
        <v>413</v>
      </c>
      <c r="O1175" s="15"/>
      <c r="P1175" s="16" t="s">
        <v>106</v>
      </c>
      <c r="Q1175" s="17">
        <v>6599</v>
      </c>
      <c r="R1175" s="18">
        <v>30</v>
      </c>
      <c r="S1175" s="19">
        <v>5312.1949999999997</v>
      </c>
      <c r="T1175" s="20" t="s">
        <v>99</v>
      </c>
      <c r="U1175" s="21" t="s">
        <v>40</v>
      </c>
      <c r="V1175" s="22" t="s">
        <v>41</v>
      </c>
      <c r="W1175" s="23">
        <v>3</v>
      </c>
      <c r="X1175" s="24"/>
    </row>
    <row r="1176" spans="1:24" s="1" customFormat="1" ht="52.05" customHeight="1" x14ac:dyDescent="0.3">
      <c r="A1176" s="11" t="s">
        <v>607</v>
      </c>
      <c r="B1176" s="11" t="s">
        <v>1857</v>
      </c>
      <c r="C1176" s="12" t="s">
        <v>1858</v>
      </c>
      <c r="D1176" s="81"/>
      <c r="E1176" s="67" t="str">
        <f>HYPERLINK("https://www.google.ru/search?q=811389-NV&amp;newwindow=1&amp;tbm=isch","Еще фото")</f>
        <v>Еще фото</v>
      </c>
      <c r="F1176" s="14"/>
      <c r="G1176" s="11" t="s">
        <v>439</v>
      </c>
      <c r="H1176" s="11" t="s">
        <v>27</v>
      </c>
      <c r="I1176" s="15" t="s">
        <v>439</v>
      </c>
      <c r="J1176" s="15" t="s">
        <v>360</v>
      </c>
      <c r="K1176" s="16" t="s">
        <v>45</v>
      </c>
      <c r="L1176" s="83" t="s">
        <v>1815</v>
      </c>
      <c r="M1176" s="15"/>
      <c r="N1176" s="15" t="s">
        <v>31</v>
      </c>
      <c r="O1176" s="15"/>
      <c r="P1176" s="16" t="s">
        <v>106</v>
      </c>
      <c r="Q1176" s="17">
        <v>5799</v>
      </c>
      <c r="R1176" s="18">
        <v>30</v>
      </c>
      <c r="S1176" s="19">
        <v>4668.1949999999997</v>
      </c>
      <c r="T1176" s="20" t="s">
        <v>99</v>
      </c>
      <c r="U1176" s="21" t="s">
        <v>52</v>
      </c>
      <c r="V1176" s="22" t="s">
        <v>53</v>
      </c>
      <c r="W1176" s="23">
        <v>2</v>
      </c>
      <c r="X1176" s="24"/>
    </row>
    <row r="1177" spans="1:24" s="1" customFormat="1" ht="61.05" customHeight="1" x14ac:dyDescent="0.3">
      <c r="A1177" s="25" t="s">
        <v>607</v>
      </c>
      <c r="B1177" s="25" t="s">
        <v>1857</v>
      </c>
      <c r="C1177" s="12" t="s">
        <v>1858</v>
      </c>
      <c r="D1177" s="82"/>
      <c r="E1177" s="67" t="str">
        <f>HYPERLINK("https://www.google.ru/search?q=811389-NV&amp;newwindow=1&amp;tbm=isch","Еще фото")</f>
        <v>Еще фото</v>
      </c>
      <c r="F1177" s="14"/>
      <c r="G1177" s="25" t="s">
        <v>439</v>
      </c>
      <c r="H1177" s="25" t="s">
        <v>27</v>
      </c>
      <c r="I1177" s="25" t="s">
        <v>439</v>
      </c>
      <c r="J1177" s="15" t="s">
        <v>360</v>
      </c>
      <c r="K1177" s="16" t="s">
        <v>45</v>
      </c>
      <c r="L1177" s="84"/>
      <c r="M1177" s="15"/>
      <c r="N1177" s="15" t="s">
        <v>31</v>
      </c>
      <c r="O1177" s="15"/>
      <c r="P1177" s="16" t="s">
        <v>106</v>
      </c>
      <c r="Q1177" s="17">
        <v>5799</v>
      </c>
      <c r="R1177" s="18">
        <v>30</v>
      </c>
      <c r="S1177" s="19">
        <v>4668.1949999999997</v>
      </c>
      <c r="T1177" s="20" t="s">
        <v>99</v>
      </c>
      <c r="U1177" s="21" t="s">
        <v>40</v>
      </c>
      <c r="V1177" s="22" t="s">
        <v>41</v>
      </c>
      <c r="W1177" s="23">
        <v>1</v>
      </c>
      <c r="X1177" s="24"/>
    </row>
    <row r="1178" spans="1:24" s="1" customFormat="1" ht="52.05" customHeight="1" x14ac:dyDescent="0.3">
      <c r="A1178" s="11" t="s">
        <v>607</v>
      </c>
      <c r="B1178" s="11" t="s">
        <v>1813</v>
      </c>
      <c r="C1178" s="12" t="s">
        <v>1859</v>
      </c>
      <c r="D1178" s="81"/>
      <c r="E1178" s="67" t="str">
        <f>HYPERLINK("https://www.google.ru/search?q=811389-RO&amp;newwindow=1&amp;tbm=isch","Еще фото")</f>
        <v>Еще фото</v>
      </c>
      <c r="F1178" s="14"/>
      <c r="G1178" s="11" t="s">
        <v>439</v>
      </c>
      <c r="H1178" s="11" t="s">
        <v>27</v>
      </c>
      <c r="I1178" s="15" t="s">
        <v>439</v>
      </c>
      <c r="J1178" s="15" t="s">
        <v>360</v>
      </c>
      <c r="K1178" s="16" t="s">
        <v>45</v>
      </c>
      <c r="L1178" s="83" t="s">
        <v>1815</v>
      </c>
      <c r="M1178" s="15"/>
      <c r="N1178" s="15" t="s">
        <v>31</v>
      </c>
      <c r="O1178" s="15"/>
      <c r="P1178" s="16" t="s">
        <v>106</v>
      </c>
      <c r="Q1178" s="17">
        <v>5799</v>
      </c>
      <c r="R1178" s="18">
        <v>30</v>
      </c>
      <c r="S1178" s="19">
        <v>4668.1949999999997</v>
      </c>
      <c r="T1178" s="20" t="s">
        <v>99</v>
      </c>
      <c r="U1178" s="21" t="s">
        <v>34</v>
      </c>
      <c r="V1178" s="22" t="s">
        <v>35</v>
      </c>
      <c r="W1178" s="23">
        <v>1</v>
      </c>
      <c r="X1178" s="24"/>
    </row>
    <row r="1179" spans="1:24" s="1" customFormat="1" ht="61.05" customHeight="1" x14ac:dyDescent="0.3">
      <c r="A1179" s="25" t="s">
        <v>607</v>
      </c>
      <c r="B1179" s="25" t="s">
        <v>1813</v>
      </c>
      <c r="C1179" s="12" t="s">
        <v>1859</v>
      </c>
      <c r="D1179" s="82"/>
      <c r="E1179" s="67" t="str">
        <f>HYPERLINK("https://www.google.ru/search?q=811389-RO&amp;newwindow=1&amp;tbm=isch","Еще фото")</f>
        <v>Еще фото</v>
      </c>
      <c r="F1179" s="14"/>
      <c r="G1179" s="25" t="s">
        <v>439</v>
      </c>
      <c r="H1179" s="25" t="s">
        <v>27</v>
      </c>
      <c r="I1179" s="25" t="s">
        <v>439</v>
      </c>
      <c r="J1179" s="15" t="s">
        <v>360</v>
      </c>
      <c r="K1179" s="16" t="s">
        <v>45</v>
      </c>
      <c r="L1179" s="84"/>
      <c r="M1179" s="15"/>
      <c r="N1179" s="15" t="s">
        <v>31</v>
      </c>
      <c r="O1179" s="15"/>
      <c r="P1179" s="16" t="s">
        <v>106</v>
      </c>
      <c r="Q1179" s="17">
        <v>5799</v>
      </c>
      <c r="R1179" s="18">
        <v>30</v>
      </c>
      <c r="S1179" s="19">
        <v>4668.1949999999997</v>
      </c>
      <c r="T1179" s="20" t="s">
        <v>99</v>
      </c>
      <c r="U1179" s="21" t="s">
        <v>52</v>
      </c>
      <c r="V1179" s="22" t="s">
        <v>53</v>
      </c>
      <c r="W1179" s="23">
        <v>2</v>
      </c>
      <c r="X1179" s="24"/>
    </row>
    <row r="1180" spans="1:24" s="1" customFormat="1" ht="52.05" customHeight="1" x14ac:dyDescent="0.3">
      <c r="A1180" s="11" t="s">
        <v>607</v>
      </c>
      <c r="B1180" s="11" t="s">
        <v>1860</v>
      </c>
      <c r="C1180" s="12" t="s">
        <v>1861</v>
      </c>
      <c r="D1180" s="81"/>
      <c r="E1180" s="67" t="str">
        <f>HYPERLINK("https://www.google.ru/search?q=814439-DB&amp;newwindow=1&amp;tbm=isch","Еще фото")</f>
        <v>Еще фото</v>
      </c>
      <c r="F1180" s="14"/>
      <c r="G1180" s="11" t="s">
        <v>439</v>
      </c>
      <c r="H1180" s="11" t="s">
        <v>27</v>
      </c>
      <c r="I1180" s="15" t="s">
        <v>439</v>
      </c>
      <c r="J1180" s="15" t="s">
        <v>360</v>
      </c>
      <c r="K1180" s="16" t="s">
        <v>29</v>
      </c>
      <c r="L1180" s="83" t="s">
        <v>1862</v>
      </c>
      <c r="M1180" s="15"/>
      <c r="N1180" s="15" t="s">
        <v>84</v>
      </c>
      <c r="O1180" s="15"/>
      <c r="P1180" s="16" t="s">
        <v>1795</v>
      </c>
      <c r="Q1180" s="17">
        <v>3699</v>
      </c>
      <c r="R1180" s="18">
        <v>30</v>
      </c>
      <c r="S1180" s="19">
        <v>2977.6950000000002</v>
      </c>
      <c r="T1180" s="20" t="s">
        <v>99</v>
      </c>
      <c r="U1180" s="21" t="s">
        <v>34</v>
      </c>
      <c r="V1180" s="22" t="s">
        <v>53</v>
      </c>
      <c r="W1180" s="23">
        <v>3</v>
      </c>
      <c r="X1180" s="24"/>
    </row>
    <row r="1181" spans="1:24" s="1" customFormat="1" ht="61.05" customHeight="1" x14ac:dyDescent="0.3">
      <c r="A1181" s="25" t="s">
        <v>607</v>
      </c>
      <c r="B1181" s="25" t="s">
        <v>1860</v>
      </c>
      <c r="C1181" s="12" t="s">
        <v>1861</v>
      </c>
      <c r="D1181" s="82"/>
      <c r="E1181" s="67" t="str">
        <f>HYPERLINK("https://www.google.ru/search?q=814439-DB&amp;newwindow=1&amp;tbm=isch","Еще фото")</f>
        <v>Еще фото</v>
      </c>
      <c r="F1181" s="14"/>
      <c r="G1181" s="25" t="s">
        <v>439</v>
      </c>
      <c r="H1181" s="25" t="s">
        <v>27</v>
      </c>
      <c r="I1181" s="25" t="s">
        <v>439</v>
      </c>
      <c r="J1181" s="15" t="s">
        <v>360</v>
      </c>
      <c r="K1181" s="16" t="s">
        <v>29</v>
      </c>
      <c r="L1181" s="84"/>
      <c r="M1181" s="15"/>
      <c r="N1181" s="15" t="s">
        <v>84</v>
      </c>
      <c r="O1181" s="15"/>
      <c r="P1181" s="16" t="s">
        <v>1795</v>
      </c>
      <c r="Q1181" s="17">
        <v>3699</v>
      </c>
      <c r="R1181" s="18">
        <v>30</v>
      </c>
      <c r="S1181" s="19">
        <v>2977.6950000000002</v>
      </c>
      <c r="T1181" s="20" t="s">
        <v>99</v>
      </c>
      <c r="U1181" s="21" t="s">
        <v>40</v>
      </c>
      <c r="V1181" s="22" t="s">
        <v>43</v>
      </c>
      <c r="W1181" s="23">
        <v>1</v>
      </c>
      <c r="X1181" s="24"/>
    </row>
    <row r="1182" spans="1:24" s="1" customFormat="1" ht="21" customHeight="1" x14ac:dyDescent="0.3">
      <c r="A1182" s="11" t="s">
        <v>607</v>
      </c>
      <c r="B1182" s="11" t="s">
        <v>1863</v>
      </c>
      <c r="C1182" s="27" t="s">
        <v>1864</v>
      </c>
      <c r="D1182" s="85"/>
      <c r="E1182" s="67" t="str">
        <f>HYPERLINK("https://www.google.ru/search?q=816086-AB&amp;newwindow=1&amp;tbm=isch","Еще фото")</f>
        <v>Еще фото</v>
      </c>
      <c r="F1182" s="14"/>
      <c r="G1182" s="11" t="s">
        <v>439</v>
      </c>
      <c r="H1182" s="11" t="s">
        <v>27</v>
      </c>
      <c r="I1182" s="15" t="s">
        <v>439</v>
      </c>
      <c r="J1182" s="15" t="s">
        <v>360</v>
      </c>
      <c r="K1182" s="16" t="s">
        <v>59</v>
      </c>
      <c r="L1182" s="83" t="s">
        <v>1865</v>
      </c>
      <c r="M1182" s="15"/>
      <c r="N1182" s="15" t="s">
        <v>31</v>
      </c>
      <c r="O1182" s="15"/>
      <c r="P1182" s="16" t="s">
        <v>106</v>
      </c>
      <c r="Q1182" s="17">
        <v>3799</v>
      </c>
      <c r="R1182" s="18">
        <v>30</v>
      </c>
      <c r="S1182" s="19">
        <v>3058.1950000000002</v>
      </c>
      <c r="T1182" s="20" t="s">
        <v>99</v>
      </c>
      <c r="U1182" s="21" t="s">
        <v>611</v>
      </c>
      <c r="V1182" s="23">
        <v>128</v>
      </c>
      <c r="W1182" s="23">
        <v>1</v>
      </c>
      <c r="X1182" s="24"/>
    </row>
    <row r="1183" spans="1:24" s="1" customFormat="1" ht="21" customHeight="1" x14ac:dyDescent="0.3">
      <c r="A1183" s="25" t="s">
        <v>607</v>
      </c>
      <c r="B1183" s="25" t="s">
        <v>1863</v>
      </c>
      <c r="C1183" s="28" t="s">
        <v>1864</v>
      </c>
      <c r="D1183" s="86"/>
      <c r="E1183" s="67" t="str">
        <f>HYPERLINK("https://www.google.ru/search?q=816086-AB&amp;newwindow=1&amp;tbm=isch","Еще фото")</f>
        <v>Еще фото</v>
      </c>
      <c r="F1183" s="14"/>
      <c r="G1183" s="25" t="s">
        <v>439</v>
      </c>
      <c r="H1183" s="25" t="s">
        <v>27</v>
      </c>
      <c r="I1183" s="25" t="s">
        <v>439</v>
      </c>
      <c r="J1183" s="15" t="s">
        <v>360</v>
      </c>
      <c r="K1183" s="16" t="s">
        <v>59</v>
      </c>
      <c r="L1183" s="88"/>
      <c r="M1183" s="15"/>
      <c r="N1183" s="15" t="s">
        <v>31</v>
      </c>
      <c r="O1183" s="15"/>
      <c r="P1183" s="16" t="s">
        <v>106</v>
      </c>
      <c r="Q1183" s="17">
        <v>3799</v>
      </c>
      <c r="R1183" s="18">
        <v>30</v>
      </c>
      <c r="S1183" s="19">
        <v>3058.1950000000002</v>
      </c>
      <c r="T1183" s="20" t="s">
        <v>99</v>
      </c>
      <c r="U1183" s="21" t="s">
        <v>1670</v>
      </c>
      <c r="V1183" s="23">
        <v>140</v>
      </c>
      <c r="W1183" s="23">
        <v>2</v>
      </c>
      <c r="X1183" s="24"/>
    </row>
    <row r="1184" spans="1:24" s="1" customFormat="1" ht="21" customHeight="1" x14ac:dyDescent="0.3">
      <c r="A1184" s="25" t="s">
        <v>607</v>
      </c>
      <c r="B1184" s="25" t="s">
        <v>1863</v>
      </c>
      <c r="C1184" s="28" t="s">
        <v>1864</v>
      </c>
      <c r="D1184" s="86"/>
      <c r="E1184" s="67" t="str">
        <f>HYPERLINK("https://www.google.ru/search?q=816086-AB&amp;newwindow=1&amp;tbm=isch","Еще фото")</f>
        <v>Еще фото</v>
      </c>
      <c r="F1184" s="14"/>
      <c r="G1184" s="25" t="s">
        <v>439</v>
      </c>
      <c r="H1184" s="25" t="s">
        <v>27</v>
      </c>
      <c r="I1184" s="25" t="s">
        <v>439</v>
      </c>
      <c r="J1184" s="15" t="s">
        <v>360</v>
      </c>
      <c r="K1184" s="16" t="s">
        <v>59</v>
      </c>
      <c r="L1184" s="88"/>
      <c r="M1184" s="15"/>
      <c r="N1184" s="15" t="s">
        <v>31</v>
      </c>
      <c r="O1184" s="15"/>
      <c r="P1184" s="16" t="s">
        <v>106</v>
      </c>
      <c r="Q1184" s="17">
        <v>3799</v>
      </c>
      <c r="R1184" s="18">
        <v>30</v>
      </c>
      <c r="S1184" s="19">
        <v>3058.1950000000002</v>
      </c>
      <c r="T1184" s="20" t="s">
        <v>99</v>
      </c>
      <c r="U1184" s="21" t="s">
        <v>1671</v>
      </c>
      <c r="V1184" s="23">
        <v>152</v>
      </c>
      <c r="W1184" s="23">
        <v>6</v>
      </c>
      <c r="X1184" s="24"/>
    </row>
    <row r="1185" spans="1:24" s="1" customFormat="1" ht="21" customHeight="1" x14ac:dyDescent="0.3">
      <c r="A1185" s="25" t="s">
        <v>607</v>
      </c>
      <c r="B1185" s="25" t="s">
        <v>1863</v>
      </c>
      <c r="C1185" s="28" t="s">
        <v>1864</v>
      </c>
      <c r="D1185" s="86"/>
      <c r="E1185" s="67" t="str">
        <f>HYPERLINK("https://www.google.ru/search?q=816086-AB&amp;newwindow=1&amp;tbm=isch","Еще фото")</f>
        <v>Еще фото</v>
      </c>
      <c r="F1185" s="14"/>
      <c r="G1185" s="25" t="s">
        <v>439</v>
      </c>
      <c r="H1185" s="25" t="s">
        <v>27</v>
      </c>
      <c r="I1185" s="25" t="s">
        <v>439</v>
      </c>
      <c r="J1185" s="15" t="s">
        <v>360</v>
      </c>
      <c r="K1185" s="16" t="s">
        <v>59</v>
      </c>
      <c r="L1185" s="88"/>
      <c r="M1185" s="15"/>
      <c r="N1185" s="15" t="s">
        <v>31</v>
      </c>
      <c r="O1185" s="15"/>
      <c r="P1185" s="16" t="s">
        <v>106</v>
      </c>
      <c r="Q1185" s="17">
        <v>3799</v>
      </c>
      <c r="R1185" s="18">
        <v>30</v>
      </c>
      <c r="S1185" s="19">
        <v>3058.1950000000002</v>
      </c>
      <c r="T1185" s="20" t="s">
        <v>99</v>
      </c>
      <c r="U1185" s="21" t="s">
        <v>1672</v>
      </c>
      <c r="V1185" s="23">
        <v>164</v>
      </c>
      <c r="W1185" s="23">
        <v>4</v>
      </c>
      <c r="X1185" s="24"/>
    </row>
    <row r="1186" spans="1:24" s="1" customFormat="1" ht="32" customHeight="1" x14ac:dyDescent="0.3">
      <c r="A1186" s="25" t="s">
        <v>607</v>
      </c>
      <c r="B1186" s="25" t="s">
        <v>1863</v>
      </c>
      <c r="C1186" s="28" t="s">
        <v>1864</v>
      </c>
      <c r="D1186" s="87"/>
      <c r="E1186" s="67" t="str">
        <f>HYPERLINK("https://www.google.ru/search?q=816086-AB&amp;newwindow=1&amp;tbm=isch","Еще фото")</f>
        <v>Еще фото</v>
      </c>
      <c r="F1186" s="14"/>
      <c r="G1186" s="25" t="s">
        <v>439</v>
      </c>
      <c r="H1186" s="25" t="s">
        <v>27</v>
      </c>
      <c r="I1186" s="25" t="s">
        <v>439</v>
      </c>
      <c r="J1186" s="15" t="s">
        <v>360</v>
      </c>
      <c r="K1186" s="16" t="s">
        <v>59</v>
      </c>
      <c r="L1186" s="84"/>
      <c r="M1186" s="15"/>
      <c r="N1186" s="15" t="s">
        <v>31</v>
      </c>
      <c r="O1186" s="15"/>
      <c r="P1186" s="16" t="s">
        <v>106</v>
      </c>
      <c r="Q1186" s="17">
        <v>3799</v>
      </c>
      <c r="R1186" s="18">
        <v>30</v>
      </c>
      <c r="S1186" s="19">
        <v>3058.1950000000002</v>
      </c>
      <c r="T1186" s="20" t="s">
        <v>99</v>
      </c>
      <c r="U1186" s="21" t="s">
        <v>1673</v>
      </c>
      <c r="V1186" s="23">
        <v>176</v>
      </c>
      <c r="W1186" s="23">
        <v>1</v>
      </c>
      <c r="X1186" s="24"/>
    </row>
    <row r="1187" spans="1:24" s="1" customFormat="1" ht="52.05" customHeight="1" x14ac:dyDescent="0.3">
      <c r="A1187" s="11" t="s">
        <v>607</v>
      </c>
      <c r="B1187" s="11" t="s">
        <v>1824</v>
      </c>
      <c r="C1187" s="12" t="s">
        <v>1866</v>
      </c>
      <c r="D1187" s="81"/>
      <c r="E1187" s="67" t="str">
        <f>HYPERLINK("https://www.google.ru/search?q=816349-WH&amp;newwindow=1&amp;tbm=isch","Еще фото")</f>
        <v>Еще фото</v>
      </c>
      <c r="F1187" s="14"/>
      <c r="G1187" s="11" t="s">
        <v>439</v>
      </c>
      <c r="H1187" s="11" t="s">
        <v>27</v>
      </c>
      <c r="I1187" s="15" t="s">
        <v>439</v>
      </c>
      <c r="J1187" s="15" t="s">
        <v>360</v>
      </c>
      <c r="K1187" s="16" t="s">
        <v>59</v>
      </c>
      <c r="L1187" s="83" t="s">
        <v>1815</v>
      </c>
      <c r="M1187" s="15"/>
      <c r="N1187" s="15" t="s">
        <v>173</v>
      </c>
      <c r="O1187" s="15"/>
      <c r="P1187" s="16" t="s">
        <v>106</v>
      </c>
      <c r="Q1187" s="17">
        <v>3999</v>
      </c>
      <c r="R1187" s="18">
        <v>30</v>
      </c>
      <c r="S1187" s="19">
        <v>3219.1950000000002</v>
      </c>
      <c r="T1187" s="20" t="s">
        <v>99</v>
      </c>
      <c r="U1187" s="21" t="s">
        <v>611</v>
      </c>
      <c r="V1187" s="23">
        <v>128</v>
      </c>
      <c r="W1187" s="23">
        <v>3</v>
      </c>
      <c r="X1187" s="24"/>
    </row>
    <row r="1188" spans="1:24" s="1" customFormat="1" ht="61.05" customHeight="1" x14ac:dyDescent="0.3">
      <c r="A1188" s="25" t="s">
        <v>607</v>
      </c>
      <c r="B1188" s="25" t="s">
        <v>1824</v>
      </c>
      <c r="C1188" s="12" t="s">
        <v>1866</v>
      </c>
      <c r="D1188" s="82"/>
      <c r="E1188" s="67" t="str">
        <f>HYPERLINK("https://www.google.ru/search?q=816349-WH&amp;newwindow=1&amp;tbm=isch","Еще фото")</f>
        <v>Еще фото</v>
      </c>
      <c r="F1188" s="14"/>
      <c r="G1188" s="25" t="s">
        <v>439</v>
      </c>
      <c r="H1188" s="25" t="s">
        <v>27</v>
      </c>
      <c r="I1188" s="25" t="s">
        <v>439</v>
      </c>
      <c r="J1188" s="15" t="s">
        <v>360</v>
      </c>
      <c r="K1188" s="16" t="s">
        <v>59</v>
      </c>
      <c r="L1188" s="84"/>
      <c r="M1188" s="15"/>
      <c r="N1188" s="15" t="s">
        <v>173</v>
      </c>
      <c r="O1188" s="15"/>
      <c r="P1188" s="16" t="s">
        <v>106</v>
      </c>
      <c r="Q1188" s="17">
        <v>3999</v>
      </c>
      <c r="R1188" s="18">
        <v>30</v>
      </c>
      <c r="S1188" s="19">
        <v>3219.1950000000002</v>
      </c>
      <c r="T1188" s="20" t="s">
        <v>99</v>
      </c>
      <c r="U1188" s="21" t="s">
        <v>1673</v>
      </c>
      <c r="V1188" s="23">
        <v>176</v>
      </c>
      <c r="W1188" s="23">
        <v>3</v>
      </c>
      <c r="X1188" s="24"/>
    </row>
    <row r="1189" spans="1:24" s="1" customFormat="1" ht="35" customHeight="1" x14ac:dyDescent="0.3">
      <c r="A1189" s="11" t="s">
        <v>607</v>
      </c>
      <c r="B1189" s="11" t="s">
        <v>1867</v>
      </c>
      <c r="C1189" s="12" t="s">
        <v>1868</v>
      </c>
      <c r="D1189" s="85"/>
      <c r="E1189" s="67" t="str">
        <f>HYPERLINK("https://www.google.ru/search?q=814285-CE&amp;newwindow=1&amp;tbm=isch","Еще фото")</f>
        <v>Еще фото</v>
      </c>
      <c r="F1189" s="14"/>
      <c r="G1189" s="11" t="s">
        <v>446</v>
      </c>
      <c r="H1189" s="11" t="s">
        <v>27</v>
      </c>
      <c r="I1189" s="15" t="s">
        <v>447</v>
      </c>
      <c r="J1189" s="15" t="s">
        <v>360</v>
      </c>
      <c r="K1189" s="16" t="s">
        <v>29</v>
      </c>
      <c r="L1189" s="83" t="s">
        <v>1869</v>
      </c>
      <c r="M1189" s="15"/>
      <c r="N1189" s="15" t="s">
        <v>55</v>
      </c>
      <c r="O1189" s="15"/>
      <c r="P1189" s="16" t="s">
        <v>1870</v>
      </c>
      <c r="Q1189" s="17">
        <v>7299</v>
      </c>
      <c r="R1189" s="18">
        <v>61.67</v>
      </c>
      <c r="S1189" s="19">
        <v>3217.4354999999996</v>
      </c>
      <c r="T1189" s="20" t="s">
        <v>99</v>
      </c>
      <c r="U1189" s="21" t="s">
        <v>442</v>
      </c>
      <c r="V1189" s="22" t="s">
        <v>35</v>
      </c>
      <c r="W1189" s="23">
        <v>1</v>
      </c>
      <c r="X1189" s="24"/>
    </row>
    <row r="1190" spans="1:24" s="1" customFormat="1" ht="35" customHeight="1" x14ac:dyDescent="0.3">
      <c r="A1190" s="25" t="s">
        <v>607</v>
      </c>
      <c r="B1190" s="25" t="s">
        <v>1867</v>
      </c>
      <c r="C1190" s="12" t="s">
        <v>1868</v>
      </c>
      <c r="D1190" s="86"/>
      <c r="E1190" s="67" t="str">
        <f>HYPERLINK("https://www.google.ru/search?q=814285-CE&amp;newwindow=1&amp;tbm=isch","Еще фото")</f>
        <v>Еще фото</v>
      </c>
      <c r="F1190" s="14"/>
      <c r="G1190" s="25" t="s">
        <v>446</v>
      </c>
      <c r="H1190" s="25" t="s">
        <v>27</v>
      </c>
      <c r="I1190" s="25" t="s">
        <v>447</v>
      </c>
      <c r="J1190" s="15" t="s">
        <v>360</v>
      </c>
      <c r="K1190" s="16" t="s">
        <v>29</v>
      </c>
      <c r="L1190" s="88"/>
      <c r="M1190" s="15"/>
      <c r="N1190" s="15" t="s">
        <v>55</v>
      </c>
      <c r="O1190" s="15"/>
      <c r="P1190" s="16" t="s">
        <v>1870</v>
      </c>
      <c r="Q1190" s="17">
        <v>7299</v>
      </c>
      <c r="R1190" s="18">
        <v>61.67</v>
      </c>
      <c r="S1190" s="19">
        <v>3217.4354999999996</v>
      </c>
      <c r="T1190" s="20" t="s">
        <v>99</v>
      </c>
      <c r="U1190" s="21" t="s">
        <v>34</v>
      </c>
      <c r="V1190" s="22" t="s">
        <v>53</v>
      </c>
      <c r="W1190" s="23">
        <v>1</v>
      </c>
      <c r="X1190" s="24"/>
    </row>
    <row r="1191" spans="1:24" s="1" customFormat="1" ht="37.049999999999997" customHeight="1" x14ac:dyDescent="0.3">
      <c r="A1191" s="25" t="s">
        <v>607</v>
      </c>
      <c r="B1191" s="25" t="s">
        <v>1867</v>
      </c>
      <c r="C1191" s="12" t="s">
        <v>1868</v>
      </c>
      <c r="D1191" s="87"/>
      <c r="E1191" s="67" t="str">
        <f>HYPERLINK("https://www.google.ru/search?q=814285-CE&amp;newwindow=1&amp;tbm=isch","Еще фото")</f>
        <v>Еще фото</v>
      </c>
      <c r="F1191" s="14"/>
      <c r="G1191" s="25" t="s">
        <v>446</v>
      </c>
      <c r="H1191" s="25" t="s">
        <v>27</v>
      </c>
      <c r="I1191" s="25" t="s">
        <v>447</v>
      </c>
      <c r="J1191" s="15" t="s">
        <v>360</v>
      </c>
      <c r="K1191" s="16" t="s">
        <v>29</v>
      </c>
      <c r="L1191" s="84"/>
      <c r="M1191" s="15"/>
      <c r="N1191" s="15" t="s">
        <v>55</v>
      </c>
      <c r="O1191" s="15"/>
      <c r="P1191" s="16" t="s">
        <v>1870</v>
      </c>
      <c r="Q1191" s="17">
        <v>7299</v>
      </c>
      <c r="R1191" s="18">
        <v>61.67</v>
      </c>
      <c r="S1191" s="19">
        <v>3217.4354999999996</v>
      </c>
      <c r="T1191" s="20" t="s">
        <v>99</v>
      </c>
      <c r="U1191" s="21" t="s">
        <v>40</v>
      </c>
      <c r="V1191" s="22" t="s">
        <v>43</v>
      </c>
      <c r="W1191" s="23">
        <v>2</v>
      </c>
      <c r="X1191" s="24"/>
    </row>
    <row r="1192" spans="1:24" s="1" customFormat="1" ht="21" customHeight="1" x14ac:dyDescent="0.3">
      <c r="A1192" s="11" t="s">
        <v>607</v>
      </c>
      <c r="B1192" s="11" t="s">
        <v>1867</v>
      </c>
      <c r="C1192" s="27" t="s">
        <v>1871</v>
      </c>
      <c r="D1192" s="85"/>
      <c r="E1192" s="67" t="str">
        <f>HYPERLINK("https://www.google.ru/search?q=814285-WH&amp;newwindow=1&amp;tbm=isch","Еще фото")</f>
        <v>Еще фото</v>
      </c>
      <c r="F1192" s="14"/>
      <c r="G1192" s="11" t="s">
        <v>446</v>
      </c>
      <c r="H1192" s="11" t="s">
        <v>27</v>
      </c>
      <c r="I1192" s="15" t="s">
        <v>447</v>
      </c>
      <c r="J1192" s="15" t="s">
        <v>360</v>
      </c>
      <c r="K1192" s="16" t="s">
        <v>29</v>
      </c>
      <c r="L1192" s="83" t="s">
        <v>1869</v>
      </c>
      <c r="M1192" s="15"/>
      <c r="N1192" s="15" t="s">
        <v>173</v>
      </c>
      <c r="O1192" s="15"/>
      <c r="P1192" s="16" t="s">
        <v>1870</v>
      </c>
      <c r="Q1192" s="17">
        <v>7299</v>
      </c>
      <c r="R1192" s="18">
        <v>61.67</v>
      </c>
      <c r="S1192" s="19">
        <v>3217.4354999999996</v>
      </c>
      <c r="T1192" s="20" t="s">
        <v>99</v>
      </c>
      <c r="U1192" s="21" t="s">
        <v>442</v>
      </c>
      <c r="V1192" s="22" t="s">
        <v>35</v>
      </c>
      <c r="W1192" s="23">
        <v>2</v>
      </c>
      <c r="X1192" s="24"/>
    </row>
    <row r="1193" spans="1:24" s="1" customFormat="1" ht="21" customHeight="1" x14ac:dyDescent="0.3">
      <c r="A1193" s="25" t="s">
        <v>607</v>
      </c>
      <c r="B1193" s="25" t="s">
        <v>1867</v>
      </c>
      <c r="C1193" s="28" t="s">
        <v>1871</v>
      </c>
      <c r="D1193" s="86"/>
      <c r="E1193" s="67" t="str">
        <f>HYPERLINK("https://www.google.ru/search?q=814285-WH&amp;newwindow=1&amp;tbm=isch","Еще фото")</f>
        <v>Еще фото</v>
      </c>
      <c r="F1193" s="14"/>
      <c r="G1193" s="25" t="s">
        <v>446</v>
      </c>
      <c r="H1193" s="25" t="s">
        <v>27</v>
      </c>
      <c r="I1193" s="25" t="s">
        <v>447</v>
      </c>
      <c r="J1193" s="15" t="s">
        <v>360</v>
      </c>
      <c r="K1193" s="16" t="s">
        <v>29</v>
      </c>
      <c r="L1193" s="88"/>
      <c r="M1193" s="15"/>
      <c r="N1193" s="15" t="s">
        <v>173</v>
      </c>
      <c r="O1193" s="15"/>
      <c r="P1193" s="16" t="s">
        <v>1870</v>
      </c>
      <c r="Q1193" s="17">
        <v>7299</v>
      </c>
      <c r="R1193" s="18">
        <v>61.67</v>
      </c>
      <c r="S1193" s="19">
        <v>3217.4354999999996</v>
      </c>
      <c r="T1193" s="20" t="s">
        <v>99</v>
      </c>
      <c r="U1193" s="21" t="s">
        <v>34</v>
      </c>
      <c r="V1193" s="22" t="s">
        <v>53</v>
      </c>
      <c r="W1193" s="23">
        <v>6</v>
      </c>
      <c r="X1193" s="24"/>
    </row>
    <row r="1194" spans="1:24" s="1" customFormat="1" ht="21" customHeight="1" x14ac:dyDescent="0.3">
      <c r="A1194" s="25" t="s">
        <v>607</v>
      </c>
      <c r="B1194" s="25" t="s">
        <v>1867</v>
      </c>
      <c r="C1194" s="28" t="s">
        <v>1871</v>
      </c>
      <c r="D1194" s="86"/>
      <c r="E1194" s="67" t="str">
        <f>HYPERLINK("https://www.google.ru/search?q=814285-WH&amp;newwindow=1&amp;tbm=isch","Еще фото")</f>
        <v>Еще фото</v>
      </c>
      <c r="F1194" s="14"/>
      <c r="G1194" s="25" t="s">
        <v>446</v>
      </c>
      <c r="H1194" s="25" t="s">
        <v>27</v>
      </c>
      <c r="I1194" s="25" t="s">
        <v>447</v>
      </c>
      <c r="J1194" s="15" t="s">
        <v>360</v>
      </c>
      <c r="K1194" s="16" t="s">
        <v>29</v>
      </c>
      <c r="L1194" s="88"/>
      <c r="M1194" s="15"/>
      <c r="N1194" s="15" t="s">
        <v>173</v>
      </c>
      <c r="O1194" s="15"/>
      <c r="P1194" s="16" t="s">
        <v>1870</v>
      </c>
      <c r="Q1194" s="17">
        <v>7299</v>
      </c>
      <c r="R1194" s="18">
        <v>61.67</v>
      </c>
      <c r="S1194" s="19">
        <v>3217.4354999999996</v>
      </c>
      <c r="T1194" s="20" t="s">
        <v>99</v>
      </c>
      <c r="U1194" s="21" t="s">
        <v>52</v>
      </c>
      <c r="V1194" s="22" t="s">
        <v>41</v>
      </c>
      <c r="W1194" s="23">
        <v>6</v>
      </c>
      <c r="X1194" s="24"/>
    </row>
    <row r="1195" spans="1:24" s="1" customFormat="1" ht="21" customHeight="1" x14ac:dyDescent="0.3">
      <c r="A1195" s="25" t="s">
        <v>607</v>
      </c>
      <c r="B1195" s="25" t="s">
        <v>1867</v>
      </c>
      <c r="C1195" s="28" t="s">
        <v>1871</v>
      </c>
      <c r="D1195" s="86"/>
      <c r="E1195" s="67" t="str">
        <f>HYPERLINK("https://www.google.ru/search?q=814285-WH&amp;newwindow=1&amp;tbm=isch","Еще фото")</f>
        <v>Еще фото</v>
      </c>
      <c r="F1195" s="14"/>
      <c r="G1195" s="25" t="s">
        <v>446</v>
      </c>
      <c r="H1195" s="25" t="s">
        <v>27</v>
      </c>
      <c r="I1195" s="25" t="s">
        <v>447</v>
      </c>
      <c r="J1195" s="15" t="s">
        <v>360</v>
      </c>
      <c r="K1195" s="16" t="s">
        <v>29</v>
      </c>
      <c r="L1195" s="88"/>
      <c r="M1195" s="15"/>
      <c r="N1195" s="15" t="s">
        <v>173</v>
      </c>
      <c r="O1195" s="15"/>
      <c r="P1195" s="16" t="s">
        <v>1870</v>
      </c>
      <c r="Q1195" s="17">
        <v>7299</v>
      </c>
      <c r="R1195" s="18">
        <v>61.67</v>
      </c>
      <c r="S1195" s="19">
        <v>3217.4354999999996</v>
      </c>
      <c r="T1195" s="20" t="s">
        <v>99</v>
      </c>
      <c r="U1195" s="21" t="s">
        <v>40</v>
      </c>
      <c r="V1195" s="22" t="s">
        <v>43</v>
      </c>
      <c r="W1195" s="23">
        <v>3</v>
      </c>
      <c r="X1195" s="24"/>
    </row>
    <row r="1196" spans="1:24" s="1" customFormat="1" ht="32" customHeight="1" x14ac:dyDescent="0.3">
      <c r="A1196" s="25" t="s">
        <v>607</v>
      </c>
      <c r="B1196" s="25" t="s">
        <v>1867</v>
      </c>
      <c r="C1196" s="28" t="s">
        <v>1871</v>
      </c>
      <c r="D1196" s="87"/>
      <c r="E1196" s="67" t="str">
        <f>HYPERLINK("https://www.google.ru/search?q=814285-WH&amp;newwindow=1&amp;tbm=isch","Еще фото")</f>
        <v>Еще фото</v>
      </c>
      <c r="F1196" s="14"/>
      <c r="G1196" s="25" t="s">
        <v>446</v>
      </c>
      <c r="H1196" s="25" t="s">
        <v>27</v>
      </c>
      <c r="I1196" s="25" t="s">
        <v>447</v>
      </c>
      <c r="J1196" s="15" t="s">
        <v>360</v>
      </c>
      <c r="K1196" s="16" t="s">
        <v>29</v>
      </c>
      <c r="L1196" s="84"/>
      <c r="M1196" s="15"/>
      <c r="N1196" s="15" t="s">
        <v>173</v>
      </c>
      <c r="O1196" s="15"/>
      <c r="P1196" s="16" t="s">
        <v>1870</v>
      </c>
      <c r="Q1196" s="17">
        <v>7299</v>
      </c>
      <c r="R1196" s="18">
        <v>61.67</v>
      </c>
      <c r="S1196" s="19">
        <v>3217.4354999999996</v>
      </c>
      <c r="T1196" s="20" t="s">
        <v>99</v>
      </c>
      <c r="U1196" s="21" t="s">
        <v>42</v>
      </c>
      <c r="V1196" s="22" t="s">
        <v>48</v>
      </c>
      <c r="W1196" s="23">
        <v>1</v>
      </c>
      <c r="X1196" s="24"/>
    </row>
    <row r="1197" spans="1:24" s="1" customFormat="1" ht="26" customHeight="1" x14ac:dyDescent="0.3">
      <c r="A1197" s="11" t="s">
        <v>607</v>
      </c>
      <c r="B1197" s="11" t="s">
        <v>1872</v>
      </c>
      <c r="C1197" s="12" t="s">
        <v>1873</v>
      </c>
      <c r="D1197" s="85"/>
      <c r="E1197" s="67" t="str">
        <f>HYPERLINK("https://www.google.ru/search?q=814145-SW&amp;newwindow=1&amp;tbm=isch","Еще фото")</f>
        <v>Еще фото</v>
      </c>
      <c r="F1197" s="14"/>
      <c r="G1197" s="11" t="s">
        <v>459</v>
      </c>
      <c r="H1197" s="11" t="s">
        <v>27</v>
      </c>
      <c r="I1197" s="15" t="s">
        <v>447</v>
      </c>
      <c r="J1197" s="15" t="s">
        <v>360</v>
      </c>
      <c r="K1197" s="16" t="s">
        <v>29</v>
      </c>
      <c r="L1197" s="83" t="s">
        <v>1874</v>
      </c>
      <c r="M1197" s="15"/>
      <c r="N1197" s="15" t="s">
        <v>948</v>
      </c>
      <c r="O1197" s="15"/>
      <c r="P1197" s="16" t="s">
        <v>106</v>
      </c>
      <c r="Q1197" s="17">
        <v>10999</v>
      </c>
      <c r="R1197" s="18">
        <v>61.56</v>
      </c>
      <c r="S1197" s="19">
        <v>4861.9355000000005</v>
      </c>
      <c r="T1197" s="20" t="s">
        <v>99</v>
      </c>
      <c r="U1197" s="21" t="s">
        <v>442</v>
      </c>
      <c r="V1197" s="22" t="s">
        <v>35</v>
      </c>
      <c r="W1197" s="23">
        <v>2</v>
      </c>
      <c r="X1197" s="24"/>
    </row>
    <row r="1198" spans="1:24" s="1" customFormat="1" ht="26" customHeight="1" x14ac:dyDescent="0.3">
      <c r="A1198" s="25" t="s">
        <v>607</v>
      </c>
      <c r="B1198" s="25" t="s">
        <v>1872</v>
      </c>
      <c r="C1198" s="12" t="s">
        <v>1873</v>
      </c>
      <c r="D1198" s="86"/>
      <c r="E1198" s="67" t="str">
        <f>HYPERLINK("https://www.google.ru/search?q=814145-SW&amp;newwindow=1&amp;tbm=isch","Еще фото")</f>
        <v>Еще фото</v>
      </c>
      <c r="F1198" s="14"/>
      <c r="G1198" s="25" t="s">
        <v>459</v>
      </c>
      <c r="H1198" s="25" t="s">
        <v>27</v>
      </c>
      <c r="I1198" s="25" t="s">
        <v>447</v>
      </c>
      <c r="J1198" s="15" t="s">
        <v>360</v>
      </c>
      <c r="K1198" s="16" t="s">
        <v>29</v>
      </c>
      <c r="L1198" s="88"/>
      <c r="M1198" s="15"/>
      <c r="N1198" s="15" t="s">
        <v>948</v>
      </c>
      <c r="O1198" s="15"/>
      <c r="P1198" s="16" t="s">
        <v>106</v>
      </c>
      <c r="Q1198" s="17">
        <v>10999</v>
      </c>
      <c r="R1198" s="18">
        <v>61.56</v>
      </c>
      <c r="S1198" s="19">
        <v>4861.9355000000005</v>
      </c>
      <c r="T1198" s="20" t="s">
        <v>99</v>
      </c>
      <c r="U1198" s="21" t="s">
        <v>34</v>
      </c>
      <c r="V1198" s="22" t="s">
        <v>53</v>
      </c>
      <c r="W1198" s="23">
        <v>2</v>
      </c>
      <c r="X1198" s="24"/>
    </row>
    <row r="1199" spans="1:24" s="1" customFormat="1" ht="26" customHeight="1" x14ac:dyDescent="0.3">
      <c r="A1199" s="25" t="s">
        <v>607</v>
      </c>
      <c r="B1199" s="25" t="s">
        <v>1872</v>
      </c>
      <c r="C1199" s="12" t="s">
        <v>1873</v>
      </c>
      <c r="D1199" s="86"/>
      <c r="E1199" s="67" t="str">
        <f>HYPERLINK("https://www.google.ru/search?q=814145-SW&amp;newwindow=1&amp;tbm=isch","Еще фото")</f>
        <v>Еще фото</v>
      </c>
      <c r="F1199" s="14"/>
      <c r="G1199" s="25" t="s">
        <v>459</v>
      </c>
      <c r="H1199" s="25" t="s">
        <v>27</v>
      </c>
      <c r="I1199" s="25" t="s">
        <v>447</v>
      </c>
      <c r="J1199" s="15" t="s">
        <v>360</v>
      </c>
      <c r="K1199" s="16" t="s">
        <v>29</v>
      </c>
      <c r="L1199" s="88"/>
      <c r="M1199" s="15"/>
      <c r="N1199" s="15" t="s">
        <v>948</v>
      </c>
      <c r="O1199" s="15"/>
      <c r="P1199" s="16" t="s">
        <v>106</v>
      </c>
      <c r="Q1199" s="17">
        <v>10999</v>
      </c>
      <c r="R1199" s="18">
        <v>61.56</v>
      </c>
      <c r="S1199" s="19">
        <v>4861.9355000000005</v>
      </c>
      <c r="T1199" s="20" t="s">
        <v>99</v>
      </c>
      <c r="U1199" s="21" t="s">
        <v>52</v>
      </c>
      <c r="V1199" s="22" t="s">
        <v>41</v>
      </c>
      <c r="W1199" s="23">
        <v>2</v>
      </c>
      <c r="X1199" s="24"/>
    </row>
    <row r="1200" spans="1:24" s="1" customFormat="1" ht="26" customHeight="1" x14ac:dyDescent="0.3">
      <c r="A1200" s="25" t="s">
        <v>607</v>
      </c>
      <c r="B1200" s="25" t="s">
        <v>1872</v>
      </c>
      <c r="C1200" s="12" t="s">
        <v>1873</v>
      </c>
      <c r="D1200" s="87"/>
      <c r="E1200" s="67" t="str">
        <f>HYPERLINK("https://www.google.ru/search?q=814145-SW&amp;newwindow=1&amp;tbm=isch","Еще фото")</f>
        <v>Еще фото</v>
      </c>
      <c r="F1200" s="14"/>
      <c r="G1200" s="25" t="s">
        <v>459</v>
      </c>
      <c r="H1200" s="25" t="s">
        <v>27</v>
      </c>
      <c r="I1200" s="25" t="s">
        <v>447</v>
      </c>
      <c r="J1200" s="15" t="s">
        <v>360</v>
      </c>
      <c r="K1200" s="16" t="s">
        <v>29</v>
      </c>
      <c r="L1200" s="84"/>
      <c r="M1200" s="15"/>
      <c r="N1200" s="15" t="s">
        <v>948</v>
      </c>
      <c r="O1200" s="15"/>
      <c r="P1200" s="16" t="s">
        <v>106</v>
      </c>
      <c r="Q1200" s="17">
        <v>10999</v>
      </c>
      <c r="R1200" s="18">
        <v>61.56</v>
      </c>
      <c r="S1200" s="19">
        <v>4861.9355000000005</v>
      </c>
      <c r="T1200" s="20" t="s">
        <v>99</v>
      </c>
      <c r="U1200" s="21" t="s">
        <v>40</v>
      </c>
      <c r="V1200" s="22" t="s">
        <v>43</v>
      </c>
      <c r="W1200" s="23">
        <v>1</v>
      </c>
      <c r="X1200" s="24"/>
    </row>
    <row r="1201" spans="1:24" s="1" customFormat="1" ht="26" customHeight="1" x14ac:dyDescent="0.3">
      <c r="A1201" s="11" t="s">
        <v>607</v>
      </c>
      <c r="B1201" s="11" t="s">
        <v>1875</v>
      </c>
      <c r="C1201" s="12" t="s">
        <v>1876</v>
      </c>
      <c r="D1201" s="85"/>
      <c r="E1201" s="67" t="str">
        <f>HYPERLINK("https://www.google.ru/search?q=814745-WH&amp;newwindow=1&amp;tbm=isch","Еще фото")</f>
        <v>Еще фото</v>
      </c>
      <c r="F1201" s="14"/>
      <c r="G1201" s="11" t="s">
        <v>459</v>
      </c>
      <c r="H1201" s="11" t="s">
        <v>27</v>
      </c>
      <c r="I1201" s="15" t="s">
        <v>447</v>
      </c>
      <c r="J1201" s="15" t="s">
        <v>360</v>
      </c>
      <c r="K1201" s="16" t="s">
        <v>29</v>
      </c>
      <c r="L1201" s="83" t="s">
        <v>1877</v>
      </c>
      <c r="M1201" s="15"/>
      <c r="N1201" s="15" t="s">
        <v>173</v>
      </c>
      <c r="O1201" s="15"/>
      <c r="P1201" s="16" t="s">
        <v>1878</v>
      </c>
      <c r="Q1201" s="17">
        <v>9299</v>
      </c>
      <c r="R1201" s="18">
        <v>58.84</v>
      </c>
      <c r="S1201" s="19">
        <v>4401.9354999999996</v>
      </c>
      <c r="T1201" s="20" t="s">
        <v>99</v>
      </c>
      <c r="U1201" s="21" t="s">
        <v>442</v>
      </c>
      <c r="V1201" s="22" t="s">
        <v>35</v>
      </c>
      <c r="W1201" s="23">
        <v>2</v>
      </c>
      <c r="X1201" s="24"/>
    </row>
    <row r="1202" spans="1:24" s="1" customFormat="1" ht="26" customHeight="1" x14ac:dyDescent="0.3">
      <c r="A1202" s="25" t="s">
        <v>607</v>
      </c>
      <c r="B1202" s="25" t="s">
        <v>1875</v>
      </c>
      <c r="C1202" s="12" t="s">
        <v>1876</v>
      </c>
      <c r="D1202" s="86"/>
      <c r="E1202" s="67" t="str">
        <f>HYPERLINK("https://www.google.ru/search?q=814745-WH&amp;newwindow=1&amp;tbm=isch","Еще фото")</f>
        <v>Еще фото</v>
      </c>
      <c r="F1202" s="14"/>
      <c r="G1202" s="25" t="s">
        <v>459</v>
      </c>
      <c r="H1202" s="25" t="s">
        <v>27</v>
      </c>
      <c r="I1202" s="25" t="s">
        <v>447</v>
      </c>
      <c r="J1202" s="15" t="s">
        <v>360</v>
      </c>
      <c r="K1202" s="16" t="s">
        <v>29</v>
      </c>
      <c r="L1202" s="88"/>
      <c r="M1202" s="15"/>
      <c r="N1202" s="15" t="s">
        <v>173</v>
      </c>
      <c r="O1202" s="15"/>
      <c r="P1202" s="16" t="s">
        <v>1878</v>
      </c>
      <c r="Q1202" s="17">
        <v>9299</v>
      </c>
      <c r="R1202" s="18">
        <v>58.84</v>
      </c>
      <c r="S1202" s="19">
        <v>4401.9354999999996</v>
      </c>
      <c r="T1202" s="20" t="s">
        <v>99</v>
      </c>
      <c r="U1202" s="21" t="s">
        <v>34</v>
      </c>
      <c r="V1202" s="22" t="s">
        <v>53</v>
      </c>
      <c r="W1202" s="23">
        <v>4</v>
      </c>
      <c r="X1202" s="24"/>
    </row>
    <row r="1203" spans="1:24" s="1" customFormat="1" ht="26" customHeight="1" x14ac:dyDescent="0.3">
      <c r="A1203" s="25" t="s">
        <v>607</v>
      </c>
      <c r="B1203" s="25" t="s">
        <v>1875</v>
      </c>
      <c r="C1203" s="12" t="s">
        <v>1876</v>
      </c>
      <c r="D1203" s="86"/>
      <c r="E1203" s="67" t="str">
        <f>HYPERLINK("https://www.google.ru/search?q=814745-WH&amp;newwindow=1&amp;tbm=isch","Еще фото")</f>
        <v>Еще фото</v>
      </c>
      <c r="F1203" s="14"/>
      <c r="G1203" s="25" t="s">
        <v>459</v>
      </c>
      <c r="H1203" s="25" t="s">
        <v>27</v>
      </c>
      <c r="I1203" s="25" t="s">
        <v>447</v>
      </c>
      <c r="J1203" s="15" t="s">
        <v>360</v>
      </c>
      <c r="K1203" s="16" t="s">
        <v>29</v>
      </c>
      <c r="L1203" s="88"/>
      <c r="M1203" s="15"/>
      <c r="N1203" s="15" t="s">
        <v>173</v>
      </c>
      <c r="O1203" s="15"/>
      <c r="P1203" s="16" t="s">
        <v>1878</v>
      </c>
      <c r="Q1203" s="17">
        <v>9299</v>
      </c>
      <c r="R1203" s="18">
        <v>58.84</v>
      </c>
      <c r="S1203" s="19">
        <v>4401.9354999999996</v>
      </c>
      <c r="T1203" s="20" t="s">
        <v>99</v>
      </c>
      <c r="U1203" s="21" t="s">
        <v>52</v>
      </c>
      <c r="V1203" s="22" t="s">
        <v>41</v>
      </c>
      <c r="W1203" s="23">
        <v>4</v>
      </c>
      <c r="X1203" s="24"/>
    </row>
    <row r="1204" spans="1:24" s="1" customFormat="1" ht="26" customHeight="1" x14ac:dyDescent="0.3">
      <c r="A1204" s="25" t="s">
        <v>607</v>
      </c>
      <c r="B1204" s="25" t="s">
        <v>1875</v>
      </c>
      <c r="C1204" s="12" t="s">
        <v>1876</v>
      </c>
      <c r="D1204" s="87"/>
      <c r="E1204" s="67" t="str">
        <f>HYPERLINK("https://www.google.ru/search?q=814745-WH&amp;newwindow=1&amp;tbm=isch","Еще фото")</f>
        <v>Еще фото</v>
      </c>
      <c r="F1204" s="14"/>
      <c r="G1204" s="25" t="s">
        <v>459</v>
      </c>
      <c r="H1204" s="25" t="s">
        <v>27</v>
      </c>
      <c r="I1204" s="25" t="s">
        <v>447</v>
      </c>
      <c r="J1204" s="15" t="s">
        <v>360</v>
      </c>
      <c r="K1204" s="16" t="s">
        <v>29</v>
      </c>
      <c r="L1204" s="84"/>
      <c r="M1204" s="15"/>
      <c r="N1204" s="15" t="s">
        <v>173</v>
      </c>
      <c r="O1204" s="15"/>
      <c r="P1204" s="16" t="s">
        <v>1878</v>
      </c>
      <c r="Q1204" s="17">
        <v>9299</v>
      </c>
      <c r="R1204" s="18">
        <v>58.84</v>
      </c>
      <c r="S1204" s="19">
        <v>4401.9354999999996</v>
      </c>
      <c r="T1204" s="20" t="s">
        <v>99</v>
      </c>
      <c r="U1204" s="21" t="s">
        <v>40</v>
      </c>
      <c r="V1204" s="22" t="s">
        <v>43</v>
      </c>
      <c r="W1204" s="23">
        <v>2</v>
      </c>
      <c r="X1204" s="24"/>
    </row>
    <row r="1205" spans="1:24" s="1" customFormat="1" ht="108" customHeight="1" x14ac:dyDescent="0.3">
      <c r="A1205" s="11" t="s">
        <v>607</v>
      </c>
      <c r="B1205" s="11" t="s">
        <v>1879</v>
      </c>
      <c r="C1205" s="12" t="s">
        <v>1880</v>
      </c>
      <c r="D1205" s="13"/>
      <c r="E1205" s="67" t="str">
        <f>HYPERLINK("https://www.google.ru/search?q=814399-NV&amp;newwindow=1&amp;tbm=isch","Еще фото")</f>
        <v>Еще фото</v>
      </c>
      <c r="F1205" s="14"/>
      <c r="G1205" s="11" t="s">
        <v>446</v>
      </c>
      <c r="H1205" s="11" t="s">
        <v>27</v>
      </c>
      <c r="I1205" s="15" t="s">
        <v>447</v>
      </c>
      <c r="J1205" s="15" t="s">
        <v>360</v>
      </c>
      <c r="K1205" s="16" t="s">
        <v>29</v>
      </c>
      <c r="L1205" s="15" t="s">
        <v>1881</v>
      </c>
      <c r="M1205" s="15"/>
      <c r="N1205" s="15" t="s">
        <v>31</v>
      </c>
      <c r="O1205" s="15"/>
      <c r="P1205" s="16" t="s">
        <v>1662</v>
      </c>
      <c r="Q1205" s="17">
        <v>5899</v>
      </c>
      <c r="R1205" s="18">
        <v>45.75</v>
      </c>
      <c r="S1205" s="19">
        <v>3679.9884999999995</v>
      </c>
      <c r="T1205" s="20" t="s">
        <v>99</v>
      </c>
      <c r="U1205" s="21" t="s">
        <v>42</v>
      </c>
      <c r="V1205" s="22" t="s">
        <v>48</v>
      </c>
      <c r="W1205" s="23">
        <v>1</v>
      </c>
      <c r="X1205" s="24"/>
    </row>
    <row r="1206" spans="1:24" s="1" customFormat="1" ht="108" customHeight="1" x14ac:dyDescent="0.3">
      <c r="A1206" s="11" t="s">
        <v>607</v>
      </c>
      <c r="B1206" s="11" t="s">
        <v>1882</v>
      </c>
      <c r="C1206" s="12" t="s">
        <v>1883</v>
      </c>
      <c r="D1206" s="13"/>
      <c r="E1206" s="67" t="str">
        <f>HYPERLINK("https://www.google.ru/search?q=814399-WH&amp;newwindow=1&amp;tbm=isch","Еще фото")</f>
        <v>Еще фото</v>
      </c>
      <c r="F1206" s="14"/>
      <c r="G1206" s="11" t="s">
        <v>446</v>
      </c>
      <c r="H1206" s="11" t="s">
        <v>27</v>
      </c>
      <c r="I1206" s="15" t="s">
        <v>447</v>
      </c>
      <c r="J1206" s="15" t="s">
        <v>360</v>
      </c>
      <c r="K1206" s="16" t="s">
        <v>29</v>
      </c>
      <c r="L1206" s="15" t="s">
        <v>1881</v>
      </c>
      <c r="M1206" s="15"/>
      <c r="N1206" s="15" t="s">
        <v>173</v>
      </c>
      <c r="O1206" s="15"/>
      <c r="P1206" s="16" t="s">
        <v>1662</v>
      </c>
      <c r="Q1206" s="17">
        <v>5899</v>
      </c>
      <c r="R1206" s="18">
        <v>45.75</v>
      </c>
      <c r="S1206" s="19">
        <v>3679.9884999999995</v>
      </c>
      <c r="T1206" s="20" t="s">
        <v>99</v>
      </c>
      <c r="U1206" s="21" t="s">
        <v>40</v>
      </c>
      <c r="V1206" s="22" t="s">
        <v>43</v>
      </c>
      <c r="W1206" s="23">
        <v>1</v>
      </c>
      <c r="X1206" s="24"/>
    </row>
    <row r="1207" spans="1:24" s="1" customFormat="1" ht="108" customHeight="1" x14ac:dyDescent="0.3">
      <c r="A1207" s="11" t="s">
        <v>607</v>
      </c>
      <c r="B1207" s="11" t="s">
        <v>1884</v>
      </c>
      <c r="C1207" s="12" t="s">
        <v>1885</v>
      </c>
      <c r="D1207" s="13"/>
      <c r="E1207" s="67" t="str">
        <f>HYPERLINK("https://www.google.ru/search?q=814540-WH&amp;newwindow=1&amp;tbm=isch","Еще фото")</f>
        <v>Еще фото</v>
      </c>
      <c r="F1207" s="14"/>
      <c r="G1207" s="11" t="s">
        <v>446</v>
      </c>
      <c r="H1207" s="11" t="s">
        <v>27</v>
      </c>
      <c r="I1207" s="15" t="s">
        <v>447</v>
      </c>
      <c r="J1207" s="15" t="s">
        <v>360</v>
      </c>
      <c r="K1207" s="16" t="s">
        <v>29</v>
      </c>
      <c r="L1207" s="15" t="s">
        <v>1886</v>
      </c>
      <c r="M1207" s="15"/>
      <c r="N1207" s="15" t="s">
        <v>173</v>
      </c>
      <c r="O1207" s="15"/>
      <c r="P1207" s="16" t="s">
        <v>106</v>
      </c>
      <c r="Q1207" s="17">
        <v>3499</v>
      </c>
      <c r="R1207" s="18">
        <v>45.7</v>
      </c>
      <c r="S1207" s="19">
        <v>2184.9884999999999</v>
      </c>
      <c r="T1207" s="20" t="s">
        <v>99</v>
      </c>
      <c r="U1207" s="21" t="s">
        <v>42</v>
      </c>
      <c r="V1207" s="22" t="s">
        <v>48</v>
      </c>
      <c r="W1207" s="23">
        <v>1</v>
      </c>
      <c r="X1207" s="24"/>
    </row>
    <row r="1208" spans="1:24" s="1" customFormat="1" ht="21" customHeight="1" x14ac:dyDescent="0.3">
      <c r="A1208" s="11" t="s">
        <v>607</v>
      </c>
      <c r="B1208" s="11" t="s">
        <v>1887</v>
      </c>
      <c r="C1208" s="27" t="s">
        <v>1888</v>
      </c>
      <c r="D1208" s="85"/>
      <c r="E1208" s="67" t="str">
        <f>HYPERLINK("https://www.google.ru/search?q=814539-WH&amp;newwindow=1&amp;tbm=isch","Еще фото")</f>
        <v>Еще фото</v>
      </c>
      <c r="F1208" s="14"/>
      <c r="G1208" s="11" t="s">
        <v>446</v>
      </c>
      <c r="H1208" s="11" t="s">
        <v>27</v>
      </c>
      <c r="I1208" s="15" t="s">
        <v>447</v>
      </c>
      <c r="J1208" s="15" t="s">
        <v>360</v>
      </c>
      <c r="K1208" s="16" t="s">
        <v>29</v>
      </c>
      <c r="L1208" s="83" t="s">
        <v>1889</v>
      </c>
      <c r="M1208" s="15"/>
      <c r="N1208" s="15" t="s">
        <v>173</v>
      </c>
      <c r="O1208" s="15"/>
      <c r="P1208" s="16" t="s">
        <v>1662</v>
      </c>
      <c r="Q1208" s="17">
        <v>6599</v>
      </c>
      <c r="R1208" s="18">
        <v>45.03</v>
      </c>
      <c r="S1208" s="19">
        <v>4171.9354999999996</v>
      </c>
      <c r="T1208" s="20" t="s">
        <v>99</v>
      </c>
      <c r="U1208" s="21" t="s">
        <v>442</v>
      </c>
      <c r="V1208" s="22" t="s">
        <v>35</v>
      </c>
      <c r="W1208" s="23">
        <v>2</v>
      </c>
      <c r="X1208" s="24"/>
    </row>
    <row r="1209" spans="1:24" s="1" customFormat="1" ht="21" customHeight="1" x14ac:dyDescent="0.3">
      <c r="A1209" s="25" t="s">
        <v>607</v>
      </c>
      <c r="B1209" s="25" t="s">
        <v>1887</v>
      </c>
      <c r="C1209" s="28" t="s">
        <v>1888</v>
      </c>
      <c r="D1209" s="86"/>
      <c r="E1209" s="67" t="str">
        <f>HYPERLINK("https://www.google.ru/search?q=814539-WH&amp;newwindow=1&amp;tbm=isch","Еще фото")</f>
        <v>Еще фото</v>
      </c>
      <c r="F1209" s="14"/>
      <c r="G1209" s="25" t="s">
        <v>446</v>
      </c>
      <c r="H1209" s="25" t="s">
        <v>27</v>
      </c>
      <c r="I1209" s="25" t="s">
        <v>447</v>
      </c>
      <c r="J1209" s="15" t="s">
        <v>360</v>
      </c>
      <c r="K1209" s="16" t="s">
        <v>29</v>
      </c>
      <c r="L1209" s="88"/>
      <c r="M1209" s="15"/>
      <c r="N1209" s="15" t="s">
        <v>173</v>
      </c>
      <c r="O1209" s="15"/>
      <c r="P1209" s="16" t="s">
        <v>1662</v>
      </c>
      <c r="Q1209" s="17">
        <v>6599</v>
      </c>
      <c r="R1209" s="18">
        <v>45.03</v>
      </c>
      <c r="S1209" s="19">
        <v>4171.9354999999996</v>
      </c>
      <c r="T1209" s="20" t="s">
        <v>99</v>
      </c>
      <c r="U1209" s="21" t="s">
        <v>34</v>
      </c>
      <c r="V1209" s="22" t="s">
        <v>53</v>
      </c>
      <c r="W1209" s="23">
        <v>5</v>
      </c>
      <c r="X1209" s="24"/>
    </row>
    <row r="1210" spans="1:24" s="1" customFormat="1" ht="21" customHeight="1" x14ac:dyDescent="0.3">
      <c r="A1210" s="25" t="s">
        <v>607</v>
      </c>
      <c r="B1210" s="25" t="s">
        <v>1887</v>
      </c>
      <c r="C1210" s="28" t="s">
        <v>1888</v>
      </c>
      <c r="D1210" s="86"/>
      <c r="E1210" s="67" t="str">
        <f>HYPERLINK("https://www.google.ru/search?q=814539-WH&amp;newwindow=1&amp;tbm=isch","Еще фото")</f>
        <v>Еще фото</v>
      </c>
      <c r="F1210" s="14"/>
      <c r="G1210" s="25" t="s">
        <v>446</v>
      </c>
      <c r="H1210" s="25" t="s">
        <v>27</v>
      </c>
      <c r="I1210" s="25" t="s">
        <v>447</v>
      </c>
      <c r="J1210" s="15" t="s">
        <v>360</v>
      </c>
      <c r="K1210" s="16" t="s">
        <v>29</v>
      </c>
      <c r="L1210" s="88"/>
      <c r="M1210" s="15"/>
      <c r="N1210" s="15" t="s">
        <v>173</v>
      </c>
      <c r="O1210" s="15"/>
      <c r="P1210" s="16" t="s">
        <v>1662</v>
      </c>
      <c r="Q1210" s="17">
        <v>6599</v>
      </c>
      <c r="R1210" s="18">
        <v>45.03</v>
      </c>
      <c r="S1210" s="19">
        <v>4171.9354999999996</v>
      </c>
      <c r="T1210" s="20" t="s">
        <v>99</v>
      </c>
      <c r="U1210" s="21" t="s">
        <v>52</v>
      </c>
      <c r="V1210" s="22" t="s">
        <v>41</v>
      </c>
      <c r="W1210" s="23">
        <v>3</v>
      </c>
      <c r="X1210" s="24"/>
    </row>
    <row r="1211" spans="1:24" s="1" customFormat="1" ht="21" customHeight="1" x14ac:dyDescent="0.3">
      <c r="A1211" s="25" t="s">
        <v>607</v>
      </c>
      <c r="B1211" s="25" t="s">
        <v>1887</v>
      </c>
      <c r="C1211" s="28" t="s">
        <v>1888</v>
      </c>
      <c r="D1211" s="86"/>
      <c r="E1211" s="67" t="str">
        <f>HYPERLINK("https://www.google.ru/search?q=814539-WH&amp;newwindow=1&amp;tbm=isch","Еще фото")</f>
        <v>Еще фото</v>
      </c>
      <c r="F1211" s="14"/>
      <c r="G1211" s="25" t="s">
        <v>446</v>
      </c>
      <c r="H1211" s="25" t="s">
        <v>27</v>
      </c>
      <c r="I1211" s="25" t="s">
        <v>447</v>
      </c>
      <c r="J1211" s="15" t="s">
        <v>360</v>
      </c>
      <c r="K1211" s="16" t="s">
        <v>29</v>
      </c>
      <c r="L1211" s="88"/>
      <c r="M1211" s="15"/>
      <c r="N1211" s="15" t="s">
        <v>173</v>
      </c>
      <c r="O1211" s="15"/>
      <c r="P1211" s="16" t="s">
        <v>1662</v>
      </c>
      <c r="Q1211" s="17">
        <v>6599</v>
      </c>
      <c r="R1211" s="18">
        <v>45.03</v>
      </c>
      <c r="S1211" s="19">
        <v>4171.9354999999996</v>
      </c>
      <c r="T1211" s="20" t="s">
        <v>99</v>
      </c>
      <c r="U1211" s="21" t="s">
        <v>40</v>
      </c>
      <c r="V1211" s="22" t="s">
        <v>43</v>
      </c>
      <c r="W1211" s="23">
        <v>1</v>
      </c>
      <c r="X1211" s="24"/>
    </row>
    <row r="1212" spans="1:24" s="1" customFormat="1" ht="32" customHeight="1" x14ac:dyDescent="0.3">
      <c r="A1212" s="25" t="s">
        <v>607</v>
      </c>
      <c r="B1212" s="25" t="s">
        <v>1887</v>
      </c>
      <c r="C1212" s="28" t="s">
        <v>1888</v>
      </c>
      <c r="D1212" s="87"/>
      <c r="E1212" s="67" t="str">
        <f>HYPERLINK("https://www.google.ru/search?q=814539-WH&amp;newwindow=1&amp;tbm=isch","Еще фото")</f>
        <v>Еще фото</v>
      </c>
      <c r="F1212" s="14"/>
      <c r="G1212" s="25" t="s">
        <v>446</v>
      </c>
      <c r="H1212" s="25" t="s">
        <v>27</v>
      </c>
      <c r="I1212" s="25" t="s">
        <v>447</v>
      </c>
      <c r="J1212" s="15" t="s">
        <v>360</v>
      </c>
      <c r="K1212" s="16" t="s">
        <v>29</v>
      </c>
      <c r="L1212" s="84"/>
      <c r="M1212" s="15"/>
      <c r="N1212" s="15" t="s">
        <v>173</v>
      </c>
      <c r="O1212" s="15"/>
      <c r="P1212" s="16" t="s">
        <v>1662</v>
      </c>
      <c r="Q1212" s="17">
        <v>6599</v>
      </c>
      <c r="R1212" s="18">
        <v>45.03</v>
      </c>
      <c r="S1212" s="19">
        <v>4171.9354999999996</v>
      </c>
      <c r="T1212" s="20" t="s">
        <v>99</v>
      </c>
      <c r="U1212" s="21" t="s">
        <v>42</v>
      </c>
      <c r="V1212" s="22" t="s">
        <v>48</v>
      </c>
      <c r="W1212" s="23">
        <v>2</v>
      </c>
      <c r="X1212" s="24"/>
    </row>
    <row r="1213" spans="1:24" s="1" customFormat="1" ht="21" customHeight="1" x14ac:dyDescent="0.3">
      <c r="A1213" s="11" t="s">
        <v>607</v>
      </c>
      <c r="B1213" s="11" t="s">
        <v>1890</v>
      </c>
      <c r="C1213" s="27" t="s">
        <v>1891</v>
      </c>
      <c r="D1213" s="85"/>
      <c r="E1213" s="67" t="str">
        <f>HYPERLINK("https://www.google.ru/search?q=814295-WH&amp;newwindow=1&amp;tbm=isch","Еще фото")</f>
        <v>Еще фото</v>
      </c>
      <c r="F1213" s="14"/>
      <c r="G1213" s="11" t="s">
        <v>446</v>
      </c>
      <c r="H1213" s="11" t="s">
        <v>27</v>
      </c>
      <c r="I1213" s="15" t="s">
        <v>447</v>
      </c>
      <c r="J1213" s="15" t="s">
        <v>360</v>
      </c>
      <c r="K1213" s="16" t="s">
        <v>29</v>
      </c>
      <c r="L1213" s="83" t="s">
        <v>1892</v>
      </c>
      <c r="M1213" s="15"/>
      <c r="N1213" s="15" t="s">
        <v>173</v>
      </c>
      <c r="O1213" s="15"/>
      <c r="P1213" s="16" t="s">
        <v>1893</v>
      </c>
      <c r="Q1213" s="17">
        <v>7199</v>
      </c>
      <c r="R1213" s="18">
        <v>45.02</v>
      </c>
      <c r="S1213" s="19">
        <v>4551.4354999999996</v>
      </c>
      <c r="T1213" s="20" t="s">
        <v>99</v>
      </c>
      <c r="U1213" s="21" t="s">
        <v>442</v>
      </c>
      <c r="V1213" s="22" t="s">
        <v>35</v>
      </c>
      <c r="W1213" s="23">
        <v>3</v>
      </c>
      <c r="X1213" s="24"/>
    </row>
    <row r="1214" spans="1:24" s="1" customFormat="1" ht="21" customHeight="1" x14ac:dyDescent="0.3">
      <c r="A1214" s="25" t="s">
        <v>607</v>
      </c>
      <c r="B1214" s="25" t="s">
        <v>1890</v>
      </c>
      <c r="C1214" s="28" t="s">
        <v>1891</v>
      </c>
      <c r="D1214" s="86"/>
      <c r="E1214" s="67" t="str">
        <f>HYPERLINK("https://www.google.ru/search?q=814295-WH&amp;newwindow=1&amp;tbm=isch","Еще фото")</f>
        <v>Еще фото</v>
      </c>
      <c r="F1214" s="14"/>
      <c r="G1214" s="25" t="s">
        <v>446</v>
      </c>
      <c r="H1214" s="25" t="s">
        <v>27</v>
      </c>
      <c r="I1214" s="25" t="s">
        <v>447</v>
      </c>
      <c r="J1214" s="15" t="s">
        <v>360</v>
      </c>
      <c r="K1214" s="16" t="s">
        <v>29</v>
      </c>
      <c r="L1214" s="88"/>
      <c r="M1214" s="15"/>
      <c r="N1214" s="15" t="s">
        <v>173</v>
      </c>
      <c r="O1214" s="15"/>
      <c r="P1214" s="16" t="s">
        <v>1893</v>
      </c>
      <c r="Q1214" s="17">
        <v>7199</v>
      </c>
      <c r="R1214" s="18">
        <v>45.02</v>
      </c>
      <c r="S1214" s="19">
        <v>4551.4354999999996</v>
      </c>
      <c r="T1214" s="20" t="s">
        <v>99</v>
      </c>
      <c r="U1214" s="21" t="s">
        <v>34</v>
      </c>
      <c r="V1214" s="22" t="s">
        <v>53</v>
      </c>
      <c r="W1214" s="23">
        <v>4</v>
      </c>
      <c r="X1214" s="24"/>
    </row>
    <row r="1215" spans="1:24" s="1" customFormat="1" ht="21" customHeight="1" x14ac:dyDescent="0.3">
      <c r="A1215" s="25" t="s">
        <v>607</v>
      </c>
      <c r="B1215" s="25" t="s">
        <v>1890</v>
      </c>
      <c r="C1215" s="28" t="s">
        <v>1891</v>
      </c>
      <c r="D1215" s="86"/>
      <c r="E1215" s="67" t="str">
        <f>HYPERLINK("https://www.google.ru/search?q=814295-WH&amp;newwindow=1&amp;tbm=isch","Еще фото")</f>
        <v>Еще фото</v>
      </c>
      <c r="F1215" s="14"/>
      <c r="G1215" s="25" t="s">
        <v>446</v>
      </c>
      <c r="H1215" s="25" t="s">
        <v>27</v>
      </c>
      <c r="I1215" s="25" t="s">
        <v>447</v>
      </c>
      <c r="J1215" s="15" t="s">
        <v>360</v>
      </c>
      <c r="K1215" s="16" t="s">
        <v>29</v>
      </c>
      <c r="L1215" s="88"/>
      <c r="M1215" s="15"/>
      <c r="N1215" s="15" t="s">
        <v>173</v>
      </c>
      <c r="O1215" s="15"/>
      <c r="P1215" s="16" t="s">
        <v>1893</v>
      </c>
      <c r="Q1215" s="17">
        <v>7199</v>
      </c>
      <c r="R1215" s="18">
        <v>45.02</v>
      </c>
      <c r="S1215" s="19">
        <v>4551.4354999999996</v>
      </c>
      <c r="T1215" s="20" t="s">
        <v>99</v>
      </c>
      <c r="U1215" s="21" t="s">
        <v>52</v>
      </c>
      <c r="V1215" s="22" t="s">
        <v>41</v>
      </c>
      <c r="W1215" s="23">
        <v>6</v>
      </c>
      <c r="X1215" s="24"/>
    </row>
    <row r="1216" spans="1:24" s="1" customFormat="1" ht="21" customHeight="1" x14ac:dyDescent="0.3">
      <c r="A1216" s="25" t="s">
        <v>607</v>
      </c>
      <c r="B1216" s="25" t="s">
        <v>1890</v>
      </c>
      <c r="C1216" s="28" t="s">
        <v>1891</v>
      </c>
      <c r="D1216" s="86"/>
      <c r="E1216" s="67" t="str">
        <f>HYPERLINK("https://www.google.ru/search?q=814295-WH&amp;newwindow=1&amp;tbm=isch","Еще фото")</f>
        <v>Еще фото</v>
      </c>
      <c r="F1216" s="14"/>
      <c r="G1216" s="25" t="s">
        <v>446</v>
      </c>
      <c r="H1216" s="25" t="s">
        <v>27</v>
      </c>
      <c r="I1216" s="25" t="s">
        <v>447</v>
      </c>
      <c r="J1216" s="15" t="s">
        <v>360</v>
      </c>
      <c r="K1216" s="16" t="s">
        <v>29</v>
      </c>
      <c r="L1216" s="88"/>
      <c r="M1216" s="15"/>
      <c r="N1216" s="15" t="s">
        <v>173</v>
      </c>
      <c r="O1216" s="15"/>
      <c r="P1216" s="16" t="s">
        <v>1893</v>
      </c>
      <c r="Q1216" s="17">
        <v>7199</v>
      </c>
      <c r="R1216" s="18">
        <v>45.02</v>
      </c>
      <c r="S1216" s="19">
        <v>4551.4354999999996</v>
      </c>
      <c r="T1216" s="20" t="s">
        <v>99</v>
      </c>
      <c r="U1216" s="21" t="s">
        <v>40</v>
      </c>
      <c r="V1216" s="22" t="s">
        <v>43</v>
      </c>
      <c r="W1216" s="23">
        <v>4</v>
      </c>
      <c r="X1216" s="24"/>
    </row>
    <row r="1217" spans="1:24" s="1" customFormat="1" ht="32" customHeight="1" x14ac:dyDescent="0.3">
      <c r="A1217" s="25" t="s">
        <v>607</v>
      </c>
      <c r="B1217" s="25" t="s">
        <v>1890</v>
      </c>
      <c r="C1217" s="28" t="s">
        <v>1891</v>
      </c>
      <c r="D1217" s="87"/>
      <c r="E1217" s="67" t="str">
        <f>HYPERLINK("https://www.google.ru/search?q=814295-WH&amp;newwindow=1&amp;tbm=isch","Еще фото")</f>
        <v>Еще фото</v>
      </c>
      <c r="F1217" s="14"/>
      <c r="G1217" s="25" t="s">
        <v>446</v>
      </c>
      <c r="H1217" s="25" t="s">
        <v>27</v>
      </c>
      <c r="I1217" s="25" t="s">
        <v>447</v>
      </c>
      <c r="J1217" s="15" t="s">
        <v>360</v>
      </c>
      <c r="K1217" s="16" t="s">
        <v>29</v>
      </c>
      <c r="L1217" s="84"/>
      <c r="M1217" s="15"/>
      <c r="N1217" s="15" t="s">
        <v>173</v>
      </c>
      <c r="O1217" s="15"/>
      <c r="P1217" s="16" t="s">
        <v>1893</v>
      </c>
      <c r="Q1217" s="17">
        <v>7199</v>
      </c>
      <c r="R1217" s="18">
        <v>45.02</v>
      </c>
      <c r="S1217" s="19">
        <v>4551.4354999999996</v>
      </c>
      <c r="T1217" s="20" t="s">
        <v>99</v>
      </c>
      <c r="U1217" s="21" t="s">
        <v>42</v>
      </c>
      <c r="V1217" s="22" t="s">
        <v>48</v>
      </c>
      <c r="W1217" s="23">
        <v>2</v>
      </c>
      <c r="X1217" s="24"/>
    </row>
    <row r="1218" spans="1:24" s="1" customFormat="1" ht="21" customHeight="1" x14ac:dyDescent="0.3">
      <c r="A1218" s="11" t="s">
        <v>607</v>
      </c>
      <c r="B1218" s="11" t="s">
        <v>1894</v>
      </c>
      <c r="C1218" s="27" t="s">
        <v>1895</v>
      </c>
      <c r="D1218" s="85"/>
      <c r="E1218" s="67" t="str">
        <f>HYPERLINK("https://www.google.ru/search?q=814276-LBWH&amp;newwindow=1&amp;tbm=isch","Еще фото")</f>
        <v>Еще фото</v>
      </c>
      <c r="F1218" s="14"/>
      <c r="G1218" s="11" t="s">
        <v>459</v>
      </c>
      <c r="H1218" s="11" t="s">
        <v>27</v>
      </c>
      <c r="I1218" s="15" t="s">
        <v>447</v>
      </c>
      <c r="J1218" s="15" t="s">
        <v>360</v>
      </c>
      <c r="K1218" s="16" t="s">
        <v>29</v>
      </c>
      <c r="L1218" s="83" t="s">
        <v>1896</v>
      </c>
      <c r="M1218" s="15"/>
      <c r="N1218" s="15" t="s">
        <v>122</v>
      </c>
      <c r="O1218" s="15"/>
      <c r="P1218" s="16" t="s">
        <v>106</v>
      </c>
      <c r="Q1218" s="17">
        <v>11899</v>
      </c>
      <c r="R1218" s="18">
        <v>33</v>
      </c>
      <c r="S1218" s="19">
        <v>9168.1794999999984</v>
      </c>
      <c r="T1218" s="20" t="s">
        <v>99</v>
      </c>
      <c r="U1218" s="21" t="s">
        <v>442</v>
      </c>
      <c r="V1218" s="22" t="s">
        <v>35</v>
      </c>
      <c r="W1218" s="23">
        <v>2</v>
      </c>
      <c r="X1218" s="24"/>
    </row>
    <row r="1219" spans="1:24" s="1" customFormat="1" ht="21" customHeight="1" x14ac:dyDescent="0.3">
      <c r="A1219" s="25" t="s">
        <v>607</v>
      </c>
      <c r="B1219" s="25" t="s">
        <v>1894</v>
      </c>
      <c r="C1219" s="28" t="s">
        <v>1895</v>
      </c>
      <c r="D1219" s="86"/>
      <c r="E1219" s="67" t="str">
        <f>HYPERLINK("https://www.google.ru/search?q=814276-LBWH&amp;newwindow=1&amp;tbm=isch","Еще фото")</f>
        <v>Еще фото</v>
      </c>
      <c r="F1219" s="14"/>
      <c r="G1219" s="25" t="s">
        <v>459</v>
      </c>
      <c r="H1219" s="25" t="s">
        <v>27</v>
      </c>
      <c r="I1219" s="25" t="s">
        <v>447</v>
      </c>
      <c r="J1219" s="15" t="s">
        <v>360</v>
      </c>
      <c r="K1219" s="16" t="s">
        <v>29</v>
      </c>
      <c r="L1219" s="88"/>
      <c r="M1219" s="15"/>
      <c r="N1219" s="15" t="s">
        <v>122</v>
      </c>
      <c r="O1219" s="15"/>
      <c r="P1219" s="16" t="s">
        <v>106</v>
      </c>
      <c r="Q1219" s="17">
        <v>11899</v>
      </c>
      <c r="R1219" s="18">
        <v>33</v>
      </c>
      <c r="S1219" s="19">
        <v>9168.1794999999984</v>
      </c>
      <c r="T1219" s="20" t="s">
        <v>99</v>
      </c>
      <c r="U1219" s="21" t="s">
        <v>34</v>
      </c>
      <c r="V1219" s="22" t="s">
        <v>53</v>
      </c>
      <c r="W1219" s="23">
        <v>4</v>
      </c>
      <c r="X1219" s="24"/>
    </row>
    <row r="1220" spans="1:24" s="1" customFormat="1" ht="21" customHeight="1" x14ac:dyDescent="0.3">
      <c r="A1220" s="25" t="s">
        <v>607</v>
      </c>
      <c r="B1220" s="25" t="s">
        <v>1894</v>
      </c>
      <c r="C1220" s="28" t="s">
        <v>1895</v>
      </c>
      <c r="D1220" s="86"/>
      <c r="E1220" s="67" t="str">
        <f>HYPERLINK("https://www.google.ru/search?q=814276-LBWH&amp;newwindow=1&amp;tbm=isch","Еще фото")</f>
        <v>Еще фото</v>
      </c>
      <c r="F1220" s="14"/>
      <c r="G1220" s="25" t="s">
        <v>459</v>
      </c>
      <c r="H1220" s="25" t="s">
        <v>27</v>
      </c>
      <c r="I1220" s="25" t="s">
        <v>447</v>
      </c>
      <c r="J1220" s="15" t="s">
        <v>360</v>
      </c>
      <c r="K1220" s="16" t="s">
        <v>29</v>
      </c>
      <c r="L1220" s="88"/>
      <c r="M1220" s="15"/>
      <c r="N1220" s="15" t="s">
        <v>122</v>
      </c>
      <c r="O1220" s="15"/>
      <c r="P1220" s="16" t="s">
        <v>106</v>
      </c>
      <c r="Q1220" s="17">
        <v>11899</v>
      </c>
      <c r="R1220" s="18">
        <v>33</v>
      </c>
      <c r="S1220" s="19">
        <v>9168.1794999999984</v>
      </c>
      <c r="T1220" s="20" t="s">
        <v>99</v>
      </c>
      <c r="U1220" s="21" t="s">
        <v>52</v>
      </c>
      <c r="V1220" s="22" t="s">
        <v>41</v>
      </c>
      <c r="W1220" s="23">
        <v>6</v>
      </c>
      <c r="X1220" s="24"/>
    </row>
    <row r="1221" spans="1:24" s="1" customFormat="1" ht="21" customHeight="1" x14ac:dyDescent="0.3">
      <c r="A1221" s="25" t="s">
        <v>607</v>
      </c>
      <c r="B1221" s="25" t="s">
        <v>1894</v>
      </c>
      <c r="C1221" s="28" t="s">
        <v>1895</v>
      </c>
      <c r="D1221" s="86"/>
      <c r="E1221" s="67" t="str">
        <f>HYPERLINK("https://www.google.ru/search?q=814276-LBWH&amp;newwindow=1&amp;tbm=isch","Еще фото")</f>
        <v>Еще фото</v>
      </c>
      <c r="F1221" s="14"/>
      <c r="G1221" s="25" t="s">
        <v>459</v>
      </c>
      <c r="H1221" s="25" t="s">
        <v>27</v>
      </c>
      <c r="I1221" s="25" t="s">
        <v>447</v>
      </c>
      <c r="J1221" s="15" t="s">
        <v>360</v>
      </c>
      <c r="K1221" s="16" t="s">
        <v>29</v>
      </c>
      <c r="L1221" s="88"/>
      <c r="M1221" s="15"/>
      <c r="N1221" s="15" t="s">
        <v>122</v>
      </c>
      <c r="O1221" s="15"/>
      <c r="P1221" s="16" t="s">
        <v>106</v>
      </c>
      <c r="Q1221" s="17">
        <v>11899</v>
      </c>
      <c r="R1221" s="18">
        <v>33</v>
      </c>
      <c r="S1221" s="19">
        <v>9168.1794999999984</v>
      </c>
      <c r="T1221" s="20" t="s">
        <v>99</v>
      </c>
      <c r="U1221" s="21" t="s">
        <v>40</v>
      </c>
      <c r="V1221" s="22" t="s">
        <v>43</v>
      </c>
      <c r="W1221" s="23">
        <v>4</v>
      </c>
      <c r="X1221" s="24"/>
    </row>
    <row r="1222" spans="1:24" s="1" customFormat="1" ht="32" customHeight="1" x14ac:dyDescent="0.3">
      <c r="A1222" s="25" t="s">
        <v>607</v>
      </c>
      <c r="B1222" s="25" t="s">
        <v>1894</v>
      </c>
      <c r="C1222" s="28" t="s">
        <v>1895</v>
      </c>
      <c r="D1222" s="87"/>
      <c r="E1222" s="67" t="str">
        <f>HYPERLINK("https://www.google.ru/search?q=814276-LBWH&amp;newwindow=1&amp;tbm=isch","Еще фото")</f>
        <v>Еще фото</v>
      </c>
      <c r="F1222" s="14"/>
      <c r="G1222" s="25" t="s">
        <v>459</v>
      </c>
      <c r="H1222" s="25" t="s">
        <v>27</v>
      </c>
      <c r="I1222" s="25" t="s">
        <v>447</v>
      </c>
      <c r="J1222" s="15" t="s">
        <v>360</v>
      </c>
      <c r="K1222" s="16" t="s">
        <v>29</v>
      </c>
      <c r="L1222" s="84"/>
      <c r="M1222" s="15"/>
      <c r="N1222" s="15" t="s">
        <v>122</v>
      </c>
      <c r="O1222" s="15"/>
      <c r="P1222" s="16" t="s">
        <v>106</v>
      </c>
      <c r="Q1222" s="17">
        <v>11899</v>
      </c>
      <c r="R1222" s="18">
        <v>33</v>
      </c>
      <c r="S1222" s="19">
        <v>9168.1794999999984</v>
      </c>
      <c r="T1222" s="20" t="s">
        <v>99</v>
      </c>
      <c r="U1222" s="21" t="s">
        <v>42</v>
      </c>
      <c r="V1222" s="22" t="s">
        <v>48</v>
      </c>
      <c r="W1222" s="23">
        <v>1</v>
      </c>
      <c r="X1222" s="24"/>
    </row>
    <row r="1223" spans="1:24" s="1" customFormat="1" ht="26" customHeight="1" x14ac:dyDescent="0.3">
      <c r="A1223" s="11" t="s">
        <v>607</v>
      </c>
      <c r="B1223" s="11" t="s">
        <v>1867</v>
      </c>
      <c r="C1223" s="12" t="s">
        <v>1897</v>
      </c>
      <c r="D1223" s="85"/>
      <c r="E1223" s="67" t="str">
        <f>HYPERLINK("https://www.google.ru/search?q=814286-APLB&amp;newwindow=1&amp;tbm=isch","Еще фото")</f>
        <v>Еще фото</v>
      </c>
      <c r="F1223" s="14"/>
      <c r="G1223" s="11" t="s">
        <v>446</v>
      </c>
      <c r="H1223" s="11" t="s">
        <v>27</v>
      </c>
      <c r="I1223" s="15" t="s">
        <v>447</v>
      </c>
      <c r="J1223" s="15" t="s">
        <v>360</v>
      </c>
      <c r="K1223" s="16" t="s">
        <v>29</v>
      </c>
      <c r="L1223" s="83" t="s">
        <v>1898</v>
      </c>
      <c r="M1223" s="15"/>
      <c r="N1223" s="15" t="s">
        <v>1899</v>
      </c>
      <c r="O1223" s="15"/>
      <c r="P1223" s="16" t="s">
        <v>1900</v>
      </c>
      <c r="Q1223" s="17">
        <v>7899</v>
      </c>
      <c r="R1223" s="18">
        <v>33</v>
      </c>
      <c r="S1223" s="19">
        <v>6086.1794999999993</v>
      </c>
      <c r="T1223" s="20" t="s">
        <v>99</v>
      </c>
      <c r="U1223" s="21" t="s">
        <v>34</v>
      </c>
      <c r="V1223" s="22" t="s">
        <v>53</v>
      </c>
      <c r="W1223" s="23">
        <v>4</v>
      </c>
      <c r="X1223" s="24"/>
    </row>
    <row r="1224" spans="1:24" s="1" customFormat="1" ht="26" customHeight="1" x14ac:dyDescent="0.3">
      <c r="A1224" s="25" t="s">
        <v>607</v>
      </c>
      <c r="B1224" s="25" t="s">
        <v>1867</v>
      </c>
      <c r="C1224" s="12" t="s">
        <v>1897</v>
      </c>
      <c r="D1224" s="86"/>
      <c r="E1224" s="67" t="str">
        <f>HYPERLINK("https://www.google.ru/search?q=814286-APLB&amp;newwindow=1&amp;tbm=isch","Еще фото")</f>
        <v>Еще фото</v>
      </c>
      <c r="F1224" s="14"/>
      <c r="G1224" s="25" t="s">
        <v>446</v>
      </c>
      <c r="H1224" s="25" t="s">
        <v>27</v>
      </c>
      <c r="I1224" s="25" t="s">
        <v>447</v>
      </c>
      <c r="J1224" s="15" t="s">
        <v>360</v>
      </c>
      <c r="K1224" s="16" t="s">
        <v>29</v>
      </c>
      <c r="L1224" s="88"/>
      <c r="M1224" s="15"/>
      <c r="N1224" s="15" t="s">
        <v>1899</v>
      </c>
      <c r="O1224" s="15"/>
      <c r="P1224" s="16" t="s">
        <v>1900</v>
      </c>
      <c r="Q1224" s="17">
        <v>7899</v>
      </c>
      <c r="R1224" s="18">
        <v>33</v>
      </c>
      <c r="S1224" s="19">
        <v>6086.1794999999993</v>
      </c>
      <c r="T1224" s="20" t="s">
        <v>99</v>
      </c>
      <c r="U1224" s="21" t="s">
        <v>52</v>
      </c>
      <c r="V1224" s="22" t="s">
        <v>41</v>
      </c>
      <c r="W1224" s="23">
        <v>7</v>
      </c>
      <c r="X1224" s="24"/>
    </row>
    <row r="1225" spans="1:24" s="1" customFormat="1" ht="26" customHeight="1" x14ac:dyDescent="0.3">
      <c r="A1225" s="25" t="s">
        <v>607</v>
      </c>
      <c r="B1225" s="25" t="s">
        <v>1867</v>
      </c>
      <c r="C1225" s="12" t="s">
        <v>1897</v>
      </c>
      <c r="D1225" s="86"/>
      <c r="E1225" s="67" t="str">
        <f>HYPERLINK("https://www.google.ru/search?q=814286-APLB&amp;newwindow=1&amp;tbm=isch","Еще фото")</f>
        <v>Еще фото</v>
      </c>
      <c r="F1225" s="14"/>
      <c r="G1225" s="25" t="s">
        <v>446</v>
      </c>
      <c r="H1225" s="25" t="s">
        <v>27</v>
      </c>
      <c r="I1225" s="25" t="s">
        <v>447</v>
      </c>
      <c r="J1225" s="15" t="s">
        <v>360</v>
      </c>
      <c r="K1225" s="16" t="s">
        <v>29</v>
      </c>
      <c r="L1225" s="88"/>
      <c r="M1225" s="15"/>
      <c r="N1225" s="15" t="s">
        <v>1899</v>
      </c>
      <c r="O1225" s="15"/>
      <c r="P1225" s="16" t="s">
        <v>1900</v>
      </c>
      <c r="Q1225" s="17">
        <v>7899</v>
      </c>
      <c r="R1225" s="18">
        <v>33</v>
      </c>
      <c r="S1225" s="19">
        <v>6086.1794999999993</v>
      </c>
      <c r="T1225" s="20" t="s">
        <v>99</v>
      </c>
      <c r="U1225" s="21" t="s">
        <v>40</v>
      </c>
      <c r="V1225" s="22" t="s">
        <v>43</v>
      </c>
      <c r="W1225" s="23">
        <v>3</v>
      </c>
      <c r="X1225" s="24"/>
    </row>
    <row r="1226" spans="1:24" s="1" customFormat="1" ht="26" customHeight="1" x14ac:dyDescent="0.3">
      <c r="A1226" s="25" t="s">
        <v>607</v>
      </c>
      <c r="B1226" s="25" t="s">
        <v>1867</v>
      </c>
      <c r="C1226" s="12" t="s">
        <v>1897</v>
      </c>
      <c r="D1226" s="87"/>
      <c r="E1226" s="67" t="str">
        <f>HYPERLINK("https://www.google.ru/search?q=814286-APLB&amp;newwindow=1&amp;tbm=isch","Еще фото")</f>
        <v>Еще фото</v>
      </c>
      <c r="F1226" s="14"/>
      <c r="G1226" s="25" t="s">
        <v>446</v>
      </c>
      <c r="H1226" s="25" t="s">
        <v>27</v>
      </c>
      <c r="I1226" s="25" t="s">
        <v>447</v>
      </c>
      <c r="J1226" s="15" t="s">
        <v>360</v>
      </c>
      <c r="K1226" s="16" t="s">
        <v>29</v>
      </c>
      <c r="L1226" s="84"/>
      <c r="M1226" s="15"/>
      <c r="N1226" s="15" t="s">
        <v>1899</v>
      </c>
      <c r="O1226" s="15"/>
      <c r="P1226" s="16" t="s">
        <v>1900</v>
      </c>
      <c r="Q1226" s="17">
        <v>7899</v>
      </c>
      <c r="R1226" s="18">
        <v>33</v>
      </c>
      <c r="S1226" s="19">
        <v>6086.1794999999993</v>
      </c>
      <c r="T1226" s="20" t="s">
        <v>99</v>
      </c>
      <c r="U1226" s="21" t="s">
        <v>42</v>
      </c>
      <c r="V1226" s="22" t="s">
        <v>48</v>
      </c>
      <c r="W1226" s="23">
        <v>2</v>
      </c>
      <c r="X1226" s="24"/>
    </row>
    <row r="1227" spans="1:24" s="1" customFormat="1" ht="21" customHeight="1" x14ac:dyDescent="0.3">
      <c r="A1227" s="11" t="s">
        <v>607</v>
      </c>
      <c r="B1227" s="11" t="s">
        <v>1867</v>
      </c>
      <c r="C1227" s="27" t="s">
        <v>1901</v>
      </c>
      <c r="D1227" s="85"/>
      <c r="E1227" s="67" t="str">
        <f>HYPERLINK("https://www.google.ru/search?q=814286-LBWH&amp;newwindow=1&amp;tbm=isch","Еще фото")</f>
        <v>Еще фото</v>
      </c>
      <c r="F1227" s="14"/>
      <c r="G1227" s="11" t="s">
        <v>446</v>
      </c>
      <c r="H1227" s="11" t="s">
        <v>27</v>
      </c>
      <c r="I1227" s="15" t="s">
        <v>447</v>
      </c>
      <c r="J1227" s="15" t="s">
        <v>360</v>
      </c>
      <c r="K1227" s="16" t="s">
        <v>29</v>
      </c>
      <c r="L1227" s="83" t="s">
        <v>1898</v>
      </c>
      <c r="M1227" s="15"/>
      <c r="N1227" s="15" t="s">
        <v>1902</v>
      </c>
      <c r="O1227" s="15"/>
      <c r="P1227" s="16" t="s">
        <v>1900</v>
      </c>
      <c r="Q1227" s="17">
        <v>7899</v>
      </c>
      <c r="R1227" s="18">
        <v>33</v>
      </c>
      <c r="S1227" s="19">
        <v>6086.1794999999993</v>
      </c>
      <c r="T1227" s="20" t="s">
        <v>99</v>
      </c>
      <c r="U1227" s="21" t="s">
        <v>442</v>
      </c>
      <c r="V1227" s="22" t="s">
        <v>35</v>
      </c>
      <c r="W1227" s="23">
        <v>1</v>
      </c>
      <c r="X1227" s="24"/>
    </row>
    <row r="1228" spans="1:24" s="1" customFormat="1" ht="21" customHeight="1" x14ac:dyDescent="0.3">
      <c r="A1228" s="25" t="s">
        <v>607</v>
      </c>
      <c r="B1228" s="25" t="s">
        <v>1867</v>
      </c>
      <c r="C1228" s="28" t="s">
        <v>1901</v>
      </c>
      <c r="D1228" s="86"/>
      <c r="E1228" s="67" t="str">
        <f>HYPERLINK("https://www.google.ru/search?q=814286-LBWH&amp;newwindow=1&amp;tbm=isch","Еще фото")</f>
        <v>Еще фото</v>
      </c>
      <c r="F1228" s="14"/>
      <c r="G1228" s="25" t="s">
        <v>446</v>
      </c>
      <c r="H1228" s="25" t="s">
        <v>27</v>
      </c>
      <c r="I1228" s="25" t="s">
        <v>447</v>
      </c>
      <c r="J1228" s="15" t="s">
        <v>360</v>
      </c>
      <c r="K1228" s="16" t="s">
        <v>29</v>
      </c>
      <c r="L1228" s="88"/>
      <c r="M1228" s="15"/>
      <c r="N1228" s="15" t="s">
        <v>1902</v>
      </c>
      <c r="O1228" s="15"/>
      <c r="P1228" s="16" t="s">
        <v>1900</v>
      </c>
      <c r="Q1228" s="17">
        <v>7899</v>
      </c>
      <c r="R1228" s="18">
        <v>33</v>
      </c>
      <c r="S1228" s="19">
        <v>6086.1794999999993</v>
      </c>
      <c r="T1228" s="20" t="s">
        <v>99</v>
      </c>
      <c r="U1228" s="21" t="s">
        <v>34</v>
      </c>
      <c r="V1228" s="22" t="s">
        <v>53</v>
      </c>
      <c r="W1228" s="23">
        <v>4</v>
      </c>
      <c r="X1228" s="24"/>
    </row>
    <row r="1229" spans="1:24" s="1" customFormat="1" ht="21" customHeight="1" x14ac:dyDescent="0.3">
      <c r="A1229" s="25" t="s">
        <v>607</v>
      </c>
      <c r="B1229" s="25" t="s">
        <v>1867</v>
      </c>
      <c r="C1229" s="28" t="s">
        <v>1901</v>
      </c>
      <c r="D1229" s="86"/>
      <c r="E1229" s="67" t="str">
        <f>HYPERLINK("https://www.google.ru/search?q=814286-LBWH&amp;newwindow=1&amp;tbm=isch","Еще фото")</f>
        <v>Еще фото</v>
      </c>
      <c r="F1229" s="14"/>
      <c r="G1229" s="25" t="s">
        <v>446</v>
      </c>
      <c r="H1229" s="25" t="s">
        <v>27</v>
      </c>
      <c r="I1229" s="25" t="s">
        <v>447</v>
      </c>
      <c r="J1229" s="15" t="s">
        <v>360</v>
      </c>
      <c r="K1229" s="16" t="s">
        <v>29</v>
      </c>
      <c r="L1229" s="88"/>
      <c r="M1229" s="15"/>
      <c r="N1229" s="15" t="s">
        <v>1902</v>
      </c>
      <c r="O1229" s="15"/>
      <c r="P1229" s="16" t="s">
        <v>1900</v>
      </c>
      <c r="Q1229" s="17">
        <v>7899</v>
      </c>
      <c r="R1229" s="18">
        <v>33</v>
      </c>
      <c r="S1229" s="19">
        <v>6086.1794999999993</v>
      </c>
      <c r="T1229" s="20" t="s">
        <v>99</v>
      </c>
      <c r="U1229" s="21" t="s">
        <v>52</v>
      </c>
      <c r="V1229" s="22" t="s">
        <v>41</v>
      </c>
      <c r="W1229" s="23">
        <v>7</v>
      </c>
      <c r="X1229" s="24"/>
    </row>
    <row r="1230" spans="1:24" s="1" customFormat="1" ht="21" customHeight="1" x14ac:dyDescent="0.3">
      <c r="A1230" s="25" t="s">
        <v>607</v>
      </c>
      <c r="B1230" s="25" t="s">
        <v>1867</v>
      </c>
      <c r="C1230" s="28" t="s">
        <v>1901</v>
      </c>
      <c r="D1230" s="86"/>
      <c r="E1230" s="67" t="str">
        <f>HYPERLINK("https://www.google.ru/search?q=814286-LBWH&amp;newwindow=1&amp;tbm=isch","Еще фото")</f>
        <v>Еще фото</v>
      </c>
      <c r="F1230" s="14"/>
      <c r="G1230" s="25" t="s">
        <v>446</v>
      </c>
      <c r="H1230" s="25" t="s">
        <v>27</v>
      </c>
      <c r="I1230" s="25" t="s">
        <v>447</v>
      </c>
      <c r="J1230" s="15" t="s">
        <v>360</v>
      </c>
      <c r="K1230" s="16" t="s">
        <v>29</v>
      </c>
      <c r="L1230" s="88"/>
      <c r="M1230" s="15"/>
      <c r="N1230" s="15" t="s">
        <v>1902</v>
      </c>
      <c r="O1230" s="15"/>
      <c r="P1230" s="16" t="s">
        <v>1900</v>
      </c>
      <c r="Q1230" s="17">
        <v>7899</v>
      </c>
      <c r="R1230" s="18">
        <v>33</v>
      </c>
      <c r="S1230" s="19">
        <v>6086.1794999999993</v>
      </c>
      <c r="T1230" s="20" t="s">
        <v>99</v>
      </c>
      <c r="U1230" s="21" t="s">
        <v>40</v>
      </c>
      <c r="V1230" s="22" t="s">
        <v>43</v>
      </c>
      <c r="W1230" s="23">
        <v>2</v>
      </c>
      <c r="X1230" s="24"/>
    </row>
    <row r="1231" spans="1:24" s="1" customFormat="1" ht="32" customHeight="1" x14ac:dyDescent="0.3">
      <c r="A1231" s="25" t="s">
        <v>607</v>
      </c>
      <c r="B1231" s="25" t="s">
        <v>1867</v>
      </c>
      <c r="C1231" s="28" t="s">
        <v>1901</v>
      </c>
      <c r="D1231" s="87"/>
      <c r="E1231" s="67" t="str">
        <f>HYPERLINK("https://www.google.ru/search?q=814286-LBWH&amp;newwindow=1&amp;tbm=isch","Еще фото")</f>
        <v>Еще фото</v>
      </c>
      <c r="F1231" s="14"/>
      <c r="G1231" s="25" t="s">
        <v>446</v>
      </c>
      <c r="H1231" s="25" t="s">
        <v>27</v>
      </c>
      <c r="I1231" s="25" t="s">
        <v>447</v>
      </c>
      <c r="J1231" s="15" t="s">
        <v>360</v>
      </c>
      <c r="K1231" s="16" t="s">
        <v>29</v>
      </c>
      <c r="L1231" s="84"/>
      <c r="M1231" s="15"/>
      <c r="N1231" s="15" t="s">
        <v>1902</v>
      </c>
      <c r="O1231" s="15"/>
      <c r="P1231" s="16" t="s">
        <v>1900</v>
      </c>
      <c r="Q1231" s="17">
        <v>7899</v>
      </c>
      <c r="R1231" s="18">
        <v>33</v>
      </c>
      <c r="S1231" s="19">
        <v>6086.1794999999993</v>
      </c>
      <c r="T1231" s="20" t="s">
        <v>99</v>
      </c>
      <c r="U1231" s="21" t="s">
        <v>42</v>
      </c>
      <c r="V1231" s="22" t="s">
        <v>48</v>
      </c>
      <c r="W1231" s="23">
        <v>1</v>
      </c>
      <c r="X1231" s="24"/>
    </row>
    <row r="1232" spans="1:24" s="1" customFormat="1" ht="21" customHeight="1" x14ac:dyDescent="0.3">
      <c r="A1232" s="11" t="s">
        <v>607</v>
      </c>
      <c r="B1232" s="11" t="s">
        <v>1890</v>
      </c>
      <c r="C1232" s="27" t="s">
        <v>1903</v>
      </c>
      <c r="D1232" s="85"/>
      <c r="E1232" s="67" t="str">
        <f>HYPERLINK("https://www.google.ru/search?q=814295-AP&amp;newwindow=1&amp;tbm=isch","Еще фото")</f>
        <v>Еще фото</v>
      </c>
      <c r="F1232" s="14"/>
      <c r="G1232" s="11" t="s">
        <v>446</v>
      </c>
      <c r="H1232" s="11" t="s">
        <v>27</v>
      </c>
      <c r="I1232" s="15" t="s">
        <v>447</v>
      </c>
      <c r="J1232" s="15" t="s">
        <v>360</v>
      </c>
      <c r="K1232" s="16" t="s">
        <v>29</v>
      </c>
      <c r="L1232" s="83" t="s">
        <v>1904</v>
      </c>
      <c r="M1232" s="15"/>
      <c r="N1232" s="15" t="s">
        <v>948</v>
      </c>
      <c r="O1232" s="15"/>
      <c r="P1232" s="16" t="s">
        <v>1893</v>
      </c>
      <c r="Q1232" s="17">
        <v>7199</v>
      </c>
      <c r="R1232" s="18">
        <v>33</v>
      </c>
      <c r="S1232" s="19">
        <v>5546.8294999999998</v>
      </c>
      <c r="T1232" s="20" t="s">
        <v>99</v>
      </c>
      <c r="U1232" s="21" t="s">
        <v>442</v>
      </c>
      <c r="V1232" s="22" t="s">
        <v>35</v>
      </c>
      <c r="W1232" s="23">
        <v>1</v>
      </c>
      <c r="X1232" s="24"/>
    </row>
    <row r="1233" spans="1:24" s="1" customFormat="1" ht="21" customHeight="1" x14ac:dyDescent="0.3">
      <c r="A1233" s="25" t="s">
        <v>607</v>
      </c>
      <c r="B1233" s="25" t="s">
        <v>1890</v>
      </c>
      <c r="C1233" s="28" t="s">
        <v>1903</v>
      </c>
      <c r="D1233" s="86"/>
      <c r="E1233" s="67" t="str">
        <f>HYPERLINK("https://www.google.ru/search?q=814295-AP&amp;newwindow=1&amp;tbm=isch","Еще фото")</f>
        <v>Еще фото</v>
      </c>
      <c r="F1233" s="14"/>
      <c r="G1233" s="25" t="s">
        <v>446</v>
      </c>
      <c r="H1233" s="25" t="s">
        <v>27</v>
      </c>
      <c r="I1233" s="25" t="s">
        <v>447</v>
      </c>
      <c r="J1233" s="15" t="s">
        <v>360</v>
      </c>
      <c r="K1233" s="16" t="s">
        <v>29</v>
      </c>
      <c r="L1233" s="88"/>
      <c r="M1233" s="15"/>
      <c r="N1233" s="15" t="s">
        <v>948</v>
      </c>
      <c r="O1233" s="15"/>
      <c r="P1233" s="16" t="s">
        <v>1893</v>
      </c>
      <c r="Q1233" s="17">
        <v>7199</v>
      </c>
      <c r="R1233" s="18">
        <v>33</v>
      </c>
      <c r="S1233" s="19">
        <v>5546.8294999999998</v>
      </c>
      <c r="T1233" s="20" t="s">
        <v>99</v>
      </c>
      <c r="U1233" s="21" t="s">
        <v>34</v>
      </c>
      <c r="V1233" s="22" t="s">
        <v>53</v>
      </c>
      <c r="W1233" s="23">
        <v>4</v>
      </c>
      <c r="X1233" s="24"/>
    </row>
    <row r="1234" spans="1:24" s="1" customFormat="1" ht="21" customHeight="1" x14ac:dyDescent="0.3">
      <c r="A1234" s="25" t="s">
        <v>607</v>
      </c>
      <c r="B1234" s="25" t="s">
        <v>1890</v>
      </c>
      <c r="C1234" s="28" t="s">
        <v>1903</v>
      </c>
      <c r="D1234" s="86"/>
      <c r="E1234" s="67" t="str">
        <f>HYPERLINK("https://www.google.ru/search?q=814295-AP&amp;newwindow=1&amp;tbm=isch","Еще фото")</f>
        <v>Еще фото</v>
      </c>
      <c r="F1234" s="14"/>
      <c r="G1234" s="25" t="s">
        <v>446</v>
      </c>
      <c r="H1234" s="25" t="s">
        <v>27</v>
      </c>
      <c r="I1234" s="25" t="s">
        <v>447</v>
      </c>
      <c r="J1234" s="15" t="s">
        <v>360</v>
      </c>
      <c r="K1234" s="16" t="s">
        <v>29</v>
      </c>
      <c r="L1234" s="88"/>
      <c r="M1234" s="15"/>
      <c r="N1234" s="15" t="s">
        <v>948</v>
      </c>
      <c r="O1234" s="15"/>
      <c r="P1234" s="16" t="s">
        <v>1893</v>
      </c>
      <c r="Q1234" s="17">
        <v>7199</v>
      </c>
      <c r="R1234" s="18">
        <v>33</v>
      </c>
      <c r="S1234" s="19">
        <v>5546.8294999999998</v>
      </c>
      <c r="T1234" s="20" t="s">
        <v>99</v>
      </c>
      <c r="U1234" s="21" t="s">
        <v>52</v>
      </c>
      <c r="V1234" s="22" t="s">
        <v>41</v>
      </c>
      <c r="W1234" s="23">
        <v>7</v>
      </c>
      <c r="X1234" s="24"/>
    </row>
    <row r="1235" spans="1:24" s="1" customFormat="1" ht="21" customHeight="1" x14ac:dyDescent="0.3">
      <c r="A1235" s="25" t="s">
        <v>607</v>
      </c>
      <c r="B1235" s="25" t="s">
        <v>1890</v>
      </c>
      <c r="C1235" s="28" t="s">
        <v>1903</v>
      </c>
      <c r="D1235" s="86"/>
      <c r="E1235" s="67" t="str">
        <f>HYPERLINK("https://www.google.ru/search?q=814295-AP&amp;newwindow=1&amp;tbm=isch","Еще фото")</f>
        <v>Еще фото</v>
      </c>
      <c r="F1235" s="14"/>
      <c r="G1235" s="25" t="s">
        <v>446</v>
      </c>
      <c r="H1235" s="25" t="s">
        <v>27</v>
      </c>
      <c r="I1235" s="25" t="s">
        <v>447</v>
      </c>
      <c r="J1235" s="15" t="s">
        <v>360</v>
      </c>
      <c r="K1235" s="16" t="s">
        <v>29</v>
      </c>
      <c r="L1235" s="88"/>
      <c r="M1235" s="15"/>
      <c r="N1235" s="15" t="s">
        <v>948</v>
      </c>
      <c r="O1235" s="15"/>
      <c r="P1235" s="16" t="s">
        <v>1893</v>
      </c>
      <c r="Q1235" s="17">
        <v>7199</v>
      </c>
      <c r="R1235" s="18">
        <v>33</v>
      </c>
      <c r="S1235" s="19">
        <v>5546.8294999999998</v>
      </c>
      <c r="T1235" s="20" t="s">
        <v>99</v>
      </c>
      <c r="U1235" s="21" t="s">
        <v>40</v>
      </c>
      <c r="V1235" s="22" t="s">
        <v>43</v>
      </c>
      <c r="W1235" s="23">
        <v>4</v>
      </c>
      <c r="X1235" s="24"/>
    </row>
    <row r="1236" spans="1:24" s="1" customFormat="1" ht="32" customHeight="1" x14ac:dyDescent="0.3">
      <c r="A1236" s="25" t="s">
        <v>607</v>
      </c>
      <c r="B1236" s="25" t="s">
        <v>1890</v>
      </c>
      <c r="C1236" s="28" t="s">
        <v>1903</v>
      </c>
      <c r="D1236" s="87"/>
      <c r="E1236" s="67" t="str">
        <f>HYPERLINK("https://www.google.ru/search?q=814295-AP&amp;newwindow=1&amp;tbm=isch","Еще фото")</f>
        <v>Еще фото</v>
      </c>
      <c r="F1236" s="14"/>
      <c r="G1236" s="25" t="s">
        <v>446</v>
      </c>
      <c r="H1236" s="25" t="s">
        <v>27</v>
      </c>
      <c r="I1236" s="25" t="s">
        <v>447</v>
      </c>
      <c r="J1236" s="15" t="s">
        <v>360</v>
      </c>
      <c r="K1236" s="16" t="s">
        <v>29</v>
      </c>
      <c r="L1236" s="84"/>
      <c r="M1236" s="15"/>
      <c r="N1236" s="15" t="s">
        <v>948</v>
      </c>
      <c r="O1236" s="15"/>
      <c r="P1236" s="16" t="s">
        <v>1893</v>
      </c>
      <c r="Q1236" s="17">
        <v>7199</v>
      </c>
      <c r="R1236" s="18">
        <v>33</v>
      </c>
      <c r="S1236" s="19">
        <v>5546.8294999999998</v>
      </c>
      <c r="T1236" s="20" t="s">
        <v>99</v>
      </c>
      <c r="U1236" s="21" t="s">
        <v>42</v>
      </c>
      <c r="V1236" s="22" t="s">
        <v>48</v>
      </c>
      <c r="W1236" s="23">
        <v>2</v>
      </c>
      <c r="X1236" s="24"/>
    </row>
    <row r="1237" spans="1:24" s="1" customFormat="1" ht="21" customHeight="1" x14ac:dyDescent="0.3">
      <c r="A1237" s="11" t="s">
        <v>607</v>
      </c>
      <c r="B1237" s="11" t="s">
        <v>1890</v>
      </c>
      <c r="C1237" s="27" t="s">
        <v>1905</v>
      </c>
      <c r="D1237" s="85"/>
      <c r="E1237" s="67" t="str">
        <f>HYPERLINK("https://www.google.ru/search?q=814295-LB&amp;newwindow=1&amp;tbm=isch","Еще фото")</f>
        <v>Еще фото</v>
      </c>
      <c r="F1237" s="14"/>
      <c r="G1237" s="11" t="s">
        <v>446</v>
      </c>
      <c r="H1237" s="11" t="s">
        <v>27</v>
      </c>
      <c r="I1237" s="15" t="s">
        <v>447</v>
      </c>
      <c r="J1237" s="15" t="s">
        <v>360</v>
      </c>
      <c r="K1237" s="16" t="s">
        <v>29</v>
      </c>
      <c r="L1237" s="83" t="s">
        <v>1904</v>
      </c>
      <c r="M1237" s="15"/>
      <c r="N1237" s="15" t="s">
        <v>122</v>
      </c>
      <c r="O1237" s="15"/>
      <c r="P1237" s="16" t="s">
        <v>1893</v>
      </c>
      <c r="Q1237" s="17">
        <v>7199</v>
      </c>
      <c r="R1237" s="18">
        <v>33</v>
      </c>
      <c r="S1237" s="19">
        <v>5546.8294999999998</v>
      </c>
      <c r="T1237" s="20" t="s">
        <v>99</v>
      </c>
      <c r="U1237" s="21" t="s">
        <v>442</v>
      </c>
      <c r="V1237" s="22" t="s">
        <v>35</v>
      </c>
      <c r="W1237" s="23">
        <v>1</v>
      </c>
      <c r="X1237" s="24"/>
    </row>
    <row r="1238" spans="1:24" s="1" customFormat="1" ht="21" customHeight="1" x14ac:dyDescent="0.3">
      <c r="A1238" s="25" t="s">
        <v>607</v>
      </c>
      <c r="B1238" s="25" t="s">
        <v>1890</v>
      </c>
      <c r="C1238" s="28" t="s">
        <v>1905</v>
      </c>
      <c r="D1238" s="86"/>
      <c r="E1238" s="67" t="str">
        <f>HYPERLINK("https://www.google.ru/search?q=814295-LB&amp;newwindow=1&amp;tbm=isch","Еще фото")</f>
        <v>Еще фото</v>
      </c>
      <c r="F1238" s="14"/>
      <c r="G1238" s="25" t="s">
        <v>446</v>
      </c>
      <c r="H1238" s="25" t="s">
        <v>27</v>
      </c>
      <c r="I1238" s="25" t="s">
        <v>447</v>
      </c>
      <c r="J1238" s="15" t="s">
        <v>360</v>
      </c>
      <c r="K1238" s="16" t="s">
        <v>29</v>
      </c>
      <c r="L1238" s="88"/>
      <c r="M1238" s="15"/>
      <c r="N1238" s="15" t="s">
        <v>122</v>
      </c>
      <c r="O1238" s="15"/>
      <c r="P1238" s="16" t="s">
        <v>1893</v>
      </c>
      <c r="Q1238" s="17">
        <v>7199</v>
      </c>
      <c r="R1238" s="18">
        <v>33</v>
      </c>
      <c r="S1238" s="19">
        <v>5546.8294999999998</v>
      </c>
      <c r="T1238" s="20" t="s">
        <v>99</v>
      </c>
      <c r="U1238" s="21" t="s">
        <v>34</v>
      </c>
      <c r="V1238" s="22" t="s">
        <v>53</v>
      </c>
      <c r="W1238" s="23">
        <v>4</v>
      </c>
      <c r="X1238" s="24"/>
    </row>
    <row r="1239" spans="1:24" s="1" customFormat="1" ht="21" customHeight="1" x14ac:dyDescent="0.3">
      <c r="A1239" s="25" t="s">
        <v>607</v>
      </c>
      <c r="B1239" s="25" t="s">
        <v>1890</v>
      </c>
      <c r="C1239" s="28" t="s">
        <v>1905</v>
      </c>
      <c r="D1239" s="86"/>
      <c r="E1239" s="67" t="str">
        <f>HYPERLINK("https://www.google.ru/search?q=814295-LB&amp;newwindow=1&amp;tbm=isch","Еще фото")</f>
        <v>Еще фото</v>
      </c>
      <c r="F1239" s="14"/>
      <c r="G1239" s="25" t="s">
        <v>446</v>
      </c>
      <c r="H1239" s="25" t="s">
        <v>27</v>
      </c>
      <c r="I1239" s="25" t="s">
        <v>447</v>
      </c>
      <c r="J1239" s="15" t="s">
        <v>360</v>
      </c>
      <c r="K1239" s="16" t="s">
        <v>29</v>
      </c>
      <c r="L1239" s="88"/>
      <c r="M1239" s="15"/>
      <c r="N1239" s="15" t="s">
        <v>122</v>
      </c>
      <c r="O1239" s="15"/>
      <c r="P1239" s="16" t="s">
        <v>1893</v>
      </c>
      <c r="Q1239" s="17">
        <v>7199</v>
      </c>
      <c r="R1239" s="18">
        <v>33</v>
      </c>
      <c r="S1239" s="19">
        <v>5546.8294999999998</v>
      </c>
      <c r="T1239" s="20" t="s">
        <v>99</v>
      </c>
      <c r="U1239" s="21" t="s">
        <v>52</v>
      </c>
      <c r="V1239" s="22" t="s">
        <v>41</v>
      </c>
      <c r="W1239" s="23">
        <v>6</v>
      </c>
      <c r="X1239" s="24"/>
    </row>
    <row r="1240" spans="1:24" s="1" customFormat="1" ht="21" customHeight="1" x14ac:dyDescent="0.3">
      <c r="A1240" s="25" t="s">
        <v>607</v>
      </c>
      <c r="B1240" s="25" t="s">
        <v>1890</v>
      </c>
      <c r="C1240" s="28" t="s">
        <v>1905</v>
      </c>
      <c r="D1240" s="86"/>
      <c r="E1240" s="67" t="str">
        <f>HYPERLINK("https://www.google.ru/search?q=814295-LB&amp;newwindow=1&amp;tbm=isch","Еще фото")</f>
        <v>Еще фото</v>
      </c>
      <c r="F1240" s="14"/>
      <c r="G1240" s="25" t="s">
        <v>446</v>
      </c>
      <c r="H1240" s="25" t="s">
        <v>27</v>
      </c>
      <c r="I1240" s="25" t="s">
        <v>447</v>
      </c>
      <c r="J1240" s="15" t="s">
        <v>360</v>
      </c>
      <c r="K1240" s="16" t="s">
        <v>29</v>
      </c>
      <c r="L1240" s="88"/>
      <c r="M1240" s="15"/>
      <c r="N1240" s="15" t="s">
        <v>122</v>
      </c>
      <c r="O1240" s="15"/>
      <c r="P1240" s="16" t="s">
        <v>1893</v>
      </c>
      <c r="Q1240" s="17">
        <v>7199</v>
      </c>
      <c r="R1240" s="18">
        <v>33</v>
      </c>
      <c r="S1240" s="19">
        <v>5546.8294999999998</v>
      </c>
      <c r="T1240" s="20" t="s">
        <v>99</v>
      </c>
      <c r="U1240" s="21" t="s">
        <v>40</v>
      </c>
      <c r="V1240" s="22" t="s">
        <v>43</v>
      </c>
      <c r="W1240" s="23">
        <v>4</v>
      </c>
      <c r="X1240" s="24"/>
    </row>
    <row r="1241" spans="1:24" s="1" customFormat="1" ht="32" customHeight="1" x14ac:dyDescent="0.3">
      <c r="A1241" s="25" t="s">
        <v>607</v>
      </c>
      <c r="B1241" s="25" t="s">
        <v>1890</v>
      </c>
      <c r="C1241" s="28" t="s">
        <v>1905</v>
      </c>
      <c r="D1241" s="87"/>
      <c r="E1241" s="67" t="str">
        <f>HYPERLINK("https://www.google.ru/search?q=814295-LB&amp;newwindow=1&amp;tbm=isch","Еще фото")</f>
        <v>Еще фото</v>
      </c>
      <c r="F1241" s="14"/>
      <c r="G1241" s="25" t="s">
        <v>446</v>
      </c>
      <c r="H1241" s="25" t="s">
        <v>27</v>
      </c>
      <c r="I1241" s="25" t="s">
        <v>447</v>
      </c>
      <c r="J1241" s="15" t="s">
        <v>360</v>
      </c>
      <c r="K1241" s="16" t="s">
        <v>29</v>
      </c>
      <c r="L1241" s="84"/>
      <c r="M1241" s="15"/>
      <c r="N1241" s="15" t="s">
        <v>122</v>
      </c>
      <c r="O1241" s="15"/>
      <c r="P1241" s="16" t="s">
        <v>1893</v>
      </c>
      <c r="Q1241" s="17">
        <v>7199</v>
      </c>
      <c r="R1241" s="18">
        <v>33</v>
      </c>
      <c r="S1241" s="19">
        <v>5546.8294999999998</v>
      </c>
      <c r="T1241" s="20" t="s">
        <v>99</v>
      </c>
      <c r="U1241" s="21" t="s">
        <v>42</v>
      </c>
      <c r="V1241" s="22" t="s">
        <v>48</v>
      </c>
      <c r="W1241" s="23">
        <v>1</v>
      </c>
      <c r="X1241" s="24"/>
    </row>
    <row r="1242" spans="1:24" s="1" customFormat="1" ht="21" customHeight="1" x14ac:dyDescent="0.3">
      <c r="A1242" s="11" t="s">
        <v>607</v>
      </c>
      <c r="B1242" s="11" t="s">
        <v>1906</v>
      </c>
      <c r="C1242" s="27" t="s">
        <v>1907</v>
      </c>
      <c r="D1242" s="85"/>
      <c r="E1242" s="67" t="str">
        <f>HYPERLINK("https://www.google.ru/search?q=814526-AP&amp;newwindow=1&amp;tbm=isch","Еще фото")</f>
        <v>Еще фото</v>
      </c>
      <c r="F1242" s="14"/>
      <c r="G1242" s="11" t="s">
        <v>446</v>
      </c>
      <c r="H1242" s="11" t="s">
        <v>27</v>
      </c>
      <c r="I1242" s="15" t="s">
        <v>447</v>
      </c>
      <c r="J1242" s="15" t="s">
        <v>360</v>
      </c>
      <c r="K1242" s="16" t="s">
        <v>29</v>
      </c>
      <c r="L1242" s="83" t="s">
        <v>1908</v>
      </c>
      <c r="M1242" s="15"/>
      <c r="N1242" s="15" t="s">
        <v>225</v>
      </c>
      <c r="O1242" s="15"/>
      <c r="P1242" s="16" t="s">
        <v>106</v>
      </c>
      <c r="Q1242" s="17">
        <v>8599</v>
      </c>
      <c r="R1242" s="18">
        <v>33</v>
      </c>
      <c r="S1242" s="19">
        <v>6625.5294999999996</v>
      </c>
      <c r="T1242" s="20" t="s">
        <v>99</v>
      </c>
      <c r="U1242" s="21" t="s">
        <v>1909</v>
      </c>
      <c r="V1242" s="22" t="s">
        <v>1910</v>
      </c>
      <c r="W1242" s="23">
        <v>1</v>
      </c>
      <c r="X1242" s="24"/>
    </row>
    <row r="1243" spans="1:24" s="1" customFormat="1" ht="21" customHeight="1" x14ac:dyDescent="0.3">
      <c r="A1243" s="25" t="s">
        <v>607</v>
      </c>
      <c r="B1243" s="25" t="s">
        <v>1906</v>
      </c>
      <c r="C1243" s="28" t="s">
        <v>1907</v>
      </c>
      <c r="D1243" s="86"/>
      <c r="E1243" s="67" t="str">
        <f>HYPERLINK("https://www.google.ru/search?q=814526-AP&amp;newwindow=1&amp;tbm=isch","Еще фото")</f>
        <v>Еще фото</v>
      </c>
      <c r="F1243" s="14"/>
      <c r="G1243" s="25" t="s">
        <v>446</v>
      </c>
      <c r="H1243" s="25" t="s">
        <v>27</v>
      </c>
      <c r="I1243" s="25" t="s">
        <v>447</v>
      </c>
      <c r="J1243" s="15" t="s">
        <v>360</v>
      </c>
      <c r="K1243" s="16" t="s">
        <v>29</v>
      </c>
      <c r="L1243" s="88"/>
      <c r="M1243" s="15"/>
      <c r="N1243" s="15" t="s">
        <v>225</v>
      </c>
      <c r="O1243" s="15"/>
      <c r="P1243" s="16" t="s">
        <v>106</v>
      </c>
      <c r="Q1243" s="17">
        <v>8599</v>
      </c>
      <c r="R1243" s="18">
        <v>33</v>
      </c>
      <c r="S1243" s="19">
        <v>6625.5294999999996</v>
      </c>
      <c r="T1243" s="20" t="s">
        <v>99</v>
      </c>
      <c r="U1243" s="21" t="s">
        <v>442</v>
      </c>
      <c r="V1243" s="22" t="s">
        <v>35</v>
      </c>
      <c r="W1243" s="23">
        <v>5</v>
      </c>
      <c r="X1243" s="24"/>
    </row>
    <row r="1244" spans="1:24" s="1" customFormat="1" ht="21" customHeight="1" x14ac:dyDescent="0.3">
      <c r="A1244" s="25" t="s">
        <v>607</v>
      </c>
      <c r="B1244" s="25" t="s">
        <v>1906</v>
      </c>
      <c r="C1244" s="28" t="s">
        <v>1907</v>
      </c>
      <c r="D1244" s="86"/>
      <c r="E1244" s="67" t="str">
        <f>HYPERLINK("https://www.google.ru/search?q=814526-AP&amp;newwindow=1&amp;tbm=isch","Еще фото")</f>
        <v>Еще фото</v>
      </c>
      <c r="F1244" s="14"/>
      <c r="G1244" s="25" t="s">
        <v>446</v>
      </c>
      <c r="H1244" s="25" t="s">
        <v>27</v>
      </c>
      <c r="I1244" s="25" t="s">
        <v>447</v>
      </c>
      <c r="J1244" s="15" t="s">
        <v>360</v>
      </c>
      <c r="K1244" s="16" t="s">
        <v>29</v>
      </c>
      <c r="L1244" s="88"/>
      <c r="M1244" s="15"/>
      <c r="N1244" s="15" t="s">
        <v>225</v>
      </c>
      <c r="O1244" s="15"/>
      <c r="P1244" s="16" t="s">
        <v>106</v>
      </c>
      <c r="Q1244" s="17">
        <v>8599</v>
      </c>
      <c r="R1244" s="18">
        <v>33</v>
      </c>
      <c r="S1244" s="19">
        <v>6625.5294999999996</v>
      </c>
      <c r="T1244" s="20" t="s">
        <v>99</v>
      </c>
      <c r="U1244" s="21" t="s">
        <v>34</v>
      </c>
      <c r="V1244" s="22" t="s">
        <v>53</v>
      </c>
      <c r="W1244" s="23">
        <v>7</v>
      </c>
      <c r="X1244" s="24"/>
    </row>
    <row r="1245" spans="1:24" s="1" customFormat="1" ht="21" customHeight="1" x14ac:dyDescent="0.3">
      <c r="A1245" s="25" t="s">
        <v>607</v>
      </c>
      <c r="B1245" s="25" t="s">
        <v>1906</v>
      </c>
      <c r="C1245" s="28" t="s">
        <v>1907</v>
      </c>
      <c r="D1245" s="86"/>
      <c r="E1245" s="67" t="str">
        <f>HYPERLINK("https://www.google.ru/search?q=814526-AP&amp;newwindow=1&amp;tbm=isch","Еще фото")</f>
        <v>Еще фото</v>
      </c>
      <c r="F1245" s="14"/>
      <c r="G1245" s="25" t="s">
        <v>446</v>
      </c>
      <c r="H1245" s="25" t="s">
        <v>27</v>
      </c>
      <c r="I1245" s="25" t="s">
        <v>447</v>
      </c>
      <c r="J1245" s="15" t="s">
        <v>360</v>
      </c>
      <c r="K1245" s="16" t="s">
        <v>29</v>
      </c>
      <c r="L1245" s="88"/>
      <c r="M1245" s="15"/>
      <c r="N1245" s="15" t="s">
        <v>225</v>
      </c>
      <c r="O1245" s="15"/>
      <c r="P1245" s="16" t="s">
        <v>106</v>
      </c>
      <c r="Q1245" s="17">
        <v>8599</v>
      </c>
      <c r="R1245" s="18">
        <v>33</v>
      </c>
      <c r="S1245" s="19">
        <v>6625.5294999999996</v>
      </c>
      <c r="T1245" s="20" t="s">
        <v>99</v>
      </c>
      <c r="U1245" s="21" t="s">
        <v>52</v>
      </c>
      <c r="V1245" s="22" t="s">
        <v>41</v>
      </c>
      <c r="W1245" s="23">
        <v>4</v>
      </c>
      <c r="X1245" s="24"/>
    </row>
    <row r="1246" spans="1:24" s="1" customFormat="1" ht="32" customHeight="1" x14ac:dyDescent="0.3">
      <c r="A1246" s="25" t="s">
        <v>607</v>
      </c>
      <c r="B1246" s="25" t="s">
        <v>1906</v>
      </c>
      <c r="C1246" s="28" t="s">
        <v>1907</v>
      </c>
      <c r="D1246" s="87"/>
      <c r="E1246" s="67" t="str">
        <f>HYPERLINK("https://www.google.ru/search?q=814526-AP&amp;newwindow=1&amp;tbm=isch","Еще фото")</f>
        <v>Еще фото</v>
      </c>
      <c r="F1246" s="14"/>
      <c r="G1246" s="25" t="s">
        <v>446</v>
      </c>
      <c r="H1246" s="25" t="s">
        <v>27</v>
      </c>
      <c r="I1246" s="25" t="s">
        <v>447</v>
      </c>
      <c r="J1246" s="15" t="s">
        <v>360</v>
      </c>
      <c r="K1246" s="16" t="s">
        <v>29</v>
      </c>
      <c r="L1246" s="84"/>
      <c r="M1246" s="15"/>
      <c r="N1246" s="15" t="s">
        <v>225</v>
      </c>
      <c r="O1246" s="15"/>
      <c r="P1246" s="16" t="s">
        <v>106</v>
      </c>
      <c r="Q1246" s="17">
        <v>8599</v>
      </c>
      <c r="R1246" s="18">
        <v>33</v>
      </c>
      <c r="S1246" s="19">
        <v>6625.5294999999996</v>
      </c>
      <c r="T1246" s="20" t="s">
        <v>99</v>
      </c>
      <c r="U1246" s="21" t="s">
        <v>40</v>
      </c>
      <c r="V1246" s="22" t="s">
        <v>43</v>
      </c>
      <c r="W1246" s="23">
        <v>2</v>
      </c>
      <c r="X1246" s="24"/>
    </row>
    <row r="1247" spans="1:24" s="1" customFormat="1" ht="108" customHeight="1" x14ac:dyDescent="0.3">
      <c r="A1247" s="11" t="s">
        <v>607</v>
      </c>
      <c r="B1247" s="11" t="s">
        <v>1911</v>
      </c>
      <c r="C1247" s="12" t="s">
        <v>1912</v>
      </c>
      <c r="D1247" s="13"/>
      <c r="E1247" s="67" t="str">
        <f>HYPERLINK("https://www.google.ru/search?q=814035-NV&amp;newwindow=1&amp;tbm=isch","Еще фото")</f>
        <v>Еще фото</v>
      </c>
      <c r="F1247" s="14"/>
      <c r="G1247" s="11" t="s">
        <v>446</v>
      </c>
      <c r="H1247" s="11" t="s">
        <v>27</v>
      </c>
      <c r="I1247" s="15" t="s">
        <v>447</v>
      </c>
      <c r="J1247" s="15" t="s">
        <v>360</v>
      </c>
      <c r="K1247" s="16" t="s">
        <v>29</v>
      </c>
      <c r="L1247" s="15" t="s">
        <v>1913</v>
      </c>
      <c r="M1247" s="15"/>
      <c r="N1247" s="15" t="s">
        <v>31</v>
      </c>
      <c r="O1247" s="15"/>
      <c r="P1247" s="16" t="s">
        <v>106</v>
      </c>
      <c r="Q1247" s="17">
        <v>8499</v>
      </c>
      <c r="R1247" s="18">
        <v>30</v>
      </c>
      <c r="S1247" s="19">
        <v>6841.6949999999997</v>
      </c>
      <c r="T1247" s="20" t="s">
        <v>99</v>
      </c>
      <c r="U1247" s="21" t="s">
        <v>52</v>
      </c>
      <c r="V1247" s="22" t="s">
        <v>41</v>
      </c>
      <c r="W1247" s="23">
        <v>2</v>
      </c>
      <c r="X1247" s="24"/>
    </row>
    <row r="1248" spans="1:24" s="1" customFormat="1" ht="21" customHeight="1" x14ac:dyDescent="0.3">
      <c r="A1248" s="11" t="s">
        <v>607</v>
      </c>
      <c r="B1248" s="11" t="s">
        <v>1906</v>
      </c>
      <c r="C1248" s="27" t="s">
        <v>1914</v>
      </c>
      <c r="D1248" s="85"/>
      <c r="E1248" s="67" t="str">
        <f>HYPERLINK("https://www.google.ru/search?q=814526-WH&amp;newwindow=1&amp;tbm=isch","Еще фото")</f>
        <v>Еще фото</v>
      </c>
      <c r="F1248" s="14"/>
      <c r="G1248" s="11" t="s">
        <v>446</v>
      </c>
      <c r="H1248" s="11" t="s">
        <v>27</v>
      </c>
      <c r="I1248" s="15" t="s">
        <v>447</v>
      </c>
      <c r="J1248" s="15" t="s">
        <v>360</v>
      </c>
      <c r="K1248" s="16" t="s">
        <v>29</v>
      </c>
      <c r="L1248" s="83" t="s">
        <v>1908</v>
      </c>
      <c r="M1248" s="15"/>
      <c r="N1248" s="15" t="s">
        <v>173</v>
      </c>
      <c r="O1248" s="15"/>
      <c r="P1248" s="16" t="s">
        <v>106</v>
      </c>
      <c r="Q1248" s="17">
        <v>7199</v>
      </c>
      <c r="R1248" s="18">
        <v>30</v>
      </c>
      <c r="S1248" s="19">
        <v>5795.1949999999997</v>
      </c>
      <c r="T1248" s="20" t="s">
        <v>99</v>
      </c>
      <c r="U1248" s="21" t="s">
        <v>1909</v>
      </c>
      <c r="V1248" s="22" t="s">
        <v>1910</v>
      </c>
      <c r="W1248" s="23">
        <v>1</v>
      </c>
      <c r="X1248" s="24"/>
    </row>
    <row r="1249" spans="1:24" s="1" customFormat="1" ht="21" customHeight="1" x14ac:dyDescent="0.3">
      <c r="A1249" s="25" t="s">
        <v>607</v>
      </c>
      <c r="B1249" s="25" t="s">
        <v>1906</v>
      </c>
      <c r="C1249" s="28" t="s">
        <v>1914</v>
      </c>
      <c r="D1249" s="86"/>
      <c r="E1249" s="67" t="str">
        <f>HYPERLINK("https://www.google.ru/search?q=814526-WH&amp;newwindow=1&amp;tbm=isch","Еще фото")</f>
        <v>Еще фото</v>
      </c>
      <c r="F1249" s="14"/>
      <c r="G1249" s="25" t="s">
        <v>446</v>
      </c>
      <c r="H1249" s="25" t="s">
        <v>27</v>
      </c>
      <c r="I1249" s="25" t="s">
        <v>447</v>
      </c>
      <c r="J1249" s="15" t="s">
        <v>360</v>
      </c>
      <c r="K1249" s="16" t="s">
        <v>29</v>
      </c>
      <c r="L1249" s="88"/>
      <c r="M1249" s="15"/>
      <c r="N1249" s="15" t="s">
        <v>173</v>
      </c>
      <c r="O1249" s="15"/>
      <c r="P1249" s="16" t="s">
        <v>106</v>
      </c>
      <c r="Q1249" s="17">
        <v>7199</v>
      </c>
      <c r="R1249" s="18">
        <v>30</v>
      </c>
      <c r="S1249" s="19">
        <v>5795.1949999999997</v>
      </c>
      <c r="T1249" s="20" t="s">
        <v>99</v>
      </c>
      <c r="U1249" s="21" t="s">
        <v>442</v>
      </c>
      <c r="V1249" s="22" t="s">
        <v>35</v>
      </c>
      <c r="W1249" s="23">
        <v>4</v>
      </c>
      <c r="X1249" s="24"/>
    </row>
    <row r="1250" spans="1:24" s="1" customFormat="1" ht="21" customHeight="1" x14ac:dyDescent="0.3">
      <c r="A1250" s="25" t="s">
        <v>607</v>
      </c>
      <c r="B1250" s="25" t="s">
        <v>1906</v>
      </c>
      <c r="C1250" s="28" t="s">
        <v>1914</v>
      </c>
      <c r="D1250" s="86"/>
      <c r="E1250" s="67" t="str">
        <f>HYPERLINK("https://www.google.ru/search?q=814526-WH&amp;newwindow=1&amp;tbm=isch","Еще фото")</f>
        <v>Еще фото</v>
      </c>
      <c r="F1250" s="14"/>
      <c r="G1250" s="25" t="s">
        <v>446</v>
      </c>
      <c r="H1250" s="25" t="s">
        <v>27</v>
      </c>
      <c r="I1250" s="25" t="s">
        <v>447</v>
      </c>
      <c r="J1250" s="15" t="s">
        <v>360</v>
      </c>
      <c r="K1250" s="16" t="s">
        <v>29</v>
      </c>
      <c r="L1250" s="88"/>
      <c r="M1250" s="15"/>
      <c r="N1250" s="15" t="s">
        <v>173</v>
      </c>
      <c r="O1250" s="15"/>
      <c r="P1250" s="16" t="s">
        <v>106</v>
      </c>
      <c r="Q1250" s="17">
        <v>7199</v>
      </c>
      <c r="R1250" s="18">
        <v>30</v>
      </c>
      <c r="S1250" s="19">
        <v>5795.1949999999997</v>
      </c>
      <c r="T1250" s="20" t="s">
        <v>99</v>
      </c>
      <c r="U1250" s="21" t="s">
        <v>34</v>
      </c>
      <c r="V1250" s="22" t="s">
        <v>53</v>
      </c>
      <c r="W1250" s="23">
        <v>6</v>
      </c>
      <c r="X1250" s="24"/>
    </row>
    <row r="1251" spans="1:24" s="1" customFormat="1" ht="21" customHeight="1" x14ac:dyDescent="0.3">
      <c r="A1251" s="25" t="s">
        <v>607</v>
      </c>
      <c r="B1251" s="25" t="s">
        <v>1906</v>
      </c>
      <c r="C1251" s="28" t="s">
        <v>1914</v>
      </c>
      <c r="D1251" s="86"/>
      <c r="E1251" s="67" t="str">
        <f>HYPERLINK("https://www.google.ru/search?q=814526-WH&amp;newwindow=1&amp;tbm=isch","Еще фото")</f>
        <v>Еще фото</v>
      </c>
      <c r="F1251" s="14"/>
      <c r="G1251" s="25" t="s">
        <v>446</v>
      </c>
      <c r="H1251" s="25" t="s">
        <v>27</v>
      </c>
      <c r="I1251" s="25" t="s">
        <v>447</v>
      </c>
      <c r="J1251" s="15" t="s">
        <v>360</v>
      </c>
      <c r="K1251" s="16" t="s">
        <v>29</v>
      </c>
      <c r="L1251" s="88"/>
      <c r="M1251" s="15"/>
      <c r="N1251" s="15" t="s">
        <v>173</v>
      </c>
      <c r="O1251" s="15"/>
      <c r="P1251" s="16" t="s">
        <v>106</v>
      </c>
      <c r="Q1251" s="17">
        <v>7199</v>
      </c>
      <c r="R1251" s="18">
        <v>30</v>
      </c>
      <c r="S1251" s="19">
        <v>5795.1949999999997</v>
      </c>
      <c r="T1251" s="20" t="s">
        <v>99</v>
      </c>
      <c r="U1251" s="21" t="s">
        <v>52</v>
      </c>
      <c r="V1251" s="22" t="s">
        <v>41</v>
      </c>
      <c r="W1251" s="23">
        <v>4</v>
      </c>
      <c r="X1251" s="24"/>
    </row>
    <row r="1252" spans="1:24" s="1" customFormat="1" ht="32" customHeight="1" x14ac:dyDescent="0.3">
      <c r="A1252" s="25" t="s">
        <v>607</v>
      </c>
      <c r="B1252" s="25" t="s">
        <v>1906</v>
      </c>
      <c r="C1252" s="28" t="s">
        <v>1914</v>
      </c>
      <c r="D1252" s="87"/>
      <c r="E1252" s="67" t="str">
        <f>HYPERLINK("https://www.google.ru/search?q=814526-WH&amp;newwindow=1&amp;tbm=isch","Еще фото")</f>
        <v>Еще фото</v>
      </c>
      <c r="F1252" s="14"/>
      <c r="G1252" s="25" t="s">
        <v>446</v>
      </c>
      <c r="H1252" s="25" t="s">
        <v>27</v>
      </c>
      <c r="I1252" s="25" t="s">
        <v>447</v>
      </c>
      <c r="J1252" s="15" t="s">
        <v>360</v>
      </c>
      <c r="K1252" s="16" t="s">
        <v>29</v>
      </c>
      <c r="L1252" s="84"/>
      <c r="M1252" s="15"/>
      <c r="N1252" s="15" t="s">
        <v>173</v>
      </c>
      <c r="O1252" s="15"/>
      <c r="P1252" s="16" t="s">
        <v>106</v>
      </c>
      <c r="Q1252" s="17">
        <v>7199</v>
      </c>
      <c r="R1252" s="18">
        <v>30</v>
      </c>
      <c r="S1252" s="19">
        <v>5795.1949999999997</v>
      </c>
      <c r="T1252" s="20" t="s">
        <v>99</v>
      </c>
      <c r="U1252" s="21" t="s">
        <v>40</v>
      </c>
      <c r="V1252" s="22" t="s">
        <v>43</v>
      </c>
      <c r="W1252" s="23">
        <v>2</v>
      </c>
      <c r="X1252" s="24"/>
    </row>
    <row r="1253" spans="1:24" s="1" customFormat="1" ht="108" customHeight="1" x14ac:dyDescent="0.3">
      <c r="A1253" s="11" t="s">
        <v>607</v>
      </c>
      <c r="B1253" s="11" t="s">
        <v>1884</v>
      </c>
      <c r="C1253" s="12" t="s">
        <v>1915</v>
      </c>
      <c r="D1253" s="13"/>
      <c r="E1253" s="67" t="str">
        <f>HYPERLINK("https://www.google.ru/search?q=814540-MA&amp;newwindow=1&amp;tbm=isch","Еще фото")</f>
        <v>Еще фото</v>
      </c>
      <c r="F1253" s="14"/>
      <c r="G1253" s="11" t="s">
        <v>446</v>
      </c>
      <c r="H1253" s="11" t="s">
        <v>27</v>
      </c>
      <c r="I1253" s="15" t="s">
        <v>447</v>
      </c>
      <c r="J1253" s="15" t="s">
        <v>360</v>
      </c>
      <c r="K1253" s="16" t="s">
        <v>29</v>
      </c>
      <c r="L1253" s="15" t="s">
        <v>1886</v>
      </c>
      <c r="M1253" s="15"/>
      <c r="N1253" s="15" t="s">
        <v>212</v>
      </c>
      <c r="O1253" s="15"/>
      <c r="P1253" s="16" t="s">
        <v>106</v>
      </c>
      <c r="Q1253" s="17">
        <v>3390</v>
      </c>
      <c r="R1253" s="18">
        <v>30</v>
      </c>
      <c r="S1253" s="19">
        <v>2728.95</v>
      </c>
      <c r="T1253" s="20" t="s">
        <v>99</v>
      </c>
      <c r="U1253" s="21" t="s">
        <v>34</v>
      </c>
      <c r="V1253" s="22" t="s">
        <v>53</v>
      </c>
      <c r="W1253" s="23">
        <v>1</v>
      </c>
      <c r="X1253" s="24"/>
    </row>
    <row r="1254" spans="1:24" s="1" customFormat="1" ht="35" customHeight="1" x14ac:dyDescent="0.3">
      <c r="A1254" s="11" t="s">
        <v>607</v>
      </c>
      <c r="B1254" s="11" t="s">
        <v>1875</v>
      </c>
      <c r="C1254" s="12" t="s">
        <v>1916</v>
      </c>
      <c r="D1254" s="85"/>
      <c r="E1254" s="67" t="str">
        <f>HYPERLINK("https://www.google.ru/search?q=814745-NV&amp;newwindow=1&amp;tbm=isch","Еще фото")</f>
        <v>Еще фото</v>
      </c>
      <c r="F1254" s="14"/>
      <c r="G1254" s="11" t="s">
        <v>459</v>
      </c>
      <c r="H1254" s="11" t="s">
        <v>27</v>
      </c>
      <c r="I1254" s="15" t="s">
        <v>447</v>
      </c>
      <c r="J1254" s="15" t="s">
        <v>360</v>
      </c>
      <c r="K1254" s="16" t="s">
        <v>29</v>
      </c>
      <c r="L1254" s="83" t="s">
        <v>1877</v>
      </c>
      <c r="M1254" s="15"/>
      <c r="N1254" s="15" t="s">
        <v>31</v>
      </c>
      <c r="O1254" s="15"/>
      <c r="P1254" s="16" t="s">
        <v>1917</v>
      </c>
      <c r="Q1254" s="17">
        <v>9299</v>
      </c>
      <c r="R1254" s="18">
        <v>30</v>
      </c>
      <c r="S1254" s="19">
        <v>7485.6949999999997</v>
      </c>
      <c r="T1254" s="20" t="s">
        <v>99</v>
      </c>
      <c r="U1254" s="21" t="s">
        <v>442</v>
      </c>
      <c r="V1254" s="22" t="s">
        <v>35</v>
      </c>
      <c r="W1254" s="23">
        <v>3</v>
      </c>
      <c r="X1254" s="24"/>
    </row>
    <row r="1255" spans="1:24" s="1" customFormat="1" ht="35" customHeight="1" x14ac:dyDescent="0.3">
      <c r="A1255" s="25" t="s">
        <v>607</v>
      </c>
      <c r="B1255" s="25" t="s">
        <v>1875</v>
      </c>
      <c r="C1255" s="12" t="s">
        <v>1916</v>
      </c>
      <c r="D1255" s="86"/>
      <c r="E1255" s="67" t="str">
        <f>HYPERLINK("https://www.google.ru/search?q=814745-NV&amp;newwindow=1&amp;tbm=isch","Еще фото")</f>
        <v>Еще фото</v>
      </c>
      <c r="F1255" s="14"/>
      <c r="G1255" s="25" t="s">
        <v>459</v>
      </c>
      <c r="H1255" s="25" t="s">
        <v>27</v>
      </c>
      <c r="I1255" s="25" t="s">
        <v>447</v>
      </c>
      <c r="J1255" s="15" t="s">
        <v>360</v>
      </c>
      <c r="K1255" s="16" t="s">
        <v>29</v>
      </c>
      <c r="L1255" s="88"/>
      <c r="M1255" s="15"/>
      <c r="N1255" s="15" t="s">
        <v>31</v>
      </c>
      <c r="O1255" s="15"/>
      <c r="P1255" s="16" t="s">
        <v>1917</v>
      </c>
      <c r="Q1255" s="17">
        <v>9299</v>
      </c>
      <c r="R1255" s="18">
        <v>30</v>
      </c>
      <c r="S1255" s="19">
        <v>7485.6949999999997</v>
      </c>
      <c r="T1255" s="20" t="s">
        <v>99</v>
      </c>
      <c r="U1255" s="21" t="s">
        <v>34</v>
      </c>
      <c r="V1255" s="22" t="s">
        <v>53</v>
      </c>
      <c r="W1255" s="23">
        <v>4</v>
      </c>
      <c r="X1255" s="24"/>
    </row>
    <row r="1256" spans="1:24" s="1" customFormat="1" ht="37.049999999999997" customHeight="1" x14ac:dyDescent="0.3">
      <c r="A1256" s="25" t="s">
        <v>607</v>
      </c>
      <c r="B1256" s="25" t="s">
        <v>1875</v>
      </c>
      <c r="C1256" s="12" t="s">
        <v>1916</v>
      </c>
      <c r="D1256" s="87"/>
      <c r="E1256" s="67" t="str">
        <f>HYPERLINK("https://www.google.ru/search?q=814745-NV&amp;newwindow=1&amp;tbm=isch","Еще фото")</f>
        <v>Еще фото</v>
      </c>
      <c r="F1256" s="14"/>
      <c r="G1256" s="25" t="s">
        <v>459</v>
      </c>
      <c r="H1256" s="25" t="s">
        <v>27</v>
      </c>
      <c r="I1256" s="25" t="s">
        <v>447</v>
      </c>
      <c r="J1256" s="15" t="s">
        <v>360</v>
      </c>
      <c r="K1256" s="16" t="s">
        <v>29</v>
      </c>
      <c r="L1256" s="84"/>
      <c r="M1256" s="15"/>
      <c r="N1256" s="15" t="s">
        <v>31</v>
      </c>
      <c r="O1256" s="15"/>
      <c r="P1256" s="16" t="s">
        <v>1917</v>
      </c>
      <c r="Q1256" s="17">
        <v>9299</v>
      </c>
      <c r="R1256" s="18">
        <v>30</v>
      </c>
      <c r="S1256" s="19">
        <v>7485.6949999999997</v>
      </c>
      <c r="T1256" s="20" t="s">
        <v>99</v>
      </c>
      <c r="U1256" s="21" t="s">
        <v>52</v>
      </c>
      <c r="V1256" s="22" t="s">
        <v>41</v>
      </c>
      <c r="W1256" s="23">
        <v>1</v>
      </c>
      <c r="X1256" s="24"/>
    </row>
    <row r="1257" spans="1:24" s="1" customFormat="1" ht="52.05" customHeight="1" x14ac:dyDescent="0.3">
      <c r="A1257" s="11" t="s">
        <v>607</v>
      </c>
      <c r="B1257" s="11" t="s">
        <v>1875</v>
      </c>
      <c r="C1257" s="12" t="s">
        <v>1918</v>
      </c>
      <c r="D1257" s="81"/>
      <c r="E1257" s="67" t="str">
        <f>HYPERLINK("https://www.google.ru/search?q=814745-RDWH&amp;newwindow=1&amp;tbm=isch","Еще фото")</f>
        <v>Еще фото</v>
      </c>
      <c r="F1257" s="14"/>
      <c r="G1257" s="11" t="s">
        <v>459</v>
      </c>
      <c r="H1257" s="11" t="s">
        <v>27</v>
      </c>
      <c r="I1257" s="15" t="s">
        <v>447</v>
      </c>
      <c r="J1257" s="15" t="s">
        <v>360</v>
      </c>
      <c r="K1257" s="16" t="s">
        <v>29</v>
      </c>
      <c r="L1257" s="83" t="s">
        <v>1877</v>
      </c>
      <c r="M1257" s="15"/>
      <c r="N1257" s="15" t="s">
        <v>1919</v>
      </c>
      <c r="O1257" s="15"/>
      <c r="P1257" s="16" t="s">
        <v>1878</v>
      </c>
      <c r="Q1257" s="17">
        <v>9299</v>
      </c>
      <c r="R1257" s="18">
        <v>30</v>
      </c>
      <c r="S1257" s="19">
        <v>7485.6949999999997</v>
      </c>
      <c r="T1257" s="20" t="s">
        <v>99</v>
      </c>
      <c r="U1257" s="21" t="s">
        <v>442</v>
      </c>
      <c r="V1257" s="22" t="s">
        <v>35</v>
      </c>
      <c r="W1257" s="23">
        <v>1</v>
      </c>
      <c r="X1257" s="24"/>
    </row>
    <row r="1258" spans="1:24" s="1" customFormat="1" ht="61.05" customHeight="1" x14ac:dyDescent="0.3">
      <c r="A1258" s="25" t="s">
        <v>607</v>
      </c>
      <c r="B1258" s="25" t="s">
        <v>1875</v>
      </c>
      <c r="C1258" s="12" t="s">
        <v>1918</v>
      </c>
      <c r="D1258" s="82"/>
      <c r="E1258" s="67" t="str">
        <f>HYPERLINK("https://www.google.ru/search?q=814745-RDWH&amp;newwindow=1&amp;tbm=isch","Еще фото")</f>
        <v>Еще фото</v>
      </c>
      <c r="F1258" s="14"/>
      <c r="G1258" s="25" t="s">
        <v>459</v>
      </c>
      <c r="H1258" s="25" t="s">
        <v>27</v>
      </c>
      <c r="I1258" s="25" t="s">
        <v>447</v>
      </c>
      <c r="J1258" s="15" t="s">
        <v>360</v>
      </c>
      <c r="K1258" s="16" t="s">
        <v>29</v>
      </c>
      <c r="L1258" s="84"/>
      <c r="M1258" s="15"/>
      <c r="N1258" s="15" t="s">
        <v>1919</v>
      </c>
      <c r="O1258" s="15"/>
      <c r="P1258" s="16" t="s">
        <v>1878</v>
      </c>
      <c r="Q1258" s="17">
        <v>9299</v>
      </c>
      <c r="R1258" s="18">
        <v>30</v>
      </c>
      <c r="S1258" s="19">
        <v>7485.6949999999997</v>
      </c>
      <c r="T1258" s="20" t="s">
        <v>99</v>
      </c>
      <c r="U1258" s="21" t="s">
        <v>34</v>
      </c>
      <c r="V1258" s="22" t="s">
        <v>53</v>
      </c>
      <c r="W1258" s="23">
        <v>2</v>
      </c>
      <c r="X1258" s="24"/>
    </row>
    <row r="1259" spans="1:24" s="1" customFormat="1" ht="108" customHeight="1" x14ac:dyDescent="0.3">
      <c r="A1259" s="11" t="s">
        <v>1920</v>
      </c>
      <c r="B1259" s="11" t="s">
        <v>1921</v>
      </c>
      <c r="C1259" s="12" t="s">
        <v>1922</v>
      </c>
      <c r="D1259" s="13"/>
      <c r="E1259" s="67" t="str">
        <f>HYPERLINK("https://www.google.ru/search?q=S2538801-1&amp;newwindow=1&amp;tbm=isch","Еще фото")</f>
        <v>Еще фото</v>
      </c>
      <c r="F1259" s="14"/>
      <c r="G1259" s="11" t="s">
        <v>92</v>
      </c>
      <c r="H1259" s="11" t="s">
        <v>93</v>
      </c>
      <c r="I1259" s="15" t="s">
        <v>94</v>
      </c>
      <c r="J1259" s="15" t="s">
        <v>28</v>
      </c>
      <c r="K1259" s="16" t="s">
        <v>29</v>
      </c>
      <c r="L1259" s="15" t="s">
        <v>1923</v>
      </c>
      <c r="M1259" s="15"/>
      <c r="N1259" s="15" t="s">
        <v>38</v>
      </c>
      <c r="O1259" s="15"/>
      <c r="P1259" s="16" t="s">
        <v>1924</v>
      </c>
      <c r="Q1259" s="17">
        <v>8090</v>
      </c>
      <c r="R1259" s="18">
        <v>54.91</v>
      </c>
      <c r="S1259" s="19">
        <v>4194.9354999999996</v>
      </c>
      <c r="T1259" s="20" t="s">
        <v>63</v>
      </c>
      <c r="U1259" s="21" t="s">
        <v>334</v>
      </c>
      <c r="V1259" s="29">
        <v>35.5</v>
      </c>
      <c r="W1259" s="23">
        <v>1</v>
      </c>
      <c r="X1259" s="24"/>
    </row>
    <row r="1260" spans="1:24" s="1" customFormat="1" ht="108" customHeight="1" x14ac:dyDescent="0.3">
      <c r="A1260" s="11" t="s">
        <v>1920</v>
      </c>
      <c r="B1260" s="11" t="s">
        <v>1921</v>
      </c>
      <c r="C1260" s="12" t="s">
        <v>1925</v>
      </c>
      <c r="D1260" s="13"/>
      <c r="E1260" s="67" t="str">
        <f>HYPERLINK("https://www.google.ru/search?q=S2538801-3&amp;newwindow=1&amp;tbm=isch","Еще фото")</f>
        <v>Еще фото</v>
      </c>
      <c r="F1260" s="14"/>
      <c r="G1260" s="11" t="s">
        <v>92</v>
      </c>
      <c r="H1260" s="11" t="s">
        <v>93</v>
      </c>
      <c r="I1260" s="15" t="s">
        <v>94</v>
      </c>
      <c r="J1260" s="15" t="s">
        <v>28</v>
      </c>
      <c r="K1260" s="16" t="s">
        <v>29</v>
      </c>
      <c r="L1260" s="15" t="s">
        <v>1923</v>
      </c>
      <c r="M1260" s="15"/>
      <c r="N1260" s="15" t="s">
        <v>225</v>
      </c>
      <c r="O1260" s="15"/>
      <c r="P1260" s="16" t="s">
        <v>1924</v>
      </c>
      <c r="Q1260" s="17">
        <v>8090</v>
      </c>
      <c r="R1260" s="18">
        <v>54.91</v>
      </c>
      <c r="S1260" s="19">
        <v>4194.9354999999996</v>
      </c>
      <c r="T1260" s="20" t="s">
        <v>63</v>
      </c>
      <c r="U1260" s="21" t="s">
        <v>335</v>
      </c>
      <c r="V1260" s="23">
        <v>36</v>
      </c>
      <c r="W1260" s="23">
        <v>1</v>
      </c>
      <c r="X1260" s="24"/>
    </row>
    <row r="1261" spans="1:24" s="1" customFormat="1" ht="108" customHeight="1" x14ac:dyDescent="0.3">
      <c r="A1261" s="11" t="s">
        <v>1920</v>
      </c>
      <c r="B1261" s="11" t="s">
        <v>1926</v>
      </c>
      <c r="C1261" s="12" t="s">
        <v>1927</v>
      </c>
      <c r="D1261" s="13"/>
      <c r="E1261" s="67" t="str">
        <f>HYPERLINK("https://www.google.ru/search?q=82528825-7&amp;newwindow=1&amp;tbm=isch","Еще фото")</f>
        <v>Еще фото</v>
      </c>
      <c r="F1261" s="14"/>
      <c r="G1261" s="11" t="s">
        <v>153</v>
      </c>
      <c r="H1261" s="11" t="s">
        <v>93</v>
      </c>
      <c r="I1261" s="15" t="s">
        <v>196</v>
      </c>
      <c r="J1261" s="15" t="s">
        <v>28</v>
      </c>
      <c r="K1261" s="16" t="s">
        <v>29</v>
      </c>
      <c r="L1261" s="15" t="s">
        <v>1928</v>
      </c>
      <c r="M1261" s="15"/>
      <c r="N1261" s="15" t="s">
        <v>212</v>
      </c>
      <c r="O1261" s="15"/>
      <c r="P1261" s="16" t="s">
        <v>1929</v>
      </c>
      <c r="Q1261" s="17">
        <v>4260</v>
      </c>
      <c r="R1261" s="18">
        <v>72.59</v>
      </c>
      <c r="S1261" s="19">
        <v>1342.9354999999998</v>
      </c>
      <c r="T1261" s="20" t="s">
        <v>99</v>
      </c>
      <c r="U1261" s="21" t="s">
        <v>894</v>
      </c>
      <c r="V1261" s="23">
        <v>35</v>
      </c>
      <c r="W1261" s="23">
        <v>1</v>
      </c>
      <c r="X1261" s="24"/>
    </row>
    <row r="1262" spans="1:24" s="1" customFormat="1" ht="52.05" customHeight="1" x14ac:dyDescent="0.3">
      <c r="A1262" s="11" t="s">
        <v>1920</v>
      </c>
      <c r="B1262" s="11" t="s">
        <v>1930</v>
      </c>
      <c r="C1262" s="12" t="s">
        <v>1931</v>
      </c>
      <c r="D1262" s="81"/>
      <c r="E1262" s="67" t="str">
        <f>HYPERLINK("https://www.google.ru/search?q=W35819709-1&amp;newwindow=1&amp;tbm=isch","Еще фото")</f>
        <v>Еще фото</v>
      </c>
      <c r="F1262" s="14"/>
      <c r="G1262" s="11" t="s">
        <v>1932</v>
      </c>
      <c r="H1262" s="11" t="s">
        <v>27</v>
      </c>
      <c r="I1262" s="15" t="s">
        <v>301</v>
      </c>
      <c r="J1262" s="15" t="s">
        <v>28</v>
      </c>
      <c r="K1262" s="16" t="s">
        <v>59</v>
      </c>
      <c r="L1262" s="83"/>
      <c r="M1262" s="15"/>
      <c r="N1262" s="15" t="s">
        <v>218</v>
      </c>
      <c r="O1262" s="15"/>
      <c r="P1262" s="16" t="s">
        <v>1933</v>
      </c>
      <c r="Q1262" s="17">
        <v>2499</v>
      </c>
      <c r="R1262" s="18">
        <v>72.48</v>
      </c>
      <c r="S1262" s="26">
        <v>790.93549999999993</v>
      </c>
      <c r="T1262" s="20" t="s">
        <v>124</v>
      </c>
      <c r="U1262" s="21" t="s">
        <v>1934</v>
      </c>
      <c r="V1262" s="23">
        <v>120</v>
      </c>
      <c r="W1262" s="23">
        <v>2</v>
      </c>
      <c r="X1262" s="24"/>
    </row>
    <row r="1263" spans="1:24" s="1" customFormat="1" ht="61.05" customHeight="1" x14ac:dyDescent="0.3">
      <c r="A1263" s="25" t="s">
        <v>1920</v>
      </c>
      <c r="B1263" s="25" t="s">
        <v>1930</v>
      </c>
      <c r="C1263" s="12" t="s">
        <v>1931</v>
      </c>
      <c r="D1263" s="82"/>
      <c r="E1263" s="67" t="str">
        <f>HYPERLINK("https://www.google.ru/search?q=W35819709-1&amp;newwindow=1&amp;tbm=isch","Еще фото")</f>
        <v>Еще фото</v>
      </c>
      <c r="F1263" s="14"/>
      <c r="G1263" s="25" t="s">
        <v>1932</v>
      </c>
      <c r="H1263" s="25" t="s">
        <v>27</v>
      </c>
      <c r="I1263" s="25" t="s">
        <v>301</v>
      </c>
      <c r="J1263" s="15" t="s">
        <v>28</v>
      </c>
      <c r="K1263" s="16" t="s">
        <v>59</v>
      </c>
      <c r="L1263" s="84"/>
      <c r="M1263" s="15"/>
      <c r="N1263" s="15" t="s">
        <v>218</v>
      </c>
      <c r="O1263" s="15"/>
      <c r="P1263" s="16" t="s">
        <v>1933</v>
      </c>
      <c r="Q1263" s="17">
        <v>2499</v>
      </c>
      <c r="R1263" s="18">
        <v>72.48</v>
      </c>
      <c r="S1263" s="26">
        <v>790.93549999999993</v>
      </c>
      <c r="T1263" s="20" t="s">
        <v>124</v>
      </c>
      <c r="U1263" s="21" t="s">
        <v>1935</v>
      </c>
      <c r="V1263" s="23">
        <v>101</v>
      </c>
      <c r="W1263" s="23">
        <v>1</v>
      </c>
      <c r="X1263" s="24"/>
    </row>
    <row r="1264" spans="1:24" s="1" customFormat="1" ht="108" customHeight="1" x14ac:dyDescent="0.3">
      <c r="A1264" s="11" t="s">
        <v>1936</v>
      </c>
      <c r="B1264" s="11" t="s">
        <v>1937</v>
      </c>
      <c r="C1264" s="12" t="s">
        <v>1938</v>
      </c>
      <c r="D1264" s="13"/>
      <c r="E1264" s="67" t="str">
        <f>HYPERLINK("https://www.google.ru/search?q=1907936-999995&amp;newwindow=1&amp;tbm=isch","Еще фото")</f>
        <v>Еще фото</v>
      </c>
      <c r="F1264" s="14"/>
      <c r="G1264" s="11" t="s">
        <v>26</v>
      </c>
      <c r="H1264" s="11" t="s">
        <v>27</v>
      </c>
      <c r="I1264" s="15" t="s">
        <v>26</v>
      </c>
      <c r="J1264" s="15" t="s">
        <v>162</v>
      </c>
      <c r="K1264" s="16" t="s">
        <v>45</v>
      </c>
      <c r="L1264" s="15" t="s">
        <v>1939</v>
      </c>
      <c r="M1264" s="15"/>
      <c r="N1264" s="15" t="s">
        <v>38</v>
      </c>
      <c r="O1264" s="15"/>
      <c r="P1264" s="16" t="s">
        <v>1940</v>
      </c>
      <c r="Q1264" s="17">
        <v>8099</v>
      </c>
      <c r="R1264" s="18">
        <v>40</v>
      </c>
      <c r="S1264" s="19">
        <v>5588.3099999999995</v>
      </c>
      <c r="T1264" s="20" t="s">
        <v>99</v>
      </c>
      <c r="U1264" s="21" t="s">
        <v>52</v>
      </c>
      <c r="V1264" s="23">
        <v>48</v>
      </c>
      <c r="W1264" s="23">
        <v>1</v>
      </c>
      <c r="X1264" s="24"/>
    </row>
    <row r="1265" spans="1:24" s="1" customFormat="1" ht="26" customHeight="1" x14ac:dyDescent="0.3">
      <c r="A1265" s="11" t="s">
        <v>1936</v>
      </c>
      <c r="B1265" s="11" t="s">
        <v>1941</v>
      </c>
      <c r="C1265" s="12" t="s">
        <v>1942</v>
      </c>
      <c r="D1265" s="85"/>
      <c r="E1265" s="67" t="str">
        <f>HYPERLINK("https://www.google.ru/search?q=1915158-396345&amp;newwindow=1&amp;tbm=isch","Еще фото")</f>
        <v>Еще фото</v>
      </c>
      <c r="F1265" s="14"/>
      <c r="G1265" s="11" t="s">
        <v>140</v>
      </c>
      <c r="H1265" s="11" t="s">
        <v>27</v>
      </c>
      <c r="I1265" s="15" t="s">
        <v>130</v>
      </c>
      <c r="J1265" s="15" t="s">
        <v>162</v>
      </c>
      <c r="K1265" s="16" t="s">
        <v>45</v>
      </c>
      <c r="L1265" s="83" t="s">
        <v>1943</v>
      </c>
      <c r="M1265" s="15"/>
      <c r="N1265" s="15" t="s">
        <v>31</v>
      </c>
      <c r="O1265" s="15"/>
      <c r="P1265" s="16" t="s">
        <v>106</v>
      </c>
      <c r="Q1265" s="17">
        <v>23799</v>
      </c>
      <c r="R1265" s="18">
        <v>61.65</v>
      </c>
      <c r="S1265" s="19">
        <v>10496.9355</v>
      </c>
      <c r="T1265" s="20" t="s">
        <v>99</v>
      </c>
      <c r="U1265" s="21" t="s">
        <v>34</v>
      </c>
      <c r="V1265" s="23">
        <v>46</v>
      </c>
      <c r="W1265" s="23">
        <v>9</v>
      </c>
      <c r="X1265" s="24"/>
    </row>
    <row r="1266" spans="1:24" s="1" customFormat="1" ht="26" customHeight="1" x14ac:dyDescent="0.3">
      <c r="A1266" s="25" t="s">
        <v>1936</v>
      </c>
      <c r="B1266" s="25" t="s">
        <v>1941</v>
      </c>
      <c r="C1266" s="12" t="s">
        <v>1942</v>
      </c>
      <c r="D1266" s="86"/>
      <c r="E1266" s="67" t="str">
        <f>HYPERLINK("https://www.google.ru/search?q=1915158-396345&amp;newwindow=1&amp;tbm=isch","Еще фото")</f>
        <v>Еще фото</v>
      </c>
      <c r="F1266" s="14"/>
      <c r="G1266" s="25" t="s">
        <v>140</v>
      </c>
      <c r="H1266" s="25" t="s">
        <v>27</v>
      </c>
      <c r="I1266" s="25" t="s">
        <v>130</v>
      </c>
      <c r="J1266" s="15" t="s">
        <v>162</v>
      </c>
      <c r="K1266" s="16" t="s">
        <v>45</v>
      </c>
      <c r="L1266" s="88"/>
      <c r="M1266" s="15"/>
      <c r="N1266" s="15" t="s">
        <v>31</v>
      </c>
      <c r="O1266" s="15"/>
      <c r="P1266" s="16" t="s">
        <v>106</v>
      </c>
      <c r="Q1266" s="17">
        <v>23799</v>
      </c>
      <c r="R1266" s="18">
        <v>61.65</v>
      </c>
      <c r="S1266" s="19">
        <v>10496.9355</v>
      </c>
      <c r="T1266" s="20" t="s">
        <v>99</v>
      </c>
      <c r="U1266" s="21" t="s">
        <v>52</v>
      </c>
      <c r="V1266" s="23">
        <v>48</v>
      </c>
      <c r="W1266" s="23">
        <v>14</v>
      </c>
      <c r="X1266" s="24"/>
    </row>
    <row r="1267" spans="1:24" s="1" customFormat="1" ht="26" customHeight="1" x14ac:dyDescent="0.3">
      <c r="A1267" s="25" t="s">
        <v>1936</v>
      </c>
      <c r="B1267" s="25" t="s">
        <v>1941</v>
      </c>
      <c r="C1267" s="12" t="s">
        <v>1942</v>
      </c>
      <c r="D1267" s="86"/>
      <c r="E1267" s="67" t="str">
        <f>HYPERLINK("https://www.google.ru/search?q=1915158-396345&amp;newwindow=1&amp;tbm=isch","Еще фото")</f>
        <v>Еще фото</v>
      </c>
      <c r="F1267" s="14"/>
      <c r="G1267" s="25" t="s">
        <v>140</v>
      </c>
      <c r="H1267" s="25" t="s">
        <v>27</v>
      </c>
      <c r="I1267" s="25" t="s">
        <v>130</v>
      </c>
      <c r="J1267" s="15" t="s">
        <v>162</v>
      </c>
      <c r="K1267" s="16" t="s">
        <v>45</v>
      </c>
      <c r="L1267" s="88"/>
      <c r="M1267" s="15"/>
      <c r="N1267" s="15" t="s">
        <v>31</v>
      </c>
      <c r="O1267" s="15"/>
      <c r="P1267" s="16" t="s">
        <v>106</v>
      </c>
      <c r="Q1267" s="17">
        <v>23799</v>
      </c>
      <c r="R1267" s="18">
        <v>61.65</v>
      </c>
      <c r="S1267" s="19">
        <v>10496.9355</v>
      </c>
      <c r="T1267" s="20" t="s">
        <v>99</v>
      </c>
      <c r="U1267" s="21" t="s">
        <v>40</v>
      </c>
      <c r="V1267" s="23">
        <v>50</v>
      </c>
      <c r="W1267" s="23">
        <v>7</v>
      </c>
      <c r="X1267" s="24"/>
    </row>
    <row r="1268" spans="1:24" s="1" customFormat="1" ht="26" customHeight="1" x14ac:dyDescent="0.3">
      <c r="A1268" s="25" t="s">
        <v>1936</v>
      </c>
      <c r="B1268" s="25" t="s">
        <v>1941</v>
      </c>
      <c r="C1268" s="12" t="s">
        <v>1942</v>
      </c>
      <c r="D1268" s="87"/>
      <c r="E1268" s="67" t="str">
        <f>HYPERLINK("https://www.google.ru/search?q=1915158-396345&amp;newwindow=1&amp;tbm=isch","Еще фото")</f>
        <v>Еще фото</v>
      </c>
      <c r="F1268" s="14"/>
      <c r="G1268" s="25" t="s">
        <v>140</v>
      </c>
      <c r="H1268" s="25" t="s">
        <v>27</v>
      </c>
      <c r="I1268" s="25" t="s">
        <v>130</v>
      </c>
      <c r="J1268" s="15" t="s">
        <v>162</v>
      </c>
      <c r="K1268" s="16" t="s">
        <v>45</v>
      </c>
      <c r="L1268" s="84"/>
      <c r="M1268" s="15"/>
      <c r="N1268" s="15" t="s">
        <v>31</v>
      </c>
      <c r="O1268" s="15"/>
      <c r="P1268" s="16" t="s">
        <v>106</v>
      </c>
      <c r="Q1268" s="17">
        <v>23799</v>
      </c>
      <c r="R1268" s="18">
        <v>61.65</v>
      </c>
      <c r="S1268" s="19">
        <v>10496.9355</v>
      </c>
      <c r="T1268" s="20" t="s">
        <v>99</v>
      </c>
      <c r="U1268" s="21" t="s">
        <v>42</v>
      </c>
      <c r="V1268" s="23">
        <v>52</v>
      </c>
      <c r="W1268" s="23">
        <v>8</v>
      </c>
      <c r="X1268" s="24"/>
    </row>
    <row r="1269" spans="1:24" s="1" customFormat="1" ht="52.05" customHeight="1" x14ac:dyDescent="0.3">
      <c r="A1269" s="11" t="s">
        <v>1936</v>
      </c>
      <c r="B1269" s="11" t="s">
        <v>1944</v>
      </c>
      <c r="C1269" s="12" t="s">
        <v>1945</v>
      </c>
      <c r="D1269" s="81"/>
      <c r="E1269" s="67" t="str">
        <f>HYPERLINK("https://www.google.ru/search?q=1913615-629000&amp;newwindow=1&amp;tbm=isch","Еще фото")</f>
        <v>Еще фото</v>
      </c>
      <c r="F1269" s="14"/>
      <c r="G1269" s="11" t="s">
        <v>140</v>
      </c>
      <c r="H1269" s="11" t="s">
        <v>27</v>
      </c>
      <c r="I1269" s="15" t="s">
        <v>130</v>
      </c>
      <c r="J1269" s="15" t="s">
        <v>162</v>
      </c>
      <c r="K1269" s="16" t="s">
        <v>45</v>
      </c>
      <c r="L1269" s="83" t="s">
        <v>1946</v>
      </c>
      <c r="M1269" s="15"/>
      <c r="N1269" s="15" t="s">
        <v>1947</v>
      </c>
      <c r="O1269" s="15"/>
      <c r="P1269" s="16" t="s">
        <v>106</v>
      </c>
      <c r="Q1269" s="17">
        <v>16199</v>
      </c>
      <c r="R1269" s="18">
        <v>56.55</v>
      </c>
      <c r="S1269" s="19">
        <v>8093.4354999999996</v>
      </c>
      <c r="T1269" s="20" t="s">
        <v>99</v>
      </c>
      <c r="U1269" s="21" t="s">
        <v>34</v>
      </c>
      <c r="V1269" s="23">
        <v>46</v>
      </c>
      <c r="W1269" s="23">
        <v>1</v>
      </c>
      <c r="X1269" s="24"/>
    </row>
    <row r="1270" spans="1:24" s="1" customFormat="1" ht="61.05" customHeight="1" x14ac:dyDescent="0.3">
      <c r="A1270" s="25" t="s">
        <v>1936</v>
      </c>
      <c r="B1270" s="25" t="s">
        <v>1944</v>
      </c>
      <c r="C1270" s="12" t="s">
        <v>1945</v>
      </c>
      <c r="D1270" s="82"/>
      <c r="E1270" s="67" t="str">
        <f>HYPERLINK("https://www.google.ru/search?q=1913615-629000&amp;newwindow=1&amp;tbm=isch","Еще фото")</f>
        <v>Еще фото</v>
      </c>
      <c r="F1270" s="14"/>
      <c r="G1270" s="25" t="s">
        <v>140</v>
      </c>
      <c r="H1270" s="25" t="s">
        <v>27</v>
      </c>
      <c r="I1270" s="25" t="s">
        <v>130</v>
      </c>
      <c r="J1270" s="15" t="s">
        <v>162</v>
      </c>
      <c r="K1270" s="16" t="s">
        <v>45</v>
      </c>
      <c r="L1270" s="84"/>
      <c r="M1270" s="15"/>
      <c r="N1270" s="15" t="s">
        <v>1947</v>
      </c>
      <c r="O1270" s="15"/>
      <c r="P1270" s="16" t="s">
        <v>106</v>
      </c>
      <c r="Q1270" s="17">
        <v>16199</v>
      </c>
      <c r="R1270" s="18">
        <v>56.55</v>
      </c>
      <c r="S1270" s="19">
        <v>8093.4354999999996</v>
      </c>
      <c r="T1270" s="20" t="s">
        <v>99</v>
      </c>
      <c r="U1270" s="21" t="s">
        <v>40</v>
      </c>
      <c r="V1270" s="23">
        <v>50</v>
      </c>
      <c r="W1270" s="23">
        <v>1</v>
      </c>
      <c r="X1270" s="24"/>
    </row>
    <row r="1271" spans="1:24" s="1" customFormat="1" ht="108" customHeight="1" x14ac:dyDescent="0.3">
      <c r="A1271" s="11" t="s">
        <v>1936</v>
      </c>
      <c r="B1271" s="11" t="s">
        <v>1944</v>
      </c>
      <c r="C1271" s="12" t="s">
        <v>1948</v>
      </c>
      <c r="D1271" s="13"/>
      <c r="E1271" s="67" t="str">
        <f>HYPERLINK("https://www.google.ru/search?q=1913615-999000&amp;newwindow=1&amp;tbm=isch","Еще фото")</f>
        <v>Еще фото</v>
      </c>
      <c r="F1271" s="14"/>
      <c r="G1271" s="11" t="s">
        <v>140</v>
      </c>
      <c r="H1271" s="11" t="s">
        <v>27</v>
      </c>
      <c r="I1271" s="15" t="s">
        <v>130</v>
      </c>
      <c r="J1271" s="15" t="s">
        <v>162</v>
      </c>
      <c r="K1271" s="16" t="s">
        <v>45</v>
      </c>
      <c r="L1271" s="15" t="s">
        <v>1946</v>
      </c>
      <c r="M1271" s="15"/>
      <c r="N1271" s="15" t="s">
        <v>38</v>
      </c>
      <c r="O1271" s="15"/>
      <c r="P1271" s="16" t="s">
        <v>106</v>
      </c>
      <c r="Q1271" s="17">
        <v>16199</v>
      </c>
      <c r="R1271" s="18">
        <v>46</v>
      </c>
      <c r="S1271" s="19">
        <v>10059.578999999998</v>
      </c>
      <c r="T1271" s="20" t="s">
        <v>99</v>
      </c>
      <c r="U1271" s="21" t="s">
        <v>40</v>
      </c>
      <c r="V1271" s="23">
        <v>50</v>
      </c>
      <c r="W1271" s="23">
        <v>2</v>
      </c>
      <c r="X1271" s="24"/>
    </row>
    <row r="1272" spans="1:24" s="1" customFormat="1" ht="52.05" customHeight="1" x14ac:dyDescent="0.3">
      <c r="A1272" s="11" t="s">
        <v>1936</v>
      </c>
      <c r="B1272" s="11" t="s">
        <v>1949</v>
      </c>
      <c r="C1272" s="12" t="s">
        <v>1950</v>
      </c>
      <c r="D1272" s="81"/>
      <c r="E1272" s="67" t="str">
        <f>HYPERLINK("https://www.google.ru/search?q=1913621-726000&amp;newwindow=1&amp;tbm=isch","Еще фото")</f>
        <v>Еще фото</v>
      </c>
      <c r="F1272" s="14"/>
      <c r="G1272" s="11" t="s">
        <v>140</v>
      </c>
      <c r="H1272" s="11" t="s">
        <v>27</v>
      </c>
      <c r="I1272" s="15" t="s">
        <v>130</v>
      </c>
      <c r="J1272" s="15" t="s">
        <v>162</v>
      </c>
      <c r="K1272" s="16" t="s">
        <v>29</v>
      </c>
      <c r="L1272" s="83" t="s">
        <v>1946</v>
      </c>
      <c r="M1272" s="15"/>
      <c r="N1272" s="15" t="s">
        <v>212</v>
      </c>
      <c r="O1272" s="15"/>
      <c r="P1272" s="16" t="s">
        <v>106</v>
      </c>
      <c r="Q1272" s="17">
        <v>16199</v>
      </c>
      <c r="R1272" s="18">
        <v>46</v>
      </c>
      <c r="S1272" s="19">
        <v>10059.578999999998</v>
      </c>
      <c r="T1272" s="20" t="s">
        <v>99</v>
      </c>
      <c r="U1272" s="21" t="s">
        <v>52</v>
      </c>
      <c r="V1272" s="23">
        <v>46</v>
      </c>
      <c r="W1272" s="23">
        <v>1</v>
      </c>
      <c r="X1272" s="24"/>
    </row>
    <row r="1273" spans="1:24" s="1" customFormat="1" ht="61.05" customHeight="1" x14ac:dyDescent="0.3">
      <c r="A1273" s="25" t="s">
        <v>1936</v>
      </c>
      <c r="B1273" s="25" t="s">
        <v>1949</v>
      </c>
      <c r="C1273" s="12" t="s">
        <v>1950</v>
      </c>
      <c r="D1273" s="82"/>
      <c r="E1273" s="67" t="str">
        <f>HYPERLINK("https://www.google.ru/search?q=1913621-726000&amp;newwindow=1&amp;tbm=isch","Еще фото")</f>
        <v>Еще фото</v>
      </c>
      <c r="F1273" s="14"/>
      <c r="G1273" s="25" t="s">
        <v>140</v>
      </c>
      <c r="H1273" s="25" t="s">
        <v>27</v>
      </c>
      <c r="I1273" s="25" t="s">
        <v>130</v>
      </c>
      <c r="J1273" s="15" t="s">
        <v>162</v>
      </c>
      <c r="K1273" s="16" t="s">
        <v>29</v>
      </c>
      <c r="L1273" s="84"/>
      <c r="M1273" s="15"/>
      <c r="N1273" s="15" t="s">
        <v>212</v>
      </c>
      <c r="O1273" s="15"/>
      <c r="P1273" s="16" t="s">
        <v>106</v>
      </c>
      <c r="Q1273" s="17">
        <v>16199</v>
      </c>
      <c r="R1273" s="18">
        <v>46</v>
      </c>
      <c r="S1273" s="19">
        <v>10059.578999999998</v>
      </c>
      <c r="T1273" s="20" t="s">
        <v>99</v>
      </c>
      <c r="U1273" s="21" t="s">
        <v>40</v>
      </c>
      <c r="V1273" s="23">
        <v>48</v>
      </c>
      <c r="W1273" s="23">
        <v>1</v>
      </c>
      <c r="X1273" s="24"/>
    </row>
    <row r="1274" spans="1:24" s="1" customFormat="1" ht="108" customHeight="1" x14ac:dyDescent="0.3">
      <c r="A1274" s="11" t="s">
        <v>1936</v>
      </c>
      <c r="B1274" s="11" t="s">
        <v>1951</v>
      </c>
      <c r="C1274" s="12" t="s">
        <v>1952</v>
      </c>
      <c r="D1274" s="13"/>
      <c r="E1274" s="67" t="str">
        <f>HYPERLINK("https://www.google.ru/search?q=1905544-999900&amp;newwindow=1&amp;tbm=isch","Еще фото")</f>
        <v>Еще фото</v>
      </c>
      <c r="F1274" s="14"/>
      <c r="G1274" s="11" t="s">
        <v>1953</v>
      </c>
      <c r="H1274" s="11" t="s">
        <v>69</v>
      </c>
      <c r="I1274" s="15" t="s">
        <v>713</v>
      </c>
      <c r="J1274" s="15" t="s">
        <v>28</v>
      </c>
      <c r="K1274" s="16" t="s">
        <v>71</v>
      </c>
      <c r="L1274" s="15" t="s">
        <v>1954</v>
      </c>
      <c r="M1274" s="15"/>
      <c r="N1274" s="15" t="s">
        <v>38</v>
      </c>
      <c r="O1274" s="15"/>
      <c r="P1274" s="16" t="s">
        <v>1955</v>
      </c>
      <c r="Q1274" s="17">
        <v>4999</v>
      </c>
      <c r="R1274" s="18">
        <v>43</v>
      </c>
      <c r="S1274" s="19">
        <v>3276.8444999999997</v>
      </c>
      <c r="T1274" s="20" t="s">
        <v>99</v>
      </c>
      <c r="U1274" s="21" t="s">
        <v>1956</v>
      </c>
      <c r="V1274" s="22" t="s">
        <v>1957</v>
      </c>
      <c r="W1274" s="23">
        <v>1</v>
      </c>
      <c r="X1274" s="24"/>
    </row>
    <row r="1275" spans="1:24" s="1" customFormat="1" ht="108" customHeight="1" x14ac:dyDescent="0.3">
      <c r="A1275" s="11" t="s">
        <v>1936</v>
      </c>
      <c r="B1275" s="11" t="s">
        <v>1958</v>
      </c>
      <c r="C1275" s="12" t="s">
        <v>1959</v>
      </c>
      <c r="D1275" s="13"/>
      <c r="E1275" s="67" t="str">
        <f>HYPERLINK("https://www.google.ru/search?q=1910693-999900&amp;newwindow=1&amp;tbm=isch","Еще фото")</f>
        <v>Еще фото</v>
      </c>
      <c r="F1275" s="14"/>
      <c r="G1275" s="11" t="s">
        <v>712</v>
      </c>
      <c r="H1275" s="11" t="s">
        <v>69</v>
      </c>
      <c r="I1275" s="15" t="s">
        <v>713</v>
      </c>
      <c r="J1275" s="15" t="s">
        <v>162</v>
      </c>
      <c r="K1275" s="16" t="s">
        <v>71</v>
      </c>
      <c r="L1275" s="15" t="s">
        <v>1960</v>
      </c>
      <c r="M1275" s="15"/>
      <c r="N1275" s="15" t="s">
        <v>38</v>
      </c>
      <c r="O1275" s="15"/>
      <c r="P1275" s="16" t="s">
        <v>1961</v>
      </c>
      <c r="Q1275" s="17">
        <v>2299</v>
      </c>
      <c r="R1275" s="18">
        <v>43</v>
      </c>
      <c r="S1275" s="19">
        <v>1506.9945</v>
      </c>
      <c r="T1275" s="20" t="s">
        <v>99</v>
      </c>
      <c r="U1275" s="21" t="s">
        <v>1956</v>
      </c>
      <c r="V1275" s="22" t="s">
        <v>1957</v>
      </c>
      <c r="W1275" s="23">
        <v>2</v>
      </c>
      <c r="X1275" s="24"/>
    </row>
    <row r="1276" spans="1:24" s="1" customFormat="1" ht="108" customHeight="1" x14ac:dyDescent="0.3">
      <c r="A1276" s="11" t="s">
        <v>1936</v>
      </c>
      <c r="B1276" s="11" t="s">
        <v>1962</v>
      </c>
      <c r="C1276" s="12" t="s">
        <v>1963</v>
      </c>
      <c r="D1276" s="13"/>
      <c r="E1276" s="67" t="str">
        <f>HYPERLINK("https://www.google.ru/search?q=1904092-444000&amp;newwindow=1&amp;tbm=isch","Еще фото")</f>
        <v>Еще фото</v>
      </c>
      <c r="F1276" s="14"/>
      <c r="G1276" s="11" t="s">
        <v>1964</v>
      </c>
      <c r="H1276" s="11" t="s">
        <v>69</v>
      </c>
      <c r="I1276" s="15" t="s">
        <v>287</v>
      </c>
      <c r="J1276" s="15" t="s">
        <v>162</v>
      </c>
      <c r="K1276" s="16" t="s">
        <v>71</v>
      </c>
      <c r="L1276" s="15" t="s">
        <v>1965</v>
      </c>
      <c r="M1276" s="15"/>
      <c r="N1276" s="15" t="s">
        <v>212</v>
      </c>
      <c r="O1276" s="15"/>
      <c r="P1276" s="16" t="s">
        <v>106</v>
      </c>
      <c r="Q1276" s="17">
        <v>1399</v>
      </c>
      <c r="R1276" s="18">
        <v>46</v>
      </c>
      <c r="S1276" s="26">
        <v>868.779</v>
      </c>
      <c r="T1276" s="20" t="s">
        <v>75</v>
      </c>
      <c r="U1276" s="21" t="s">
        <v>1966</v>
      </c>
      <c r="V1276" s="22" t="s">
        <v>77</v>
      </c>
      <c r="W1276" s="23">
        <v>1</v>
      </c>
      <c r="X1276" s="24"/>
    </row>
    <row r="1277" spans="1:24" s="1" customFormat="1" ht="108" customHeight="1" x14ac:dyDescent="0.3">
      <c r="A1277" s="11" t="s">
        <v>1936</v>
      </c>
      <c r="B1277" s="11" t="s">
        <v>1967</v>
      </c>
      <c r="C1277" s="12" t="s">
        <v>1968</v>
      </c>
      <c r="D1277" s="13"/>
      <c r="E1277" s="67" t="str">
        <f>HYPERLINK("https://www.google.ru/search?q=1909706-999000&amp;newwindow=1&amp;tbm=isch","Еще фото")</f>
        <v>Еще фото</v>
      </c>
      <c r="F1277" s="14"/>
      <c r="G1277" s="11" t="s">
        <v>1969</v>
      </c>
      <c r="H1277" s="11" t="s">
        <v>27</v>
      </c>
      <c r="I1277" s="15" t="s">
        <v>1970</v>
      </c>
      <c r="J1277" s="15" t="s">
        <v>162</v>
      </c>
      <c r="K1277" s="16" t="s">
        <v>29</v>
      </c>
      <c r="L1277" s="15" t="s">
        <v>1971</v>
      </c>
      <c r="M1277" s="15"/>
      <c r="N1277" s="15" t="s">
        <v>38</v>
      </c>
      <c r="O1277" s="15"/>
      <c r="P1277" s="16" t="s">
        <v>106</v>
      </c>
      <c r="Q1277" s="17">
        <v>8099</v>
      </c>
      <c r="R1277" s="18">
        <v>46</v>
      </c>
      <c r="S1277" s="19">
        <v>5029.4789999999994</v>
      </c>
      <c r="T1277" s="20" t="s">
        <v>99</v>
      </c>
      <c r="U1277" s="21" t="s">
        <v>52</v>
      </c>
      <c r="V1277" s="23">
        <v>46</v>
      </c>
      <c r="W1277" s="23">
        <v>5</v>
      </c>
      <c r="X1277" s="24"/>
    </row>
    <row r="1278" spans="1:24" s="1" customFormat="1" ht="35" customHeight="1" x14ac:dyDescent="0.3">
      <c r="A1278" s="11" t="s">
        <v>1936</v>
      </c>
      <c r="B1278" s="11" t="s">
        <v>1972</v>
      </c>
      <c r="C1278" s="12" t="s">
        <v>1973</v>
      </c>
      <c r="D1278" s="85"/>
      <c r="E1278" s="67" t="str">
        <f>HYPERLINK("https://www.google.ru/search?q=1912644-444905&amp;newwindow=1&amp;tbm=isch","Еще фото")</f>
        <v>Еще фото</v>
      </c>
      <c r="F1278" s="14"/>
      <c r="G1278" s="11" t="s">
        <v>1974</v>
      </c>
      <c r="H1278" s="11" t="s">
        <v>27</v>
      </c>
      <c r="I1278" s="15" t="s">
        <v>301</v>
      </c>
      <c r="J1278" s="15" t="s">
        <v>162</v>
      </c>
      <c r="K1278" s="16" t="s">
        <v>29</v>
      </c>
      <c r="L1278" s="83" t="s">
        <v>1975</v>
      </c>
      <c r="M1278" s="15"/>
      <c r="N1278" s="15" t="s">
        <v>212</v>
      </c>
      <c r="O1278" s="15"/>
      <c r="P1278" s="16" t="s">
        <v>1976</v>
      </c>
      <c r="Q1278" s="17">
        <v>12099</v>
      </c>
      <c r="R1278" s="18">
        <v>61.67</v>
      </c>
      <c r="S1278" s="19">
        <v>5333.4355000000005</v>
      </c>
      <c r="T1278" s="20" t="s">
        <v>99</v>
      </c>
      <c r="U1278" s="21" t="s">
        <v>34</v>
      </c>
      <c r="V1278" s="23">
        <v>44</v>
      </c>
      <c r="W1278" s="23">
        <v>5</v>
      </c>
      <c r="X1278" s="24"/>
    </row>
    <row r="1279" spans="1:24" s="1" customFormat="1" ht="35" customHeight="1" x14ac:dyDescent="0.3">
      <c r="A1279" s="25" t="s">
        <v>1936</v>
      </c>
      <c r="B1279" s="25" t="s">
        <v>1972</v>
      </c>
      <c r="C1279" s="12" t="s">
        <v>1973</v>
      </c>
      <c r="D1279" s="86"/>
      <c r="E1279" s="67" t="str">
        <f>HYPERLINK("https://www.google.ru/search?q=1912644-444905&amp;newwindow=1&amp;tbm=isch","Еще фото")</f>
        <v>Еще фото</v>
      </c>
      <c r="F1279" s="14"/>
      <c r="G1279" s="25" t="s">
        <v>1974</v>
      </c>
      <c r="H1279" s="25" t="s">
        <v>27</v>
      </c>
      <c r="I1279" s="25" t="s">
        <v>301</v>
      </c>
      <c r="J1279" s="15" t="s">
        <v>162</v>
      </c>
      <c r="K1279" s="16" t="s">
        <v>29</v>
      </c>
      <c r="L1279" s="88"/>
      <c r="M1279" s="15"/>
      <c r="N1279" s="15" t="s">
        <v>212</v>
      </c>
      <c r="O1279" s="15"/>
      <c r="P1279" s="16" t="s">
        <v>1976</v>
      </c>
      <c r="Q1279" s="17">
        <v>12099</v>
      </c>
      <c r="R1279" s="18">
        <v>61.67</v>
      </c>
      <c r="S1279" s="19">
        <v>5333.4355000000005</v>
      </c>
      <c r="T1279" s="20" t="s">
        <v>99</v>
      </c>
      <c r="U1279" s="21" t="s">
        <v>52</v>
      </c>
      <c r="V1279" s="23">
        <v>46</v>
      </c>
      <c r="W1279" s="23">
        <v>6</v>
      </c>
      <c r="X1279" s="24"/>
    </row>
    <row r="1280" spans="1:24" s="1" customFormat="1" ht="37.049999999999997" customHeight="1" x14ac:dyDescent="0.3">
      <c r="A1280" s="25" t="s">
        <v>1936</v>
      </c>
      <c r="B1280" s="25" t="s">
        <v>1972</v>
      </c>
      <c r="C1280" s="12" t="s">
        <v>1973</v>
      </c>
      <c r="D1280" s="87"/>
      <c r="E1280" s="67" t="str">
        <f>HYPERLINK("https://www.google.ru/search?q=1912644-444905&amp;newwindow=1&amp;tbm=isch","Еще фото")</f>
        <v>Еще фото</v>
      </c>
      <c r="F1280" s="14"/>
      <c r="G1280" s="25" t="s">
        <v>1974</v>
      </c>
      <c r="H1280" s="25" t="s">
        <v>27</v>
      </c>
      <c r="I1280" s="25" t="s">
        <v>301</v>
      </c>
      <c r="J1280" s="15" t="s">
        <v>162</v>
      </c>
      <c r="K1280" s="16" t="s">
        <v>29</v>
      </c>
      <c r="L1280" s="84"/>
      <c r="M1280" s="15"/>
      <c r="N1280" s="15" t="s">
        <v>212</v>
      </c>
      <c r="O1280" s="15"/>
      <c r="P1280" s="16" t="s">
        <v>1976</v>
      </c>
      <c r="Q1280" s="17">
        <v>12099</v>
      </c>
      <c r="R1280" s="18">
        <v>61.67</v>
      </c>
      <c r="S1280" s="19">
        <v>5333.4355000000005</v>
      </c>
      <c r="T1280" s="20" t="s">
        <v>99</v>
      </c>
      <c r="U1280" s="21" t="s">
        <v>40</v>
      </c>
      <c r="V1280" s="23">
        <v>48</v>
      </c>
      <c r="W1280" s="23">
        <v>4</v>
      </c>
      <c r="X1280" s="24"/>
    </row>
    <row r="1281" spans="1:24" s="1" customFormat="1" ht="108" customHeight="1" x14ac:dyDescent="0.3">
      <c r="A1281" s="11" t="s">
        <v>1936</v>
      </c>
      <c r="B1281" s="11" t="s">
        <v>1977</v>
      </c>
      <c r="C1281" s="12" t="s">
        <v>1978</v>
      </c>
      <c r="D1281" s="13"/>
      <c r="E1281" s="67" t="str">
        <f>HYPERLINK("https://www.google.ru/search?q=1913625-726000&amp;newwindow=1&amp;tbm=isch","Еще фото")</f>
        <v>Еще фото</v>
      </c>
      <c r="F1281" s="14"/>
      <c r="G1281" s="11" t="s">
        <v>1974</v>
      </c>
      <c r="H1281" s="11" t="s">
        <v>27</v>
      </c>
      <c r="I1281" s="15" t="s">
        <v>301</v>
      </c>
      <c r="J1281" s="15" t="s">
        <v>162</v>
      </c>
      <c r="K1281" s="16" t="s">
        <v>29</v>
      </c>
      <c r="L1281" s="15" t="s">
        <v>1979</v>
      </c>
      <c r="M1281" s="15"/>
      <c r="N1281" s="15" t="s">
        <v>212</v>
      </c>
      <c r="O1281" s="15"/>
      <c r="P1281" s="16" t="s">
        <v>1980</v>
      </c>
      <c r="Q1281" s="17">
        <v>8099</v>
      </c>
      <c r="R1281" s="18">
        <v>46</v>
      </c>
      <c r="S1281" s="19">
        <v>5029.4789999999994</v>
      </c>
      <c r="T1281" s="20" t="s">
        <v>99</v>
      </c>
      <c r="U1281" s="21" t="s">
        <v>40</v>
      </c>
      <c r="V1281" s="23">
        <v>48</v>
      </c>
      <c r="W1281" s="23">
        <v>3</v>
      </c>
      <c r="X1281" s="24"/>
    </row>
    <row r="1282" spans="1:24" s="1" customFormat="1" ht="108" customHeight="1" x14ac:dyDescent="0.3">
      <c r="A1282" s="11" t="s">
        <v>1936</v>
      </c>
      <c r="B1282" s="11" t="s">
        <v>1981</v>
      </c>
      <c r="C1282" s="12" t="s">
        <v>1982</v>
      </c>
      <c r="D1282" s="13"/>
      <c r="E1282" s="67" t="str">
        <f>HYPERLINK("https://www.google.ru/search?q=1913616-999000&amp;newwindow=1&amp;tbm=isch","Еще фото")</f>
        <v>Еще фото</v>
      </c>
      <c r="F1282" s="14"/>
      <c r="G1282" s="11" t="s">
        <v>1974</v>
      </c>
      <c r="H1282" s="11" t="s">
        <v>27</v>
      </c>
      <c r="I1282" s="15" t="s">
        <v>301</v>
      </c>
      <c r="J1282" s="15" t="s">
        <v>162</v>
      </c>
      <c r="K1282" s="16" t="s">
        <v>45</v>
      </c>
      <c r="L1282" s="15" t="s">
        <v>1979</v>
      </c>
      <c r="M1282" s="15"/>
      <c r="N1282" s="15" t="s">
        <v>38</v>
      </c>
      <c r="O1282" s="15"/>
      <c r="P1282" s="16" t="s">
        <v>1980</v>
      </c>
      <c r="Q1282" s="17">
        <v>8099</v>
      </c>
      <c r="R1282" s="18">
        <v>40</v>
      </c>
      <c r="S1282" s="19">
        <v>5588.3099999999995</v>
      </c>
      <c r="T1282" s="20" t="s">
        <v>99</v>
      </c>
      <c r="U1282" s="21" t="s">
        <v>52</v>
      </c>
      <c r="V1282" s="23">
        <v>48</v>
      </c>
      <c r="W1282" s="23">
        <v>1</v>
      </c>
      <c r="X1282" s="24"/>
    </row>
    <row r="1283" spans="1:24" s="1" customFormat="1" ht="108" customHeight="1" x14ac:dyDescent="0.3">
      <c r="A1283" s="11" t="s">
        <v>1936</v>
      </c>
      <c r="B1283" s="11" t="s">
        <v>1983</v>
      </c>
      <c r="C1283" s="12" t="s">
        <v>1984</v>
      </c>
      <c r="D1283" s="13"/>
      <c r="E1283" s="67" t="str">
        <f>HYPERLINK("https://www.google.ru/search?q=1913723-999000&amp;newwindow=1&amp;tbm=isch","Еще фото")</f>
        <v>Еще фото</v>
      </c>
      <c r="F1283" s="14"/>
      <c r="G1283" s="11" t="s">
        <v>439</v>
      </c>
      <c r="H1283" s="11" t="s">
        <v>27</v>
      </c>
      <c r="I1283" s="15" t="s">
        <v>439</v>
      </c>
      <c r="J1283" s="15" t="s">
        <v>162</v>
      </c>
      <c r="K1283" s="16" t="s">
        <v>45</v>
      </c>
      <c r="L1283" s="15" t="s">
        <v>1985</v>
      </c>
      <c r="M1283" s="15"/>
      <c r="N1283" s="15" t="s">
        <v>38</v>
      </c>
      <c r="O1283" s="15"/>
      <c r="P1283" s="16" t="s">
        <v>106</v>
      </c>
      <c r="Q1283" s="17">
        <v>9499</v>
      </c>
      <c r="R1283" s="18">
        <v>49.7</v>
      </c>
      <c r="S1283" s="19">
        <v>5494.4355000000005</v>
      </c>
      <c r="T1283" s="20" t="s">
        <v>99</v>
      </c>
      <c r="U1283" s="21" t="s">
        <v>42</v>
      </c>
      <c r="V1283" s="23">
        <v>52</v>
      </c>
      <c r="W1283" s="23">
        <v>1</v>
      </c>
      <c r="X1283" s="24"/>
    </row>
    <row r="1284" spans="1:24" s="1" customFormat="1" ht="108" customHeight="1" x14ac:dyDescent="0.3">
      <c r="A1284" s="11" t="s">
        <v>1986</v>
      </c>
      <c r="B1284" s="11" t="s">
        <v>1987</v>
      </c>
      <c r="C1284" s="12" t="s">
        <v>1988</v>
      </c>
      <c r="D1284" s="13"/>
      <c r="E1284" s="67" t="str">
        <f>HYPERLINK("https://www.google.ru/search?q=C61STM-G&amp;newwindow=1&amp;tbm=isch","Еще фото")</f>
        <v>Еще фото</v>
      </c>
      <c r="F1284" s="14"/>
      <c r="G1284" s="11" t="s">
        <v>1989</v>
      </c>
      <c r="H1284" s="11" t="s">
        <v>27</v>
      </c>
      <c r="I1284" s="15" t="s">
        <v>26</v>
      </c>
      <c r="J1284" s="15" t="s">
        <v>1990</v>
      </c>
      <c r="K1284" s="16" t="s">
        <v>45</v>
      </c>
      <c r="L1284" s="15" t="s">
        <v>1991</v>
      </c>
      <c r="M1284" s="15"/>
      <c r="N1284" s="15" t="s">
        <v>55</v>
      </c>
      <c r="O1284" s="15"/>
      <c r="P1284" s="16" t="s">
        <v>1992</v>
      </c>
      <c r="Q1284" s="17">
        <v>10509</v>
      </c>
      <c r="R1284" s="18">
        <v>85.56</v>
      </c>
      <c r="S1284" s="19">
        <v>1745.4354999999998</v>
      </c>
      <c r="T1284" s="20" t="s">
        <v>99</v>
      </c>
      <c r="U1284" s="21" t="s">
        <v>52</v>
      </c>
      <c r="V1284" s="22" t="s">
        <v>41</v>
      </c>
      <c r="W1284" s="23">
        <v>4</v>
      </c>
      <c r="X1284" s="24"/>
    </row>
    <row r="1285" spans="1:24" s="1" customFormat="1" ht="108" customHeight="1" x14ac:dyDescent="0.3">
      <c r="A1285" s="11" t="s">
        <v>1986</v>
      </c>
      <c r="B1285" s="11" t="s">
        <v>1987</v>
      </c>
      <c r="C1285" s="12" t="s">
        <v>1993</v>
      </c>
      <c r="D1285" s="13"/>
      <c r="E1285" s="67" t="str">
        <f>HYPERLINK("https://www.google.ru/search?q=C61STW-DO&amp;newwindow=1&amp;tbm=isch","Еще фото")</f>
        <v>Еще фото</v>
      </c>
      <c r="F1285" s="14"/>
      <c r="G1285" s="11" t="s">
        <v>1989</v>
      </c>
      <c r="H1285" s="11" t="s">
        <v>27</v>
      </c>
      <c r="I1285" s="15" t="s">
        <v>26</v>
      </c>
      <c r="J1285" s="15" t="s">
        <v>1990</v>
      </c>
      <c r="K1285" s="16" t="s">
        <v>29</v>
      </c>
      <c r="L1285" s="15" t="s">
        <v>1991</v>
      </c>
      <c r="M1285" s="15"/>
      <c r="N1285" s="15" t="s">
        <v>948</v>
      </c>
      <c r="O1285" s="15"/>
      <c r="P1285" s="16" t="s">
        <v>1992</v>
      </c>
      <c r="Q1285" s="17">
        <v>10509</v>
      </c>
      <c r="R1285" s="18">
        <v>40</v>
      </c>
      <c r="S1285" s="19">
        <v>7251.2099999999991</v>
      </c>
      <c r="T1285" s="20" t="s">
        <v>99</v>
      </c>
      <c r="U1285" s="21" t="s">
        <v>52</v>
      </c>
      <c r="V1285" s="22" t="s">
        <v>53</v>
      </c>
      <c r="W1285" s="23">
        <v>1</v>
      </c>
      <c r="X1285" s="24"/>
    </row>
    <row r="1286" spans="1:24" s="1" customFormat="1" ht="35" customHeight="1" x14ac:dyDescent="0.3">
      <c r="A1286" s="11" t="s">
        <v>1986</v>
      </c>
      <c r="B1286" s="11" t="s">
        <v>1994</v>
      </c>
      <c r="C1286" s="12" t="s">
        <v>1995</v>
      </c>
      <c r="D1286" s="85"/>
      <c r="E1286" s="67" t="str">
        <f>HYPERLINK("https://www.google.ru/search?q=CR606M-5&amp;newwindow=1&amp;tbm=isch","Еще фото")</f>
        <v>Еще фото</v>
      </c>
      <c r="F1286" s="14"/>
      <c r="G1286" s="11" t="s">
        <v>617</v>
      </c>
      <c r="H1286" s="11" t="s">
        <v>27</v>
      </c>
      <c r="I1286" s="15" t="s">
        <v>26</v>
      </c>
      <c r="J1286" s="15" t="s">
        <v>1996</v>
      </c>
      <c r="K1286" s="16" t="s">
        <v>45</v>
      </c>
      <c r="L1286" s="83" t="s">
        <v>1997</v>
      </c>
      <c r="M1286" s="15"/>
      <c r="N1286" s="15" t="s">
        <v>38</v>
      </c>
      <c r="O1286" s="15"/>
      <c r="P1286" s="16" t="s">
        <v>1998</v>
      </c>
      <c r="Q1286" s="17">
        <v>15759</v>
      </c>
      <c r="R1286" s="18">
        <v>40</v>
      </c>
      <c r="S1286" s="19">
        <v>10873.71</v>
      </c>
      <c r="T1286" s="20" t="s">
        <v>99</v>
      </c>
      <c r="U1286" s="21" t="s">
        <v>1999</v>
      </c>
      <c r="V1286" s="23">
        <v>44</v>
      </c>
      <c r="W1286" s="23">
        <v>3</v>
      </c>
      <c r="X1286" s="24"/>
    </row>
    <row r="1287" spans="1:24" s="1" customFormat="1" ht="35" customHeight="1" x14ac:dyDescent="0.3">
      <c r="A1287" s="25" t="s">
        <v>1986</v>
      </c>
      <c r="B1287" s="25" t="s">
        <v>1994</v>
      </c>
      <c r="C1287" s="12" t="s">
        <v>1995</v>
      </c>
      <c r="D1287" s="86"/>
      <c r="E1287" s="67" t="str">
        <f>HYPERLINK("https://www.google.ru/search?q=CR606M-5&amp;newwindow=1&amp;tbm=isch","Еще фото")</f>
        <v>Еще фото</v>
      </c>
      <c r="F1287" s="14"/>
      <c r="G1287" s="25" t="s">
        <v>617</v>
      </c>
      <c r="H1287" s="25" t="s">
        <v>27</v>
      </c>
      <c r="I1287" s="25" t="s">
        <v>26</v>
      </c>
      <c r="J1287" s="15" t="s">
        <v>1996</v>
      </c>
      <c r="K1287" s="16" t="s">
        <v>45</v>
      </c>
      <c r="L1287" s="88"/>
      <c r="M1287" s="15"/>
      <c r="N1287" s="15" t="s">
        <v>38</v>
      </c>
      <c r="O1287" s="15"/>
      <c r="P1287" s="16" t="s">
        <v>1998</v>
      </c>
      <c r="Q1287" s="17">
        <v>15759</v>
      </c>
      <c r="R1287" s="18">
        <v>40</v>
      </c>
      <c r="S1287" s="19">
        <v>10873.71</v>
      </c>
      <c r="T1287" s="20" t="s">
        <v>99</v>
      </c>
      <c r="U1287" s="21" t="s">
        <v>2000</v>
      </c>
      <c r="V1287" s="23">
        <v>46</v>
      </c>
      <c r="W1287" s="23">
        <v>5</v>
      </c>
      <c r="X1287" s="24"/>
    </row>
    <row r="1288" spans="1:24" s="1" customFormat="1" ht="37.049999999999997" customHeight="1" x14ac:dyDescent="0.3">
      <c r="A1288" s="25" t="s">
        <v>1986</v>
      </c>
      <c r="B1288" s="25" t="s">
        <v>1994</v>
      </c>
      <c r="C1288" s="12" t="s">
        <v>1995</v>
      </c>
      <c r="D1288" s="87"/>
      <c r="E1288" s="67" t="str">
        <f>HYPERLINK("https://www.google.ru/search?q=CR606M-5&amp;newwindow=1&amp;tbm=isch","Еще фото")</f>
        <v>Еще фото</v>
      </c>
      <c r="F1288" s="14"/>
      <c r="G1288" s="25" t="s">
        <v>617</v>
      </c>
      <c r="H1288" s="25" t="s">
        <v>27</v>
      </c>
      <c r="I1288" s="25" t="s">
        <v>26</v>
      </c>
      <c r="J1288" s="15" t="s">
        <v>1996</v>
      </c>
      <c r="K1288" s="16" t="s">
        <v>45</v>
      </c>
      <c r="L1288" s="84"/>
      <c r="M1288" s="15"/>
      <c r="N1288" s="15" t="s">
        <v>38</v>
      </c>
      <c r="O1288" s="15"/>
      <c r="P1288" s="16" t="s">
        <v>1998</v>
      </c>
      <c r="Q1288" s="17">
        <v>15759</v>
      </c>
      <c r="R1288" s="18">
        <v>40</v>
      </c>
      <c r="S1288" s="19">
        <v>10873.71</v>
      </c>
      <c r="T1288" s="20" t="s">
        <v>99</v>
      </c>
      <c r="U1288" s="21" t="s">
        <v>2001</v>
      </c>
      <c r="V1288" s="23">
        <v>48</v>
      </c>
      <c r="W1288" s="23">
        <v>6</v>
      </c>
      <c r="X1288" s="24"/>
    </row>
    <row r="1289" spans="1:24" s="1" customFormat="1" ht="35" customHeight="1" x14ac:dyDescent="0.3">
      <c r="A1289" s="11" t="s">
        <v>1986</v>
      </c>
      <c r="B1289" s="11" t="s">
        <v>2002</v>
      </c>
      <c r="C1289" s="12" t="s">
        <v>2003</v>
      </c>
      <c r="D1289" s="85"/>
      <c r="E1289" s="67" t="str">
        <f>HYPERLINK("https://www.google.ru/search?q=CR606W-5&amp;newwindow=1&amp;tbm=isch","Еще фото")</f>
        <v>Еще фото</v>
      </c>
      <c r="F1289" s="14"/>
      <c r="G1289" s="11" t="s">
        <v>617</v>
      </c>
      <c r="H1289" s="11" t="s">
        <v>27</v>
      </c>
      <c r="I1289" s="15" t="s">
        <v>26</v>
      </c>
      <c r="J1289" s="15" t="s">
        <v>1996</v>
      </c>
      <c r="K1289" s="16" t="s">
        <v>29</v>
      </c>
      <c r="L1289" s="83" t="s">
        <v>1997</v>
      </c>
      <c r="M1289" s="15"/>
      <c r="N1289" s="15" t="s">
        <v>38</v>
      </c>
      <c r="O1289" s="15"/>
      <c r="P1289" s="16" t="s">
        <v>1998</v>
      </c>
      <c r="Q1289" s="17">
        <v>15759</v>
      </c>
      <c r="R1289" s="18">
        <v>40</v>
      </c>
      <c r="S1289" s="19">
        <v>10873.71</v>
      </c>
      <c r="T1289" s="20" t="s">
        <v>99</v>
      </c>
      <c r="U1289" s="21" t="s">
        <v>2004</v>
      </c>
      <c r="V1289" s="22" t="s">
        <v>35</v>
      </c>
      <c r="W1289" s="23">
        <v>2</v>
      </c>
      <c r="X1289" s="24"/>
    </row>
    <row r="1290" spans="1:24" s="1" customFormat="1" ht="35" customHeight="1" x14ac:dyDescent="0.3">
      <c r="A1290" s="25" t="s">
        <v>1986</v>
      </c>
      <c r="B1290" s="25" t="s">
        <v>2002</v>
      </c>
      <c r="C1290" s="12" t="s">
        <v>2003</v>
      </c>
      <c r="D1290" s="86"/>
      <c r="E1290" s="67" t="str">
        <f>HYPERLINK("https://www.google.ru/search?q=CR606W-5&amp;newwindow=1&amp;tbm=isch","Еще фото")</f>
        <v>Еще фото</v>
      </c>
      <c r="F1290" s="14"/>
      <c r="G1290" s="25" t="s">
        <v>617</v>
      </c>
      <c r="H1290" s="25" t="s">
        <v>27</v>
      </c>
      <c r="I1290" s="25" t="s">
        <v>26</v>
      </c>
      <c r="J1290" s="15" t="s">
        <v>1996</v>
      </c>
      <c r="K1290" s="16" t="s">
        <v>29</v>
      </c>
      <c r="L1290" s="88"/>
      <c r="M1290" s="15"/>
      <c r="N1290" s="15" t="s">
        <v>38</v>
      </c>
      <c r="O1290" s="15"/>
      <c r="P1290" s="16" t="s">
        <v>1998</v>
      </c>
      <c r="Q1290" s="17">
        <v>15759</v>
      </c>
      <c r="R1290" s="18">
        <v>40</v>
      </c>
      <c r="S1290" s="19">
        <v>10873.71</v>
      </c>
      <c r="T1290" s="20" t="s">
        <v>99</v>
      </c>
      <c r="U1290" s="21" t="s">
        <v>1999</v>
      </c>
      <c r="V1290" s="22" t="s">
        <v>53</v>
      </c>
      <c r="W1290" s="23">
        <v>6</v>
      </c>
      <c r="X1290" s="24"/>
    </row>
    <row r="1291" spans="1:24" s="1" customFormat="1" ht="37.049999999999997" customHeight="1" x14ac:dyDescent="0.3">
      <c r="A1291" s="25" t="s">
        <v>1986</v>
      </c>
      <c r="B1291" s="25" t="s">
        <v>2002</v>
      </c>
      <c r="C1291" s="12" t="s">
        <v>2003</v>
      </c>
      <c r="D1291" s="87"/>
      <c r="E1291" s="67" t="str">
        <f>HYPERLINK("https://www.google.ru/search?q=CR606W-5&amp;newwindow=1&amp;tbm=isch","Еще фото")</f>
        <v>Еще фото</v>
      </c>
      <c r="F1291" s="14"/>
      <c r="G1291" s="25" t="s">
        <v>617</v>
      </c>
      <c r="H1291" s="25" t="s">
        <v>27</v>
      </c>
      <c r="I1291" s="25" t="s">
        <v>26</v>
      </c>
      <c r="J1291" s="15" t="s">
        <v>1996</v>
      </c>
      <c r="K1291" s="16" t="s">
        <v>29</v>
      </c>
      <c r="L1291" s="84"/>
      <c r="M1291" s="15"/>
      <c r="N1291" s="15" t="s">
        <v>38</v>
      </c>
      <c r="O1291" s="15"/>
      <c r="P1291" s="16" t="s">
        <v>1998</v>
      </c>
      <c r="Q1291" s="17">
        <v>15759</v>
      </c>
      <c r="R1291" s="18">
        <v>40</v>
      </c>
      <c r="S1291" s="19">
        <v>10873.71</v>
      </c>
      <c r="T1291" s="20" t="s">
        <v>99</v>
      </c>
      <c r="U1291" s="21" t="s">
        <v>2000</v>
      </c>
      <c r="V1291" s="22" t="s">
        <v>41</v>
      </c>
      <c r="W1291" s="23">
        <v>3</v>
      </c>
      <c r="X1291" s="24"/>
    </row>
    <row r="1292" spans="1:24" s="1" customFormat="1" ht="52.05" customHeight="1" x14ac:dyDescent="0.3">
      <c r="A1292" s="11" t="s">
        <v>1986</v>
      </c>
      <c r="B1292" s="11" t="s">
        <v>2005</v>
      </c>
      <c r="C1292" s="12" t="s">
        <v>2006</v>
      </c>
      <c r="D1292" s="81"/>
      <c r="E1292" s="67" t="str">
        <f>HYPERLINK("https://www.google.ru/search?q=CR60W-5&amp;newwindow=1&amp;tbm=isch","Еще фото")</f>
        <v>Еще фото</v>
      </c>
      <c r="F1292" s="14"/>
      <c r="G1292" s="11" t="s">
        <v>2007</v>
      </c>
      <c r="H1292" s="11" t="s">
        <v>27</v>
      </c>
      <c r="I1292" s="15" t="s">
        <v>26</v>
      </c>
      <c r="J1292" s="15" t="s">
        <v>1996</v>
      </c>
      <c r="K1292" s="16" t="s">
        <v>29</v>
      </c>
      <c r="L1292" s="83" t="s">
        <v>2008</v>
      </c>
      <c r="M1292" s="15"/>
      <c r="N1292" s="15" t="s">
        <v>38</v>
      </c>
      <c r="O1292" s="15"/>
      <c r="P1292" s="16" t="s">
        <v>2009</v>
      </c>
      <c r="Q1292" s="17">
        <v>15799</v>
      </c>
      <c r="R1292" s="18">
        <v>40</v>
      </c>
      <c r="S1292" s="19">
        <v>10901.31</v>
      </c>
      <c r="T1292" s="20" t="s">
        <v>99</v>
      </c>
      <c r="U1292" s="21" t="s">
        <v>2000</v>
      </c>
      <c r="V1292" s="22" t="s">
        <v>41</v>
      </c>
      <c r="W1292" s="23">
        <v>2</v>
      </c>
      <c r="X1292" s="24"/>
    </row>
    <row r="1293" spans="1:24" s="1" customFormat="1" ht="61.05" customHeight="1" x14ac:dyDescent="0.3">
      <c r="A1293" s="25" t="s">
        <v>1986</v>
      </c>
      <c r="B1293" s="25" t="s">
        <v>2005</v>
      </c>
      <c r="C1293" s="12" t="s">
        <v>2006</v>
      </c>
      <c r="D1293" s="82"/>
      <c r="E1293" s="67" t="str">
        <f>HYPERLINK("https://www.google.ru/search?q=CR60W-5&amp;newwindow=1&amp;tbm=isch","Еще фото")</f>
        <v>Еще фото</v>
      </c>
      <c r="F1293" s="14"/>
      <c r="G1293" s="25" t="s">
        <v>2007</v>
      </c>
      <c r="H1293" s="25" t="s">
        <v>27</v>
      </c>
      <c r="I1293" s="25" t="s">
        <v>26</v>
      </c>
      <c r="J1293" s="15" t="s">
        <v>1996</v>
      </c>
      <c r="K1293" s="16" t="s">
        <v>29</v>
      </c>
      <c r="L1293" s="84"/>
      <c r="M1293" s="15"/>
      <c r="N1293" s="15" t="s">
        <v>38</v>
      </c>
      <c r="O1293" s="15"/>
      <c r="P1293" s="16" t="s">
        <v>2009</v>
      </c>
      <c r="Q1293" s="17">
        <v>15799</v>
      </c>
      <c r="R1293" s="18">
        <v>40</v>
      </c>
      <c r="S1293" s="19">
        <v>10901.31</v>
      </c>
      <c r="T1293" s="20" t="s">
        <v>99</v>
      </c>
      <c r="U1293" s="21" t="s">
        <v>2001</v>
      </c>
      <c r="V1293" s="22" t="s">
        <v>43</v>
      </c>
      <c r="W1293" s="23">
        <v>3</v>
      </c>
      <c r="X1293" s="24"/>
    </row>
    <row r="1294" spans="1:24" s="1" customFormat="1" ht="108" customHeight="1" x14ac:dyDescent="0.3">
      <c r="A1294" s="11" t="s">
        <v>1986</v>
      </c>
      <c r="B1294" s="11" t="s">
        <v>2010</v>
      </c>
      <c r="C1294" s="12" t="s">
        <v>2011</v>
      </c>
      <c r="D1294" s="13"/>
      <c r="E1294" s="67" t="str">
        <f>HYPERLINK("https://www.google.ru/search?q=CB948U-5&amp;newwindow=1&amp;tbm=isch","Еще фото")</f>
        <v>Еще фото</v>
      </c>
      <c r="F1294" s="14"/>
      <c r="G1294" s="11" t="s">
        <v>623</v>
      </c>
      <c r="H1294" s="11" t="s">
        <v>69</v>
      </c>
      <c r="I1294" s="15" t="s">
        <v>70</v>
      </c>
      <c r="J1294" s="15" t="s">
        <v>162</v>
      </c>
      <c r="K1294" s="16" t="s">
        <v>71</v>
      </c>
      <c r="L1294" s="15" t="s">
        <v>2012</v>
      </c>
      <c r="M1294" s="15"/>
      <c r="N1294" s="15" t="s">
        <v>38</v>
      </c>
      <c r="O1294" s="15"/>
      <c r="P1294" s="16" t="s">
        <v>106</v>
      </c>
      <c r="Q1294" s="17">
        <v>1899</v>
      </c>
      <c r="R1294" s="18">
        <v>40</v>
      </c>
      <c r="S1294" s="19">
        <v>1310.31</v>
      </c>
      <c r="T1294" s="20" t="s">
        <v>75</v>
      </c>
      <c r="U1294" s="21" t="s">
        <v>2013</v>
      </c>
      <c r="V1294" s="22" t="s">
        <v>77</v>
      </c>
      <c r="W1294" s="23">
        <v>6</v>
      </c>
      <c r="X1294" s="24"/>
    </row>
    <row r="1295" spans="1:24" s="1" customFormat="1" ht="108" customHeight="1" x14ac:dyDescent="0.3">
      <c r="A1295" s="11" t="s">
        <v>1986</v>
      </c>
      <c r="B1295" s="11" t="s">
        <v>2014</v>
      </c>
      <c r="C1295" s="12" t="s">
        <v>2015</v>
      </c>
      <c r="D1295" s="13"/>
      <c r="E1295" s="67" t="str">
        <f>HYPERLINK("https://www.google.ru/search?q=CB9UPU-2&amp;newwindow=1&amp;tbm=isch","Еще фото")</f>
        <v>Еще фото</v>
      </c>
      <c r="F1295" s="14"/>
      <c r="G1295" s="11" t="s">
        <v>104</v>
      </c>
      <c r="H1295" s="11" t="s">
        <v>69</v>
      </c>
      <c r="I1295" s="15" t="s">
        <v>105</v>
      </c>
      <c r="J1295" s="15" t="s">
        <v>28</v>
      </c>
      <c r="K1295" s="16" t="s">
        <v>71</v>
      </c>
      <c r="L1295" s="15" t="s">
        <v>2016</v>
      </c>
      <c r="M1295" s="15"/>
      <c r="N1295" s="15" t="s">
        <v>218</v>
      </c>
      <c r="O1295" s="15"/>
      <c r="P1295" s="16" t="s">
        <v>106</v>
      </c>
      <c r="Q1295" s="17">
        <v>5299</v>
      </c>
      <c r="R1295" s="18">
        <v>61.54</v>
      </c>
      <c r="S1295" s="19">
        <v>2343.4354999999996</v>
      </c>
      <c r="T1295" s="20" t="s">
        <v>75</v>
      </c>
      <c r="U1295" s="21" t="s">
        <v>2013</v>
      </c>
      <c r="V1295" s="22" t="s">
        <v>2017</v>
      </c>
      <c r="W1295" s="23">
        <v>7</v>
      </c>
      <c r="X1295" s="24"/>
    </row>
    <row r="1296" spans="1:24" s="1" customFormat="1" ht="108" customHeight="1" x14ac:dyDescent="0.3">
      <c r="A1296" s="11" t="s">
        <v>1986</v>
      </c>
      <c r="B1296" s="11" t="s">
        <v>2014</v>
      </c>
      <c r="C1296" s="12" t="s">
        <v>2018</v>
      </c>
      <c r="D1296" s="13"/>
      <c r="E1296" s="67" t="str">
        <f>HYPERLINK("https://www.google.ru/search?q=CB9UPU-G&amp;newwindow=1&amp;tbm=isch","Еще фото")</f>
        <v>Еще фото</v>
      </c>
      <c r="F1296" s="14"/>
      <c r="G1296" s="11" t="s">
        <v>104</v>
      </c>
      <c r="H1296" s="11" t="s">
        <v>69</v>
      </c>
      <c r="I1296" s="15" t="s">
        <v>105</v>
      </c>
      <c r="J1296" s="15" t="s">
        <v>28</v>
      </c>
      <c r="K1296" s="16" t="s">
        <v>71</v>
      </c>
      <c r="L1296" s="15" t="s">
        <v>2016</v>
      </c>
      <c r="M1296" s="15"/>
      <c r="N1296" s="15" t="s">
        <v>55</v>
      </c>
      <c r="O1296" s="15"/>
      <c r="P1296" s="16" t="s">
        <v>106</v>
      </c>
      <c r="Q1296" s="17">
        <v>5299</v>
      </c>
      <c r="R1296" s="18">
        <v>61.54</v>
      </c>
      <c r="S1296" s="19">
        <v>2343.4354999999996</v>
      </c>
      <c r="T1296" s="20" t="s">
        <v>75</v>
      </c>
      <c r="U1296" s="21" t="s">
        <v>2013</v>
      </c>
      <c r="V1296" s="22" t="s">
        <v>2017</v>
      </c>
      <c r="W1296" s="23">
        <v>23</v>
      </c>
      <c r="X1296" s="24"/>
    </row>
    <row r="1297" spans="1:24" s="1" customFormat="1" ht="108" customHeight="1" x14ac:dyDescent="0.3">
      <c r="A1297" s="11" t="s">
        <v>1986</v>
      </c>
      <c r="B1297" s="11" t="s">
        <v>2019</v>
      </c>
      <c r="C1297" s="12" t="s">
        <v>2020</v>
      </c>
      <c r="D1297" s="13"/>
      <c r="E1297" s="67" t="str">
        <f>HYPERLINK("https://www.google.ru/search?q=CB913U-0&amp;newwindow=1&amp;tbm=isch","Еще фото")</f>
        <v>Еще фото</v>
      </c>
      <c r="F1297" s="14"/>
      <c r="G1297" s="11" t="s">
        <v>2021</v>
      </c>
      <c r="H1297" s="11" t="s">
        <v>69</v>
      </c>
      <c r="I1297" s="15" t="s">
        <v>105</v>
      </c>
      <c r="J1297" s="15" t="s">
        <v>162</v>
      </c>
      <c r="K1297" s="16" t="s">
        <v>71</v>
      </c>
      <c r="L1297" s="15" t="s">
        <v>2022</v>
      </c>
      <c r="M1297" s="15"/>
      <c r="N1297" s="15" t="s">
        <v>173</v>
      </c>
      <c r="O1297" s="15"/>
      <c r="P1297" s="16" t="s">
        <v>106</v>
      </c>
      <c r="Q1297" s="17">
        <v>3499</v>
      </c>
      <c r="R1297" s="18">
        <v>60.05</v>
      </c>
      <c r="S1297" s="19">
        <v>1607.4354999999998</v>
      </c>
      <c r="T1297" s="20" t="s">
        <v>75</v>
      </c>
      <c r="U1297" s="21" t="s">
        <v>2013</v>
      </c>
      <c r="V1297" s="22" t="s">
        <v>2017</v>
      </c>
      <c r="W1297" s="23">
        <v>62</v>
      </c>
      <c r="X1297" s="24"/>
    </row>
    <row r="1298" spans="1:24" s="1" customFormat="1" ht="108" customHeight="1" x14ac:dyDescent="0.3">
      <c r="A1298" s="11" t="s">
        <v>1986</v>
      </c>
      <c r="B1298" s="11" t="s">
        <v>2023</v>
      </c>
      <c r="C1298" s="12" t="s">
        <v>2024</v>
      </c>
      <c r="D1298" s="13"/>
      <c r="E1298" s="67" t="str">
        <f>HYPERLINK("https://www.google.ru/search?q=CB923U-0&amp;newwindow=1&amp;tbm=isch","Еще фото")</f>
        <v>Еще фото</v>
      </c>
      <c r="F1298" s="14"/>
      <c r="G1298" s="11" t="s">
        <v>653</v>
      </c>
      <c r="H1298" s="11" t="s">
        <v>69</v>
      </c>
      <c r="I1298" s="15" t="s">
        <v>105</v>
      </c>
      <c r="J1298" s="15" t="s">
        <v>162</v>
      </c>
      <c r="K1298" s="16" t="s">
        <v>71</v>
      </c>
      <c r="L1298" s="15" t="s">
        <v>2025</v>
      </c>
      <c r="M1298" s="15"/>
      <c r="N1298" s="15" t="s">
        <v>173</v>
      </c>
      <c r="O1298" s="15"/>
      <c r="P1298" s="16" t="s">
        <v>106</v>
      </c>
      <c r="Q1298" s="17">
        <v>2999</v>
      </c>
      <c r="R1298" s="18">
        <v>58.39</v>
      </c>
      <c r="S1298" s="19">
        <v>1434.9354999999998</v>
      </c>
      <c r="T1298" s="20" t="s">
        <v>75</v>
      </c>
      <c r="U1298" s="21" t="s">
        <v>2013</v>
      </c>
      <c r="V1298" s="22" t="s">
        <v>2017</v>
      </c>
      <c r="W1298" s="23">
        <v>58</v>
      </c>
      <c r="X1298" s="24"/>
    </row>
    <row r="1299" spans="1:24" s="1" customFormat="1" ht="108" customHeight="1" x14ac:dyDescent="0.3">
      <c r="A1299" s="11" t="s">
        <v>1986</v>
      </c>
      <c r="B1299" s="11" t="s">
        <v>2023</v>
      </c>
      <c r="C1299" s="12" t="s">
        <v>2026</v>
      </c>
      <c r="D1299" s="13"/>
      <c r="E1299" s="67" t="str">
        <f>HYPERLINK("https://www.google.ru/search?q=CB923U-5&amp;newwindow=1&amp;tbm=isch","Еще фото")</f>
        <v>Еще фото</v>
      </c>
      <c r="F1299" s="14"/>
      <c r="G1299" s="11" t="s">
        <v>2027</v>
      </c>
      <c r="H1299" s="11" t="s">
        <v>69</v>
      </c>
      <c r="I1299" s="15" t="s">
        <v>105</v>
      </c>
      <c r="J1299" s="15" t="s">
        <v>162</v>
      </c>
      <c r="K1299" s="16" t="s">
        <v>71</v>
      </c>
      <c r="L1299" s="15" t="s">
        <v>2025</v>
      </c>
      <c r="M1299" s="15"/>
      <c r="N1299" s="15" t="s">
        <v>38</v>
      </c>
      <c r="O1299" s="15"/>
      <c r="P1299" s="16" t="s">
        <v>106</v>
      </c>
      <c r="Q1299" s="17">
        <v>2999</v>
      </c>
      <c r="R1299" s="18">
        <v>46</v>
      </c>
      <c r="S1299" s="19">
        <v>1862.3789999999999</v>
      </c>
      <c r="T1299" s="20" t="s">
        <v>75</v>
      </c>
      <c r="U1299" s="21" t="s">
        <v>2013</v>
      </c>
      <c r="V1299" s="22" t="s">
        <v>2017</v>
      </c>
      <c r="W1299" s="23">
        <v>43</v>
      </c>
      <c r="X1299" s="24"/>
    </row>
    <row r="1300" spans="1:24" s="1" customFormat="1" ht="108" customHeight="1" x14ac:dyDescent="0.3">
      <c r="A1300" s="11" t="s">
        <v>1986</v>
      </c>
      <c r="B1300" s="11" t="s">
        <v>2019</v>
      </c>
      <c r="C1300" s="12" t="s">
        <v>2028</v>
      </c>
      <c r="D1300" s="13"/>
      <c r="E1300" s="67" t="str">
        <f>HYPERLINK("https://www.google.ru/search?q=CB913U-5&amp;newwindow=1&amp;tbm=isch","Еще фото")</f>
        <v>Еще фото</v>
      </c>
      <c r="F1300" s="14"/>
      <c r="G1300" s="11" t="s">
        <v>2021</v>
      </c>
      <c r="H1300" s="11" t="s">
        <v>69</v>
      </c>
      <c r="I1300" s="15" t="s">
        <v>105</v>
      </c>
      <c r="J1300" s="15" t="s">
        <v>162</v>
      </c>
      <c r="K1300" s="16" t="s">
        <v>71</v>
      </c>
      <c r="L1300" s="15" t="s">
        <v>2022</v>
      </c>
      <c r="M1300" s="15"/>
      <c r="N1300" s="15" t="s">
        <v>38</v>
      </c>
      <c r="O1300" s="15"/>
      <c r="P1300" s="16" t="s">
        <v>106</v>
      </c>
      <c r="Q1300" s="17">
        <v>3499</v>
      </c>
      <c r="R1300" s="18">
        <v>43</v>
      </c>
      <c r="S1300" s="19">
        <v>2293.5944999999997</v>
      </c>
      <c r="T1300" s="20" t="s">
        <v>75</v>
      </c>
      <c r="U1300" s="21" t="s">
        <v>2013</v>
      </c>
      <c r="V1300" s="22" t="s">
        <v>2017</v>
      </c>
      <c r="W1300" s="23">
        <v>11</v>
      </c>
      <c r="X1300" s="24"/>
    </row>
    <row r="1301" spans="1:24" s="1" customFormat="1" ht="108" customHeight="1" x14ac:dyDescent="0.3">
      <c r="A1301" s="11" t="s">
        <v>1986</v>
      </c>
      <c r="B1301" s="11" t="s">
        <v>2029</v>
      </c>
      <c r="C1301" s="12" t="s">
        <v>2030</v>
      </c>
      <c r="D1301" s="13"/>
      <c r="E1301" s="67" t="str">
        <f>HYPERLINK("https://www.google.ru/search?q=CB913U-2&amp;newwindow=1&amp;tbm=isch","Еще фото")</f>
        <v>Еще фото</v>
      </c>
      <c r="F1301" s="14"/>
      <c r="G1301" s="11" t="s">
        <v>104</v>
      </c>
      <c r="H1301" s="11" t="s">
        <v>69</v>
      </c>
      <c r="I1301" s="15" t="s">
        <v>105</v>
      </c>
      <c r="J1301" s="15" t="s">
        <v>1996</v>
      </c>
      <c r="K1301" s="16" t="s">
        <v>71</v>
      </c>
      <c r="L1301" s="15" t="s">
        <v>2031</v>
      </c>
      <c r="M1301" s="15"/>
      <c r="N1301" s="15" t="s">
        <v>218</v>
      </c>
      <c r="O1301" s="15"/>
      <c r="P1301" s="16" t="s">
        <v>106</v>
      </c>
      <c r="Q1301" s="17">
        <v>3469</v>
      </c>
      <c r="R1301" s="18">
        <v>40</v>
      </c>
      <c r="S1301" s="19">
        <v>2393.61</v>
      </c>
      <c r="T1301" s="20" t="s">
        <v>75</v>
      </c>
      <c r="U1301" s="21" t="s">
        <v>2013</v>
      </c>
      <c r="V1301" s="22" t="s">
        <v>2017</v>
      </c>
      <c r="W1301" s="23">
        <v>4</v>
      </c>
      <c r="X1301" s="24"/>
    </row>
    <row r="1302" spans="1:24" s="1" customFormat="1" ht="108" customHeight="1" x14ac:dyDescent="0.3">
      <c r="A1302" s="11" t="s">
        <v>1986</v>
      </c>
      <c r="B1302" s="11" t="s">
        <v>2029</v>
      </c>
      <c r="C1302" s="12" t="s">
        <v>2032</v>
      </c>
      <c r="D1302" s="13"/>
      <c r="E1302" s="67" t="str">
        <f>HYPERLINK("https://www.google.ru/search?q=CB913U-NC&amp;newwindow=1&amp;tbm=isch","Еще фото")</f>
        <v>Еще фото</v>
      </c>
      <c r="F1302" s="14"/>
      <c r="G1302" s="11" t="s">
        <v>104</v>
      </c>
      <c r="H1302" s="11" t="s">
        <v>69</v>
      </c>
      <c r="I1302" s="15" t="s">
        <v>105</v>
      </c>
      <c r="J1302" s="15" t="s">
        <v>1996</v>
      </c>
      <c r="K1302" s="16" t="s">
        <v>71</v>
      </c>
      <c r="L1302" s="15" t="s">
        <v>2031</v>
      </c>
      <c r="M1302" s="15"/>
      <c r="N1302" s="15" t="s">
        <v>73</v>
      </c>
      <c r="O1302" s="15"/>
      <c r="P1302" s="16" t="s">
        <v>106</v>
      </c>
      <c r="Q1302" s="17">
        <v>3469</v>
      </c>
      <c r="R1302" s="18">
        <v>40</v>
      </c>
      <c r="S1302" s="19">
        <v>2393.61</v>
      </c>
      <c r="T1302" s="20" t="s">
        <v>75</v>
      </c>
      <c r="U1302" s="21" t="s">
        <v>2013</v>
      </c>
      <c r="V1302" s="22" t="s">
        <v>2017</v>
      </c>
      <c r="W1302" s="23">
        <v>10</v>
      </c>
      <c r="X1302" s="24"/>
    </row>
    <row r="1303" spans="1:24" s="1" customFormat="1" ht="108" customHeight="1" x14ac:dyDescent="0.3">
      <c r="A1303" s="11" t="s">
        <v>1986</v>
      </c>
      <c r="B1303" s="11" t="s">
        <v>2033</v>
      </c>
      <c r="C1303" s="12" t="s">
        <v>2034</v>
      </c>
      <c r="D1303" s="13"/>
      <c r="E1303" s="67" t="str">
        <f>HYPERLINK("https://www.google.ru/search?q=CB923U-2&amp;newwindow=1&amp;tbm=isch","Еще фото")</f>
        <v>Еще фото</v>
      </c>
      <c r="F1303" s="14"/>
      <c r="G1303" s="11" t="s">
        <v>653</v>
      </c>
      <c r="H1303" s="11" t="s">
        <v>69</v>
      </c>
      <c r="I1303" s="15" t="s">
        <v>105</v>
      </c>
      <c r="J1303" s="15" t="s">
        <v>1996</v>
      </c>
      <c r="K1303" s="16" t="s">
        <v>71</v>
      </c>
      <c r="L1303" s="15" t="s">
        <v>2035</v>
      </c>
      <c r="M1303" s="15"/>
      <c r="N1303" s="15" t="s">
        <v>218</v>
      </c>
      <c r="O1303" s="15"/>
      <c r="P1303" s="16" t="s">
        <v>106</v>
      </c>
      <c r="Q1303" s="17">
        <v>2949</v>
      </c>
      <c r="R1303" s="18">
        <v>40</v>
      </c>
      <c r="S1303" s="19">
        <v>2034.81</v>
      </c>
      <c r="T1303" s="20" t="s">
        <v>75</v>
      </c>
      <c r="U1303" s="21" t="s">
        <v>2013</v>
      </c>
      <c r="V1303" s="22" t="s">
        <v>2017</v>
      </c>
      <c r="W1303" s="23">
        <v>8</v>
      </c>
      <c r="X1303" s="24"/>
    </row>
    <row r="1304" spans="1:24" s="1" customFormat="1" ht="108" customHeight="1" x14ac:dyDescent="0.3">
      <c r="A1304" s="11" t="s">
        <v>1986</v>
      </c>
      <c r="B1304" s="11" t="s">
        <v>2033</v>
      </c>
      <c r="C1304" s="12" t="s">
        <v>2036</v>
      </c>
      <c r="D1304" s="13"/>
      <c r="E1304" s="67" t="str">
        <f>HYPERLINK("https://www.google.ru/search?q=CB923U-NC&amp;newwindow=1&amp;tbm=isch","Еще фото")</f>
        <v>Еще фото</v>
      </c>
      <c r="F1304" s="14"/>
      <c r="G1304" s="11" t="s">
        <v>653</v>
      </c>
      <c r="H1304" s="11" t="s">
        <v>69</v>
      </c>
      <c r="I1304" s="15" t="s">
        <v>105</v>
      </c>
      <c r="J1304" s="15" t="s">
        <v>1996</v>
      </c>
      <c r="K1304" s="16" t="s">
        <v>71</v>
      </c>
      <c r="L1304" s="15" t="s">
        <v>2035</v>
      </c>
      <c r="M1304" s="15"/>
      <c r="N1304" s="15" t="s">
        <v>73</v>
      </c>
      <c r="O1304" s="15"/>
      <c r="P1304" s="16" t="s">
        <v>106</v>
      </c>
      <c r="Q1304" s="17">
        <v>2949</v>
      </c>
      <c r="R1304" s="18">
        <v>40</v>
      </c>
      <c r="S1304" s="19">
        <v>2034.81</v>
      </c>
      <c r="T1304" s="20" t="s">
        <v>75</v>
      </c>
      <c r="U1304" s="21" t="s">
        <v>2013</v>
      </c>
      <c r="V1304" s="22" t="s">
        <v>2017</v>
      </c>
      <c r="W1304" s="23">
        <v>9</v>
      </c>
      <c r="X1304" s="24"/>
    </row>
    <row r="1305" spans="1:24" s="1" customFormat="1" ht="52.05" customHeight="1" x14ac:dyDescent="0.3">
      <c r="A1305" s="11" t="s">
        <v>1986</v>
      </c>
      <c r="B1305" s="11" t="s">
        <v>2037</v>
      </c>
      <c r="C1305" s="12" t="s">
        <v>2038</v>
      </c>
      <c r="D1305" s="81"/>
      <c r="E1305" s="67" t="str">
        <f>HYPERLINK("https://www.google.ru/search?q=C225M-20&amp;newwindow=1&amp;tbm=isch","Еще фото")</f>
        <v>Еще фото</v>
      </c>
      <c r="F1305" s="14"/>
      <c r="G1305" s="11" t="s">
        <v>2039</v>
      </c>
      <c r="H1305" s="11" t="s">
        <v>69</v>
      </c>
      <c r="I1305" s="15" t="s">
        <v>713</v>
      </c>
      <c r="J1305" s="15" t="s">
        <v>1990</v>
      </c>
      <c r="K1305" s="16" t="s">
        <v>45</v>
      </c>
      <c r="L1305" s="83" t="s">
        <v>2040</v>
      </c>
      <c r="M1305" s="15"/>
      <c r="N1305" s="15" t="s">
        <v>218</v>
      </c>
      <c r="O1305" s="15"/>
      <c r="P1305" s="16" t="s">
        <v>2041</v>
      </c>
      <c r="Q1305" s="17">
        <v>6309</v>
      </c>
      <c r="R1305" s="18">
        <v>68.33</v>
      </c>
      <c r="S1305" s="19">
        <v>2297.4354999999996</v>
      </c>
      <c r="T1305" s="20" t="s">
        <v>75</v>
      </c>
      <c r="U1305" s="21" t="s">
        <v>2000</v>
      </c>
      <c r="V1305" s="22" t="s">
        <v>2042</v>
      </c>
      <c r="W1305" s="23">
        <v>5</v>
      </c>
      <c r="X1305" s="24"/>
    </row>
    <row r="1306" spans="1:24" s="1" customFormat="1" ht="61.05" customHeight="1" x14ac:dyDescent="0.3">
      <c r="A1306" s="25" t="s">
        <v>1986</v>
      </c>
      <c r="B1306" s="25" t="s">
        <v>2037</v>
      </c>
      <c r="C1306" s="12" t="s">
        <v>2038</v>
      </c>
      <c r="D1306" s="82"/>
      <c r="E1306" s="67" t="str">
        <f>HYPERLINK("https://www.google.ru/search?q=C225M-20&amp;newwindow=1&amp;tbm=isch","Еще фото")</f>
        <v>Еще фото</v>
      </c>
      <c r="F1306" s="14"/>
      <c r="G1306" s="25" t="s">
        <v>2039</v>
      </c>
      <c r="H1306" s="25" t="s">
        <v>69</v>
      </c>
      <c r="I1306" s="25" t="s">
        <v>713</v>
      </c>
      <c r="J1306" s="15" t="s">
        <v>1990</v>
      </c>
      <c r="K1306" s="16" t="s">
        <v>45</v>
      </c>
      <c r="L1306" s="84"/>
      <c r="M1306" s="15"/>
      <c r="N1306" s="15" t="s">
        <v>218</v>
      </c>
      <c r="O1306" s="15"/>
      <c r="P1306" s="16" t="s">
        <v>2041</v>
      </c>
      <c r="Q1306" s="17">
        <v>6309</v>
      </c>
      <c r="R1306" s="18">
        <v>68.33</v>
      </c>
      <c r="S1306" s="19">
        <v>2297.4354999999996</v>
      </c>
      <c r="T1306" s="20" t="s">
        <v>75</v>
      </c>
      <c r="U1306" s="21" t="s">
        <v>2043</v>
      </c>
      <c r="V1306" s="22" t="s">
        <v>2044</v>
      </c>
      <c r="W1306" s="23">
        <v>1</v>
      </c>
      <c r="X1306" s="24"/>
    </row>
    <row r="1307" spans="1:24" s="1" customFormat="1" ht="52.05" customHeight="1" x14ac:dyDescent="0.3">
      <c r="A1307" s="11" t="s">
        <v>1986</v>
      </c>
      <c r="B1307" s="11" t="s">
        <v>2045</v>
      </c>
      <c r="C1307" s="12" t="s">
        <v>2046</v>
      </c>
      <c r="D1307" s="81"/>
      <c r="E1307" s="67" t="str">
        <f>HYPERLINK("https://www.google.ru/search?q=C2UUW-5&amp;newwindow=1&amp;tbm=isch","Еще фото")</f>
        <v>Еще фото</v>
      </c>
      <c r="F1307" s="14"/>
      <c r="G1307" s="11" t="s">
        <v>2047</v>
      </c>
      <c r="H1307" s="11" t="s">
        <v>69</v>
      </c>
      <c r="I1307" s="15" t="s">
        <v>713</v>
      </c>
      <c r="J1307" s="15" t="s">
        <v>28</v>
      </c>
      <c r="K1307" s="16" t="s">
        <v>29</v>
      </c>
      <c r="L1307" s="83" t="s">
        <v>2048</v>
      </c>
      <c r="M1307" s="15"/>
      <c r="N1307" s="15" t="s">
        <v>38</v>
      </c>
      <c r="O1307" s="15"/>
      <c r="P1307" s="16" t="s">
        <v>2049</v>
      </c>
      <c r="Q1307" s="17">
        <v>2999</v>
      </c>
      <c r="R1307" s="18">
        <v>66.400000000000006</v>
      </c>
      <c r="S1307" s="19">
        <v>1158.9354999999998</v>
      </c>
      <c r="T1307" s="20" t="s">
        <v>75</v>
      </c>
      <c r="U1307" s="21" t="s">
        <v>1999</v>
      </c>
      <c r="V1307" s="22" t="s">
        <v>2050</v>
      </c>
      <c r="W1307" s="23">
        <v>4</v>
      </c>
      <c r="X1307" s="24"/>
    </row>
    <row r="1308" spans="1:24" s="1" customFormat="1" ht="61.05" customHeight="1" x14ac:dyDescent="0.3">
      <c r="A1308" s="25" t="s">
        <v>1986</v>
      </c>
      <c r="B1308" s="25" t="s">
        <v>2045</v>
      </c>
      <c r="C1308" s="12" t="s">
        <v>2046</v>
      </c>
      <c r="D1308" s="82"/>
      <c r="E1308" s="67" t="str">
        <f>HYPERLINK("https://www.google.ru/search?q=C2UUW-5&amp;newwindow=1&amp;tbm=isch","Еще фото")</f>
        <v>Еще фото</v>
      </c>
      <c r="F1308" s="14"/>
      <c r="G1308" s="25" t="s">
        <v>2047</v>
      </c>
      <c r="H1308" s="25" t="s">
        <v>69</v>
      </c>
      <c r="I1308" s="25" t="s">
        <v>713</v>
      </c>
      <c r="J1308" s="15" t="s">
        <v>28</v>
      </c>
      <c r="K1308" s="16" t="s">
        <v>29</v>
      </c>
      <c r="L1308" s="84"/>
      <c r="M1308" s="15"/>
      <c r="N1308" s="15" t="s">
        <v>38</v>
      </c>
      <c r="O1308" s="15"/>
      <c r="P1308" s="16" t="s">
        <v>2049</v>
      </c>
      <c r="Q1308" s="17">
        <v>2999</v>
      </c>
      <c r="R1308" s="18">
        <v>66.400000000000006</v>
      </c>
      <c r="S1308" s="19">
        <v>1158.9354999999998</v>
      </c>
      <c r="T1308" s="20" t="s">
        <v>75</v>
      </c>
      <c r="U1308" s="21" t="s">
        <v>2001</v>
      </c>
      <c r="V1308" s="22" t="s">
        <v>2051</v>
      </c>
      <c r="W1308" s="23">
        <v>2</v>
      </c>
      <c r="X1308" s="24"/>
    </row>
    <row r="1309" spans="1:24" s="1" customFormat="1" ht="35" customHeight="1" x14ac:dyDescent="0.3">
      <c r="A1309" s="11" t="s">
        <v>1986</v>
      </c>
      <c r="B1309" s="11" t="s">
        <v>2045</v>
      </c>
      <c r="C1309" s="12" t="s">
        <v>2052</v>
      </c>
      <c r="D1309" s="85"/>
      <c r="E1309" s="67" t="str">
        <f>HYPERLINK("https://www.google.ru/search?q=C0UUW-S3&amp;newwindow=1&amp;tbm=isch","Еще фото")</f>
        <v>Еще фото</v>
      </c>
      <c r="F1309" s="14"/>
      <c r="G1309" s="11" t="s">
        <v>2053</v>
      </c>
      <c r="H1309" s="11" t="s">
        <v>69</v>
      </c>
      <c r="I1309" s="15" t="s">
        <v>713</v>
      </c>
      <c r="J1309" s="15" t="s">
        <v>162</v>
      </c>
      <c r="K1309" s="16" t="s">
        <v>29</v>
      </c>
      <c r="L1309" s="83" t="s">
        <v>2054</v>
      </c>
      <c r="M1309" s="15"/>
      <c r="N1309" s="15" t="s">
        <v>122</v>
      </c>
      <c r="O1309" s="15"/>
      <c r="P1309" s="16" t="s">
        <v>2055</v>
      </c>
      <c r="Q1309" s="17">
        <v>2699</v>
      </c>
      <c r="R1309" s="18">
        <v>66.37</v>
      </c>
      <c r="S1309" s="26">
        <v>1043.9354999999998</v>
      </c>
      <c r="T1309" s="20" t="s">
        <v>75</v>
      </c>
      <c r="U1309" s="21" t="s">
        <v>1999</v>
      </c>
      <c r="V1309" s="22" t="s">
        <v>2050</v>
      </c>
      <c r="W1309" s="23">
        <v>6</v>
      </c>
      <c r="X1309" s="24"/>
    </row>
    <row r="1310" spans="1:24" s="1" customFormat="1" ht="35" customHeight="1" x14ac:dyDescent="0.3">
      <c r="A1310" s="25" t="s">
        <v>1986</v>
      </c>
      <c r="B1310" s="25" t="s">
        <v>2045</v>
      </c>
      <c r="C1310" s="12" t="s">
        <v>2052</v>
      </c>
      <c r="D1310" s="86"/>
      <c r="E1310" s="67" t="str">
        <f>HYPERLINK("https://www.google.ru/search?q=C0UUW-S3&amp;newwindow=1&amp;tbm=isch","Еще фото")</f>
        <v>Еще фото</v>
      </c>
      <c r="F1310" s="14"/>
      <c r="G1310" s="25" t="s">
        <v>2053</v>
      </c>
      <c r="H1310" s="25" t="s">
        <v>69</v>
      </c>
      <c r="I1310" s="25" t="s">
        <v>713</v>
      </c>
      <c r="J1310" s="15" t="s">
        <v>162</v>
      </c>
      <c r="K1310" s="16" t="s">
        <v>29</v>
      </c>
      <c r="L1310" s="88"/>
      <c r="M1310" s="15"/>
      <c r="N1310" s="15" t="s">
        <v>122</v>
      </c>
      <c r="O1310" s="15"/>
      <c r="P1310" s="16" t="s">
        <v>2055</v>
      </c>
      <c r="Q1310" s="17">
        <v>2699</v>
      </c>
      <c r="R1310" s="18">
        <v>66.37</v>
      </c>
      <c r="S1310" s="26">
        <v>1043.9354999999998</v>
      </c>
      <c r="T1310" s="20" t="s">
        <v>75</v>
      </c>
      <c r="U1310" s="21" t="s">
        <v>2000</v>
      </c>
      <c r="V1310" s="22" t="s">
        <v>2056</v>
      </c>
      <c r="W1310" s="23">
        <v>14</v>
      </c>
      <c r="X1310" s="24"/>
    </row>
    <row r="1311" spans="1:24" s="1" customFormat="1" ht="37.049999999999997" customHeight="1" x14ac:dyDescent="0.3">
      <c r="A1311" s="25" t="s">
        <v>1986</v>
      </c>
      <c r="B1311" s="25" t="s">
        <v>2045</v>
      </c>
      <c r="C1311" s="12" t="s">
        <v>2052</v>
      </c>
      <c r="D1311" s="87"/>
      <c r="E1311" s="67" t="str">
        <f>HYPERLINK("https://www.google.ru/search?q=C0UUW-S3&amp;newwindow=1&amp;tbm=isch","Еще фото")</f>
        <v>Еще фото</v>
      </c>
      <c r="F1311" s="14"/>
      <c r="G1311" s="25" t="s">
        <v>2053</v>
      </c>
      <c r="H1311" s="25" t="s">
        <v>69</v>
      </c>
      <c r="I1311" s="25" t="s">
        <v>713</v>
      </c>
      <c r="J1311" s="15" t="s">
        <v>162</v>
      </c>
      <c r="K1311" s="16" t="s">
        <v>29</v>
      </c>
      <c r="L1311" s="84"/>
      <c r="M1311" s="15"/>
      <c r="N1311" s="15" t="s">
        <v>122</v>
      </c>
      <c r="O1311" s="15"/>
      <c r="P1311" s="16" t="s">
        <v>2055</v>
      </c>
      <c r="Q1311" s="17">
        <v>2699</v>
      </c>
      <c r="R1311" s="18">
        <v>66.37</v>
      </c>
      <c r="S1311" s="26">
        <v>1043.9354999999998</v>
      </c>
      <c r="T1311" s="20" t="s">
        <v>75</v>
      </c>
      <c r="U1311" s="21" t="s">
        <v>2001</v>
      </c>
      <c r="V1311" s="22" t="s">
        <v>2051</v>
      </c>
      <c r="W1311" s="23">
        <v>4</v>
      </c>
      <c r="X1311" s="24"/>
    </row>
    <row r="1312" spans="1:24" s="1" customFormat="1" ht="52.05" customHeight="1" x14ac:dyDescent="0.3">
      <c r="A1312" s="11" t="s">
        <v>1986</v>
      </c>
      <c r="B1312" s="11" t="s">
        <v>2057</v>
      </c>
      <c r="C1312" s="12" t="s">
        <v>2058</v>
      </c>
      <c r="D1312" s="81"/>
      <c r="E1312" s="67" t="str">
        <f>HYPERLINK("https://www.google.ru/search?q=C1UUW-0-1&amp;newwindow=1&amp;tbm=isch","Еще фото")</f>
        <v>Еще фото</v>
      </c>
      <c r="F1312" s="14"/>
      <c r="G1312" s="11" t="s">
        <v>2059</v>
      </c>
      <c r="H1312" s="11" t="s">
        <v>69</v>
      </c>
      <c r="I1312" s="15" t="s">
        <v>713</v>
      </c>
      <c r="J1312" s="15" t="s">
        <v>162</v>
      </c>
      <c r="K1312" s="16" t="s">
        <v>29</v>
      </c>
      <c r="L1312" s="83" t="s">
        <v>2060</v>
      </c>
      <c r="M1312" s="15"/>
      <c r="N1312" s="15" t="s">
        <v>173</v>
      </c>
      <c r="O1312" s="15"/>
      <c r="P1312" s="16" t="s">
        <v>1998</v>
      </c>
      <c r="Q1312" s="17">
        <v>6799</v>
      </c>
      <c r="R1312" s="18">
        <v>64.88</v>
      </c>
      <c r="S1312" s="19">
        <v>2745.9354999999996</v>
      </c>
      <c r="T1312" s="20" t="s">
        <v>75</v>
      </c>
      <c r="U1312" s="21" t="s">
        <v>2000</v>
      </c>
      <c r="V1312" s="22" t="s">
        <v>2056</v>
      </c>
      <c r="W1312" s="23">
        <v>7</v>
      </c>
      <c r="X1312" s="24"/>
    </row>
    <row r="1313" spans="1:24" s="1" customFormat="1" ht="61.05" customHeight="1" x14ac:dyDescent="0.3">
      <c r="A1313" s="25" t="s">
        <v>1986</v>
      </c>
      <c r="B1313" s="25" t="s">
        <v>2057</v>
      </c>
      <c r="C1313" s="12" t="s">
        <v>2058</v>
      </c>
      <c r="D1313" s="82"/>
      <c r="E1313" s="67" t="str">
        <f>HYPERLINK("https://www.google.ru/search?q=C1UUW-0-1&amp;newwindow=1&amp;tbm=isch","Еще фото")</f>
        <v>Еще фото</v>
      </c>
      <c r="F1313" s="14"/>
      <c r="G1313" s="25" t="s">
        <v>2059</v>
      </c>
      <c r="H1313" s="25" t="s">
        <v>69</v>
      </c>
      <c r="I1313" s="25" t="s">
        <v>713</v>
      </c>
      <c r="J1313" s="15" t="s">
        <v>162</v>
      </c>
      <c r="K1313" s="16" t="s">
        <v>29</v>
      </c>
      <c r="L1313" s="84"/>
      <c r="M1313" s="15"/>
      <c r="N1313" s="15" t="s">
        <v>173</v>
      </c>
      <c r="O1313" s="15"/>
      <c r="P1313" s="16" t="s">
        <v>1998</v>
      </c>
      <c r="Q1313" s="17">
        <v>6799</v>
      </c>
      <c r="R1313" s="18">
        <v>64.88</v>
      </c>
      <c r="S1313" s="19">
        <v>2745.9354999999996</v>
      </c>
      <c r="T1313" s="20" t="s">
        <v>75</v>
      </c>
      <c r="U1313" s="21" t="s">
        <v>2001</v>
      </c>
      <c r="V1313" s="22" t="s">
        <v>2051</v>
      </c>
      <c r="W1313" s="23">
        <v>8</v>
      </c>
      <c r="X1313" s="24"/>
    </row>
    <row r="1314" spans="1:24" s="1" customFormat="1" ht="35" customHeight="1" x14ac:dyDescent="0.3">
      <c r="A1314" s="11" t="s">
        <v>1986</v>
      </c>
      <c r="B1314" s="11" t="s">
        <v>2045</v>
      </c>
      <c r="C1314" s="12" t="s">
        <v>2061</v>
      </c>
      <c r="D1314" s="85"/>
      <c r="E1314" s="67" t="str">
        <f>HYPERLINK("https://www.google.ru/search?q=C09UUM-0-1&amp;newwindow=1&amp;tbm=isch","Еще фото")</f>
        <v>Еще фото</v>
      </c>
      <c r="F1314" s="14"/>
      <c r="G1314" s="11" t="s">
        <v>2062</v>
      </c>
      <c r="H1314" s="11" t="s">
        <v>69</v>
      </c>
      <c r="I1314" s="15" t="s">
        <v>713</v>
      </c>
      <c r="J1314" s="15" t="s">
        <v>162</v>
      </c>
      <c r="K1314" s="16" t="s">
        <v>45</v>
      </c>
      <c r="L1314" s="83" t="s">
        <v>2063</v>
      </c>
      <c r="M1314" s="15"/>
      <c r="N1314" s="15" t="s">
        <v>173</v>
      </c>
      <c r="O1314" s="15"/>
      <c r="P1314" s="16" t="s">
        <v>2055</v>
      </c>
      <c r="Q1314" s="17">
        <v>2799</v>
      </c>
      <c r="R1314" s="18">
        <v>64.709999999999994</v>
      </c>
      <c r="S1314" s="26">
        <v>1135.9354999999998</v>
      </c>
      <c r="T1314" s="20" t="s">
        <v>75</v>
      </c>
      <c r="U1314" s="21" t="s">
        <v>2000</v>
      </c>
      <c r="V1314" s="22" t="s">
        <v>2042</v>
      </c>
      <c r="W1314" s="23">
        <v>29</v>
      </c>
      <c r="X1314" s="24"/>
    </row>
    <row r="1315" spans="1:24" s="1" customFormat="1" ht="35" customHeight="1" x14ac:dyDescent="0.3">
      <c r="A1315" s="25" t="s">
        <v>1986</v>
      </c>
      <c r="B1315" s="25" t="s">
        <v>2045</v>
      </c>
      <c r="C1315" s="12" t="s">
        <v>2061</v>
      </c>
      <c r="D1315" s="86"/>
      <c r="E1315" s="67" t="str">
        <f>HYPERLINK("https://www.google.ru/search?q=C09UUM-0-1&amp;newwindow=1&amp;tbm=isch","Еще фото")</f>
        <v>Еще фото</v>
      </c>
      <c r="F1315" s="14"/>
      <c r="G1315" s="25" t="s">
        <v>2062</v>
      </c>
      <c r="H1315" s="25" t="s">
        <v>69</v>
      </c>
      <c r="I1315" s="25" t="s">
        <v>713</v>
      </c>
      <c r="J1315" s="15" t="s">
        <v>162</v>
      </c>
      <c r="K1315" s="16" t="s">
        <v>45</v>
      </c>
      <c r="L1315" s="88"/>
      <c r="M1315" s="15"/>
      <c r="N1315" s="15" t="s">
        <v>173</v>
      </c>
      <c r="O1315" s="15"/>
      <c r="P1315" s="16" t="s">
        <v>2055</v>
      </c>
      <c r="Q1315" s="17">
        <v>2799</v>
      </c>
      <c r="R1315" s="18">
        <v>64.709999999999994</v>
      </c>
      <c r="S1315" s="26">
        <v>1135.9354999999998</v>
      </c>
      <c r="T1315" s="20" t="s">
        <v>75</v>
      </c>
      <c r="U1315" s="21" t="s">
        <v>2001</v>
      </c>
      <c r="V1315" s="22" t="s">
        <v>35</v>
      </c>
      <c r="W1315" s="23">
        <v>34</v>
      </c>
      <c r="X1315" s="24"/>
    </row>
    <row r="1316" spans="1:24" s="1" customFormat="1" ht="37.049999999999997" customHeight="1" x14ac:dyDescent="0.3">
      <c r="A1316" s="25" t="s">
        <v>1986</v>
      </c>
      <c r="B1316" s="25" t="s">
        <v>2045</v>
      </c>
      <c r="C1316" s="12" t="s">
        <v>2061</v>
      </c>
      <c r="D1316" s="87"/>
      <c r="E1316" s="67" t="str">
        <f>HYPERLINK("https://www.google.ru/search?q=C09UUM-0-1&amp;newwindow=1&amp;tbm=isch","Еще фото")</f>
        <v>Еще фото</v>
      </c>
      <c r="F1316" s="14"/>
      <c r="G1316" s="25" t="s">
        <v>2062</v>
      </c>
      <c r="H1316" s="25" t="s">
        <v>69</v>
      </c>
      <c r="I1316" s="25" t="s">
        <v>713</v>
      </c>
      <c r="J1316" s="15" t="s">
        <v>162</v>
      </c>
      <c r="K1316" s="16" t="s">
        <v>45</v>
      </c>
      <c r="L1316" s="84"/>
      <c r="M1316" s="15"/>
      <c r="N1316" s="15" t="s">
        <v>173</v>
      </c>
      <c r="O1316" s="15"/>
      <c r="P1316" s="16" t="s">
        <v>2055</v>
      </c>
      <c r="Q1316" s="17">
        <v>2799</v>
      </c>
      <c r="R1316" s="18">
        <v>64.709999999999994</v>
      </c>
      <c r="S1316" s="26">
        <v>1135.9354999999998</v>
      </c>
      <c r="T1316" s="20" t="s">
        <v>75</v>
      </c>
      <c r="U1316" s="21" t="s">
        <v>2043</v>
      </c>
      <c r="V1316" s="22" t="s">
        <v>2044</v>
      </c>
      <c r="W1316" s="23">
        <v>11</v>
      </c>
      <c r="X1316" s="24"/>
    </row>
    <row r="1317" spans="1:24" s="1" customFormat="1" ht="35" customHeight="1" x14ac:dyDescent="0.3">
      <c r="A1317" s="11" t="s">
        <v>1986</v>
      </c>
      <c r="B1317" s="11" t="s">
        <v>2045</v>
      </c>
      <c r="C1317" s="12" t="s">
        <v>2064</v>
      </c>
      <c r="D1317" s="85"/>
      <c r="E1317" s="67" t="str">
        <f>HYPERLINK("https://www.google.ru/search?q=C09UUW-5-1&amp;newwindow=1&amp;tbm=isch","Еще фото")</f>
        <v>Еще фото</v>
      </c>
      <c r="F1317" s="14"/>
      <c r="G1317" s="11" t="s">
        <v>2053</v>
      </c>
      <c r="H1317" s="11" t="s">
        <v>69</v>
      </c>
      <c r="I1317" s="15" t="s">
        <v>713</v>
      </c>
      <c r="J1317" s="15" t="s">
        <v>162</v>
      </c>
      <c r="K1317" s="16" t="s">
        <v>29</v>
      </c>
      <c r="L1317" s="83" t="s">
        <v>2065</v>
      </c>
      <c r="M1317" s="15"/>
      <c r="N1317" s="15" t="s">
        <v>38</v>
      </c>
      <c r="O1317" s="15"/>
      <c r="P1317" s="16" t="s">
        <v>2055</v>
      </c>
      <c r="Q1317" s="17">
        <v>2699</v>
      </c>
      <c r="R1317" s="18">
        <v>64.510000000000005</v>
      </c>
      <c r="S1317" s="26">
        <v>1101.4354999999998</v>
      </c>
      <c r="T1317" s="20" t="s">
        <v>75</v>
      </c>
      <c r="U1317" s="21" t="s">
        <v>1999</v>
      </c>
      <c r="V1317" s="22" t="s">
        <v>2050</v>
      </c>
      <c r="W1317" s="23">
        <v>6</v>
      </c>
      <c r="X1317" s="24"/>
    </row>
    <row r="1318" spans="1:24" s="1" customFormat="1" ht="35" customHeight="1" x14ac:dyDescent="0.3">
      <c r="A1318" s="25" t="s">
        <v>1986</v>
      </c>
      <c r="B1318" s="25" t="s">
        <v>2045</v>
      </c>
      <c r="C1318" s="12" t="s">
        <v>2064</v>
      </c>
      <c r="D1318" s="86"/>
      <c r="E1318" s="67" t="str">
        <f>HYPERLINK("https://www.google.ru/search?q=C09UUW-5-1&amp;newwindow=1&amp;tbm=isch","Еще фото")</f>
        <v>Еще фото</v>
      </c>
      <c r="F1318" s="14"/>
      <c r="G1318" s="25" t="s">
        <v>2053</v>
      </c>
      <c r="H1318" s="25" t="s">
        <v>69</v>
      </c>
      <c r="I1318" s="25" t="s">
        <v>713</v>
      </c>
      <c r="J1318" s="15" t="s">
        <v>162</v>
      </c>
      <c r="K1318" s="16" t="s">
        <v>29</v>
      </c>
      <c r="L1318" s="88"/>
      <c r="M1318" s="15"/>
      <c r="N1318" s="15" t="s">
        <v>38</v>
      </c>
      <c r="O1318" s="15"/>
      <c r="P1318" s="16" t="s">
        <v>2055</v>
      </c>
      <c r="Q1318" s="17">
        <v>2699</v>
      </c>
      <c r="R1318" s="18">
        <v>64.510000000000005</v>
      </c>
      <c r="S1318" s="26">
        <v>1101.4354999999998</v>
      </c>
      <c r="T1318" s="20" t="s">
        <v>75</v>
      </c>
      <c r="U1318" s="21" t="s">
        <v>2000</v>
      </c>
      <c r="V1318" s="22" t="s">
        <v>2056</v>
      </c>
      <c r="W1318" s="23">
        <v>16</v>
      </c>
      <c r="X1318" s="24"/>
    </row>
    <row r="1319" spans="1:24" s="1" customFormat="1" ht="37.049999999999997" customHeight="1" x14ac:dyDescent="0.3">
      <c r="A1319" s="25" t="s">
        <v>1986</v>
      </c>
      <c r="B1319" s="25" t="s">
        <v>2045</v>
      </c>
      <c r="C1319" s="12" t="s">
        <v>2064</v>
      </c>
      <c r="D1319" s="87"/>
      <c r="E1319" s="67" t="str">
        <f>HYPERLINK("https://www.google.ru/search?q=C09UUW-5-1&amp;newwindow=1&amp;tbm=isch","Еще фото")</f>
        <v>Еще фото</v>
      </c>
      <c r="F1319" s="14"/>
      <c r="G1319" s="25" t="s">
        <v>2053</v>
      </c>
      <c r="H1319" s="25" t="s">
        <v>69</v>
      </c>
      <c r="I1319" s="25" t="s">
        <v>713</v>
      </c>
      <c r="J1319" s="15" t="s">
        <v>162</v>
      </c>
      <c r="K1319" s="16" t="s">
        <v>29</v>
      </c>
      <c r="L1319" s="84"/>
      <c r="M1319" s="15"/>
      <c r="N1319" s="15" t="s">
        <v>38</v>
      </c>
      <c r="O1319" s="15"/>
      <c r="P1319" s="16" t="s">
        <v>2055</v>
      </c>
      <c r="Q1319" s="17">
        <v>2699</v>
      </c>
      <c r="R1319" s="18">
        <v>64.510000000000005</v>
      </c>
      <c r="S1319" s="26">
        <v>1101.4354999999998</v>
      </c>
      <c r="T1319" s="20" t="s">
        <v>75</v>
      </c>
      <c r="U1319" s="21" t="s">
        <v>2001</v>
      </c>
      <c r="V1319" s="22" t="s">
        <v>2051</v>
      </c>
      <c r="W1319" s="23">
        <v>10</v>
      </c>
      <c r="X1319" s="24"/>
    </row>
    <row r="1320" spans="1:24" s="1" customFormat="1" ht="35" customHeight="1" x14ac:dyDescent="0.3">
      <c r="A1320" s="11" t="s">
        <v>1986</v>
      </c>
      <c r="B1320" s="11" t="s">
        <v>2045</v>
      </c>
      <c r="C1320" s="12" t="s">
        <v>2066</v>
      </c>
      <c r="D1320" s="85"/>
      <c r="E1320" s="67" t="str">
        <f>HYPERLINK("https://www.google.ru/search?q=C09UUW-S3&amp;newwindow=1&amp;tbm=isch","Еще фото")</f>
        <v>Еще фото</v>
      </c>
      <c r="F1320" s="14"/>
      <c r="G1320" s="11" t="s">
        <v>2053</v>
      </c>
      <c r="H1320" s="11" t="s">
        <v>69</v>
      </c>
      <c r="I1320" s="15" t="s">
        <v>713</v>
      </c>
      <c r="J1320" s="15" t="s">
        <v>162</v>
      </c>
      <c r="K1320" s="16" t="s">
        <v>29</v>
      </c>
      <c r="L1320" s="83" t="s">
        <v>2067</v>
      </c>
      <c r="M1320" s="15"/>
      <c r="N1320" s="15" t="s">
        <v>122</v>
      </c>
      <c r="O1320" s="15"/>
      <c r="P1320" s="16" t="s">
        <v>2068</v>
      </c>
      <c r="Q1320" s="17">
        <v>2699</v>
      </c>
      <c r="R1320" s="18">
        <v>62.29</v>
      </c>
      <c r="S1320" s="19">
        <v>1170.4354999999998</v>
      </c>
      <c r="T1320" s="20" t="s">
        <v>75</v>
      </c>
      <c r="U1320" s="21" t="s">
        <v>1999</v>
      </c>
      <c r="V1320" s="22" t="s">
        <v>2050</v>
      </c>
      <c r="W1320" s="23">
        <v>7</v>
      </c>
      <c r="X1320" s="24"/>
    </row>
    <row r="1321" spans="1:24" s="1" customFormat="1" ht="35" customHeight="1" x14ac:dyDescent="0.3">
      <c r="A1321" s="25" t="s">
        <v>1986</v>
      </c>
      <c r="B1321" s="25" t="s">
        <v>2045</v>
      </c>
      <c r="C1321" s="12" t="s">
        <v>2066</v>
      </c>
      <c r="D1321" s="86"/>
      <c r="E1321" s="67" t="str">
        <f>HYPERLINK("https://www.google.ru/search?q=C09UUW-S3&amp;newwindow=1&amp;tbm=isch","Еще фото")</f>
        <v>Еще фото</v>
      </c>
      <c r="F1321" s="14"/>
      <c r="G1321" s="25" t="s">
        <v>2053</v>
      </c>
      <c r="H1321" s="25" t="s">
        <v>69</v>
      </c>
      <c r="I1321" s="25" t="s">
        <v>713</v>
      </c>
      <c r="J1321" s="15" t="s">
        <v>162</v>
      </c>
      <c r="K1321" s="16" t="s">
        <v>29</v>
      </c>
      <c r="L1321" s="88"/>
      <c r="M1321" s="15"/>
      <c r="N1321" s="15" t="s">
        <v>122</v>
      </c>
      <c r="O1321" s="15"/>
      <c r="P1321" s="16" t="s">
        <v>2068</v>
      </c>
      <c r="Q1321" s="17">
        <v>2699</v>
      </c>
      <c r="R1321" s="18">
        <v>62.29</v>
      </c>
      <c r="S1321" s="19">
        <v>1170.4354999999998</v>
      </c>
      <c r="T1321" s="20" t="s">
        <v>75</v>
      </c>
      <c r="U1321" s="21" t="s">
        <v>2000</v>
      </c>
      <c r="V1321" s="22" t="s">
        <v>2056</v>
      </c>
      <c r="W1321" s="23">
        <v>10</v>
      </c>
      <c r="X1321" s="24"/>
    </row>
    <row r="1322" spans="1:24" s="1" customFormat="1" ht="37.049999999999997" customHeight="1" x14ac:dyDescent="0.3">
      <c r="A1322" s="25" t="s">
        <v>1986</v>
      </c>
      <c r="B1322" s="25" t="s">
        <v>2045</v>
      </c>
      <c r="C1322" s="12" t="s">
        <v>2066</v>
      </c>
      <c r="D1322" s="87"/>
      <c r="E1322" s="67" t="str">
        <f>HYPERLINK("https://www.google.ru/search?q=C09UUW-S3&amp;newwindow=1&amp;tbm=isch","Еще фото")</f>
        <v>Еще фото</v>
      </c>
      <c r="F1322" s="14"/>
      <c r="G1322" s="25" t="s">
        <v>2053</v>
      </c>
      <c r="H1322" s="25" t="s">
        <v>69</v>
      </c>
      <c r="I1322" s="25" t="s">
        <v>713</v>
      </c>
      <c r="J1322" s="15" t="s">
        <v>162</v>
      </c>
      <c r="K1322" s="16" t="s">
        <v>29</v>
      </c>
      <c r="L1322" s="84"/>
      <c r="M1322" s="15"/>
      <c r="N1322" s="15" t="s">
        <v>122</v>
      </c>
      <c r="O1322" s="15"/>
      <c r="P1322" s="16" t="s">
        <v>2068</v>
      </c>
      <c r="Q1322" s="17">
        <v>2699</v>
      </c>
      <c r="R1322" s="18">
        <v>62.29</v>
      </c>
      <c r="S1322" s="19">
        <v>1170.4354999999998</v>
      </c>
      <c r="T1322" s="20" t="s">
        <v>75</v>
      </c>
      <c r="U1322" s="21" t="s">
        <v>2001</v>
      </c>
      <c r="V1322" s="22" t="s">
        <v>2051</v>
      </c>
      <c r="W1322" s="23">
        <v>4</v>
      </c>
      <c r="X1322" s="24"/>
    </row>
    <row r="1323" spans="1:24" s="1" customFormat="1" ht="35" customHeight="1" x14ac:dyDescent="0.3">
      <c r="A1323" s="11" t="s">
        <v>1986</v>
      </c>
      <c r="B1323" s="11" t="s">
        <v>2069</v>
      </c>
      <c r="C1323" s="12" t="s">
        <v>2070</v>
      </c>
      <c r="D1323" s="85"/>
      <c r="E1323" s="67" t="str">
        <f>HYPERLINK("https://www.google.ru/search?q=C125M-0&amp;newwindow=1&amp;tbm=isch","Еще фото")</f>
        <v>Еще фото</v>
      </c>
      <c r="F1323" s="14"/>
      <c r="G1323" s="11" t="s">
        <v>712</v>
      </c>
      <c r="H1323" s="11" t="s">
        <v>69</v>
      </c>
      <c r="I1323" s="15" t="s">
        <v>713</v>
      </c>
      <c r="J1323" s="15" t="s">
        <v>162</v>
      </c>
      <c r="K1323" s="16" t="s">
        <v>45</v>
      </c>
      <c r="L1323" s="83" t="s">
        <v>2071</v>
      </c>
      <c r="M1323" s="15"/>
      <c r="N1323" s="15" t="s">
        <v>173</v>
      </c>
      <c r="O1323" s="15"/>
      <c r="P1323" s="16" t="s">
        <v>2068</v>
      </c>
      <c r="Q1323" s="17">
        <v>6399</v>
      </c>
      <c r="R1323" s="18">
        <v>61.59</v>
      </c>
      <c r="S1323" s="19">
        <v>2826.4354999999996</v>
      </c>
      <c r="T1323" s="20" t="s">
        <v>75</v>
      </c>
      <c r="U1323" s="21" t="s">
        <v>2000</v>
      </c>
      <c r="V1323" s="22" t="s">
        <v>2042</v>
      </c>
      <c r="W1323" s="23">
        <v>27</v>
      </c>
      <c r="X1323" s="24"/>
    </row>
    <row r="1324" spans="1:24" s="1" customFormat="1" ht="35" customHeight="1" x14ac:dyDescent="0.3">
      <c r="A1324" s="25" t="s">
        <v>1986</v>
      </c>
      <c r="B1324" s="25" t="s">
        <v>2069</v>
      </c>
      <c r="C1324" s="12" t="s">
        <v>2070</v>
      </c>
      <c r="D1324" s="86"/>
      <c r="E1324" s="67" t="str">
        <f>HYPERLINK("https://www.google.ru/search?q=C125M-0&amp;newwindow=1&amp;tbm=isch","Еще фото")</f>
        <v>Еще фото</v>
      </c>
      <c r="F1324" s="14"/>
      <c r="G1324" s="25" t="s">
        <v>712</v>
      </c>
      <c r="H1324" s="25" t="s">
        <v>69</v>
      </c>
      <c r="I1324" s="25" t="s">
        <v>713</v>
      </c>
      <c r="J1324" s="15" t="s">
        <v>162</v>
      </c>
      <c r="K1324" s="16" t="s">
        <v>45</v>
      </c>
      <c r="L1324" s="88"/>
      <c r="M1324" s="15"/>
      <c r="N1324" s="15" t="s">
        <v>173</v>
      </c>
      <c r="O1324" s="15"/>
      <c r="P1324" s="16" t="s">
        <v>2068</v>
      </c>
      <c r="Q1324" s="17">
        <v>6399</v>
      </c>
      <c r="R1324" s="18">
        <v>61.59</v>
      </c>
      <c r="S1324" s="19">
        <v>2826.4354999999996</v>
      </c>
      <c r="T1324" s="20" t="s">
        <v>75</v>
      </c>
      <c r="U1324" s="21" t="s">
        <v>2001</v>
      </c>
      <c r="V1324" s="22" t="s">
        <v>35</v>
      </c>
      <c r="W1324" s="23">
        <v>21</v>
      </c>
      <c r="X1324" s="24"/>
    </row>
    <row r="1325" spans="1:24" s="1" customFormat="1" ht="37.049999999999997" customHeight="1" x14ac:dyDescent="0.3">
      <c r="A1325" s="25" t="s">
        <v>1986</v>
      </c>
      <c r="B1325" s="25" t="s">
        <v>2069</v>
      </c>
      <c r="C1325" s="12" t="s">
        <v>2070</v>
      </c>
      <c r="D1325" s="87"/>
      <c r="E1325" s="67" t="str">
        <f>HYPERLINK("https://www.google.ru/search?q=C125M-0&amp;newwindow=1&amp;tbm=isch","Еще фото")</f>
        <v>Еще фото</v>
      </c>
      <c r="F1325" s="14"/>
      <c r="G1325" s="25" t="s">
        <v>712</v>
      </c>
      <c r="H1325" s="25" t="s">
        <v>69</v>
      </c>
      <c r="I1325" s="25" t="s">
        <v>713</v>
      </c>
      <c r="J1325" s="15" t="s">
        <v>162</v>
      </c>
      <c r="K1325" s="16" t="s">
        <v>45</v>
      </c>
      <c r="L1325" s="84"/>
      <c r="M1325" s="15"/>
      <c r="N1325" s="15" t="s">
        <v>173</v>
      </c>
      <c r="O1325" s="15"/>
      <c r="P1325" s="16" t="s">
        <v>2068</v>
      </c>
      <c r="Q1325" s="17">
        <v>6399</v>
      </c>
      <c r="R1325" s="18">
        <v>61.59</v>
      </c>
      <c r="S1325" s="19">
        <v>2826.4354999999996</v>
      </c>
      <c r="T1325" s="20" t="s">
        <v>75</v>
      </c>
      <c r="U1325" s="21" t="s">
        <v>2043</v>
      </c>
      <c r="V1325" s="22" t="s">
        <v>2044</v>
      </c>
      <c r="W1325" s="23">
        <v>9</v>
      </c>
      <c r="X1325" s="24"/>
    </row>
    <row r="1326" spans="1:24" s="1" customFormat="1" ht="35" customHeight="1" x14ac:dyDescent="0.3">
      <c r="A1326" s="11" t="s">
        <v>1986</v>
      </c>
      <c r="B1326" s="11" t="s">
        <v>2069</v>
      </c>
      <c r="C1326" s="12" t="s">
        <v>2072</v>
      </c>
      <c r="D1326" s="85"/>
      <c r="E1326" s="67" t="str">
        <f>HYPERLINK("https://www.google.ru/search?q=C125W-0&amp;newwindow=1&amp;tbm=isch","Еще фото")</f>
        <v>Еще фото</v>
      </c>
      <c r="F1326" s="14"/>
      <c r="G1326" s="11" t="s">
        <v>712</v>
      </c>
      <c r="H1326" s="11" t="s">
        <v>69</v>
      </c>
      <c r="I1326" s="15" t="s">
        <v>713</v>
      </c>
      <c r="J1326" s="15" t="s">
        <v>162</v>
      </c>
      <c r="K1326" s="16" t="s">
        <v>29</v>
      </c>
      <c r="L1326" s="83" t="s">
        <v>2073</v>
      </c>
      <c r="M1326" s="15"/>
      <c r="N1326" s="15" t="s">
        <v>173</v>
      </c>
      <c r="O1326" s="15"/>
      <c r="P1326" s="16" t="s">
        <v>2068</v>
      </c>
      <c r="Q1326" s="17">
        <v>6399</v>
      </c>
      <c r="R1326" s="18">
        <v>61.59</v>
      </c>
      <c r="S1326" s="19">
        <v>2826.4354999999996</v>
      </c>
      <c r="T1326" s="20" t="s">
        <v>75</v>
      </c>
      <c r="U1326" s="21" t="s">
        <v>1999</v>
      </c>
      <c r="V1326" s="22" t="s">
        <v>2050</v>
      </c>
      <c r="W1326" s="23">
        <v>9</v>
      </c>
      <c r="X1326" s="24"/>
    </row>
    <row r="1327" spans="1:24" s="1" customFormat="1" ht="35" customHeight="1" x14ac:dyDescent="0.3">
      <c r="A1327" s="25" t="s">
        <v>1986</v>
      </c>
      <c r="B1327" s="25" t="s">
        <v>2069</v>
      </c>
      <c r="C1327" s="12" t="s">
        <v>2072</v>
      </c>
      <c r="D1327" s="86"/>
      <c r="E1327" s="67" t="str">
        <f>HYPERLINK("https://www.google.ru/search?q=C125W-0&amp;newwindow=1&amp;tbm=isch","Еще фото")</f>
        <v>Еще фото</v>
      </c>
      <c r="F1327" s="14"/>
      <c r="G1327" s="25" t="s">
        <v>712</v>
      </c>
      <c r="H1327" s="25" t="s">
        <v>69</v>
      </c>
      <c r="I1327" s="25" t="s">
        <v>713</v>
      </c>
      <c r="J1327" s="15" t="s">
        <v>162</v>
      </c>
      <c r="K1327" s="16" t="s">
        <v>29</v>
      </c>
      <c r="L1327" s="88"/>
      <c r="M1327" s="15"/>
      <c r="N1327" s="15" t="s">
        <v>173</v>
      </c>
      <c r="O1327" s="15"/>
      <c r="P1327" s="16" t="s">
        <v>2068</v>
      </c>
      <c r="Q1327" s="17">
        <v>6399</v>
      </c>
      <c r="R1327" s="18">
        <v>61.59</v>
      </c>
      <c r="S1327" s="19">
        <v>2826.4354999999996</v>
      </c>
      <c r="T1327" s="20" t="s">
        <v>75</v>
      </c>
      <c r="U1327" s="21" t="s">
        <v>2000</v>
      </c>
      <c r="V1327" s="22" t="s">
        <v>2056</v>
      </c>
      <c r="W1327" s="23">
        <v>21</v>
      </c>
      <c r="X1327" s="24"/>
    </row>
    <row r="1328" spans="1:24" s="1" customFormat="1" ht="37.049999999999997" customHeight="1" x14ac:dyDescent="0.3">
      <c r="A1328" s="25" t="s">
        <v>1986</v>
      </c>
      <c r="B1328" s="25" t="s">
        <v>2069</v>
      </c>
      <c r="C1328" s="12" t="s">
        <v>2072</v>
      </c>
      <c r="D1328" s="87"/>
      <c r="E1328" s="67" t="str">
        <f>HYPERLINK("https://www.google.ru/search?q=C125W-0&amp;newwindow=1&amp;tbm=isch","Еще фото")</f>
        <v>Еще фото</v>
      </c>
      <c r="F1328" s="14"/>
      <c r="G1328" s="25" t="s">
        <v>712</v>
      </c>
      <c r="H1328" s="25" t="s">
        <v>69</v>
      </c>
      <c r="I1328" s="25" t="s">
        <v>713</v>
      </c>
      <c r="J1328" s="15" t="s">
        <v>162</v>
      </c>
      <c r="K1328" s="16" t="s">
        <v>29</v>
      </c>
      <c r="L1328" s="84"/>
      <c r="M1328" s="15"/>
      <c r="N1328" s="15" t="s">
        <v>173</v>
      </c>
      <c r="O1328" s="15"/>
      <c r="P1328" s="16" t="s">
        <v>2068</v>
      </c>
      <c r="Q1328" s="17">
        <v>6399</v>
      </c>
      <c r="R1328" s="18">
        <v>61.59</v>
      </c>
      <c r="S1328" s="19">
        <v>2826.4354999999996</v>
      </c>
      <c r="T1328" s="20" t="s">
        <v>75</v>
      </c>
      <c r="U1328" s="21" t="s">
        <v>2001</v>
      </c>
      <c r="V1328" s="22" t="s">
        <v>2051</v>
      </c>
      <c r="W1328" s="23">
        <v>21</v>
      </c>
      <c r="X1328" s="24"/>
    </row>
    <row r="1329" spans="1:24" s="1" customFormat="1" ht="35" customHeight="1" x14ac:dyDescent="0.3">
      <c r="A1329" s="11" t="s">
        <v>1986</v>
      </c>
      <c r="B1329" s="11" t="s">
        <v>2069</v>
      </c>
      <c r="C1329" s="12" t="s">
        <v>2074</v>
      </c>
      <c r="D1329" s="85"/>
      <c r="E1329" s="67" t="str">
        <f>HYPERLINK("https://www.google.ru/search?q=C125W-4&amp;newwindow=1&amp;tbm=isch","Еще фото")</f>
        <v>Еще фото</v>
      </c>
      <c r="F1329" s="14"/>
      <c r="G1329" s="11" t="s">
        <v>712</v>
      </c>
      <c r="H1329" s="11" t="s">
        <v>69</v>
      </c>
      <c r="I1329" s="15" t="s">
        <v>713</v>
      </c>
      <c r="J1329" s="15" t="s">
        <v>162</v>
      </c>
      <c r="K1329" s="16" t="s">
        <v>29</v>
      </c>
      <c r="L1329" s="83" t="s">
        <v>2073</v>
      </c>
      <c r="M1329" s="15"/>
      <c r="N1329" s="15" t="s">
        <v>212</v>
      </c>
      <c r="O1329" s="15"/>
      <c r="P1329" s="16" t="s">
        <v>2068</v>
      </c>
      <c r="Q1329" s="17">
        <v>6399</v>
      </c>
      <c r="R1329" s="18">
        <v>61.59</v>
      </c>
      <c r="S1329" s="19">
        <v>2826.4354999999996</v>
      </c>
      <c r="T1329" s="20" t="s">
        <v>75</v>
      </c>
      <c r="U1329" s="21" t="s">
        <v>1999</v>
      </c>
      <c r="V1329" s="22" t="s">
        <v>2050</v>
      </c>
      <c r="W1329" s="23">
        <v>4</v>
      </c>
      <c r="X1329" s="24"/>
    </row>
    <row r="1330" spans="1:24" s="1" customFormat="1" ht="35" customHeight="1" x14ac:dyDescent="0.3">
      <c r="A1330" s="25" t="s">
        <v>1986</v>
      </c>
      <c r="B1330" s="25" t="s">
        <v>2069</v>
      </c>
      <c r="C1330" s="12" t="s">
        <v>2074</v>
      </c>
      <c r="D1330" s="86"/>
      <c r="E1330" s="67" t="str">
        <f>HYPERLINK("https://www.google.ru/search?q=C125W-4&amp;newwindow=1&amp;tbm=isch","Еще фото")</f>
        <v>Еще фото</v>
      </c>
      <c r="F1330" s="14"/>
      <c r="G1330" s="25" t="s">
        <v>712</v>
      </c>
      <c r="H1330" s="25" t="s">
        <v>69</v>
      </c>
      <c r="I1330" s="25" t="s">
        <v>713</v>
      </c>
      <c r="J1330" s="15" t="s">
        <v>162</v>
      </c>
      <c r="K1330" s="16" t="s">
        <v>29</v>
      </c>
      <c r="L1330" s="88"/>
      <c r="M1330" s="15"/>
      <c r="N1330" s="15" t="s">
        <v>212</v>
      </c>
      <c r="O1330" s="15"/>
      <c r="P1330" s="16" t="s">
        <v>2068</v>
      </c>
      <c r="Q1330" s="17">
        <v>6399</v>
      </c>
      <c r="R1330" s="18">
        <v>61.59</v>
      </c>
      <c r="S1330" s="19">
        <v>2826.4354999999996</v>
      </c>
      <c r="T1330" s="20" t="s">
        <v>75</v>
      </c>
      <c r="U1330" s="21" t="s">
        <v>2000</v>
      </c>
      <c r="V1330" s="22" t="s">
        <v>2056</v>
      </c>
      <c r="W1330" s="23">
        <v>10</v>
      </c>
      <c r="X1330" s="24"/>
    </row>
    <row r="1331" spans="1:24" s="1" customFormat="1" ht="37.049999999999997" customHeight="1" x14ac:dyDescent="0.3">
      <c r="A1331" s="25" t="s">
        <v>1986</v>
      </c>
      <c r="B1331" s="25" t="s">
        <v>2069</v>
      </c>
      <c r="C1331" s="12" t="s">
        <v>2074</v>
      </c>
      <c r="D1331" s="87"/>
      <c r="E1331" s="67" t="str">
        <f>HYPERLINK("https://www.google.ru/search?q=C125W-4&amp;newwindow=1&amp;tbm=isch","Еще фото")</f>
        <v>Еще фото</v>
      </c>
      <c r="F1331" s="14"/>
      <c r="G1331" s="25" t="s">
        <v>712</v>
      </c>
      <c r="H1331" s="25" t="s">
        <v>69</v>
      </c>
      <c r="I1331" s="25" t="s">
        <v>713</v>
      </c>
      <c r="J1331" s="15" t="s">
        <v>162</v>
      </c>
      <c r="K1331" s="16" t="s">
        <v>29</v>
      </c>
      <c r="L1331" s="84"/>
      <c r="M1331" s="15"/>
      <c r="N1331" s="15" t="s">
        <v>212</v>
      </c>
      <c r="O1331" s="15"/>
      <c r="P1331" s="16" t="s">
        <v>2068</v>
      </c>
      <c r="Q1331" s="17">
        <v>6399</v>
      </c>
      <c r="R1331" s="18">
        <v>61.59</v>
      </c>
      <c r="S1331" s="19">
        <v>2826.4354999999996</v>
      </c>
      <c r="T1331" s="20" t="s">
        <v>75</v>
      </c>
      <c r="U1331" s="21" t="s">
        <v>2001</v>
      </c>
      <c r="V1331" s="22" t="s">
        <v>2051</v>
      </c>
      <c r="W1331" s="23">
        <v>13</v>
      </c>
      <c r="X1331" s="24"/>
    </row>
    <row r="1332" spans="1:24" s="1" customFormat="1" ht="52.05" customHeight="1" x14ac:dyDescent="0.3">
      <c r="A1332" s="11" t="s">
        <v>1986</v>
      </c>
      <c r="B1332" s="11" t="s">
        <v>2069</v>
      </c>
      <c r="C1332" s="12" t="s">
        <v>2075</v>
      </c>
      <c r="D1332" s="81"/>
      <c r="E1332" s="67" t="str">
        <f>HYPERLINK("https://www.google.ru/search?q=C125W-YB&amp;newwindow=1&amp;tbm=isch","Еще фото")</f>
        <v>Еще фото</v>
      </c>
      <c r="F1332" s="14"/>
      <c r="G1332" s="11" t="s">
        <v>712</v>
      </c>
      <c r="H1332" s="11" t="s">
        <v>69</v>
      </c>
      <c r="I1332" s="15" t="s">
        <v>713</v>
      </c>
      <c r="J1332" s="15" t="s">
        <v>162</v>
      </c>
      <c r="K1332" s="16" t="s">
        <v>29</v>
      </c>
      <c r="L1332" s="83" t="s">
        <v>2073</v>
      </c>
      <c r="M1332" s="15"/>
      <c r="N1332" s="15" t="s">
        <v>2076</v>
      </c>
      <c r="O1332" s="15"/>
      <c r="P1332" s="16" t="s">
        <v>2068</v>
      </c>
      <c r="Q1332" s="17">
        <v>6399</v>
      </c>
      <c r="R1332" s="18">
        <v>61.59</v>
      </c>
      <c r="S1332" s="19">
        <v>2826.4354999999996</v>
      </c>
      <c r="T1332" s="20" t="s">
        <v>75</v>
      </c>
      <c r="U1332" s="21" t="s">
        <v>1999</v>
      </c>
      <c r="V1332" s="22" t="s">
        <v>2050</v>
      </c>
      <c r="W1332" s="23">
        <v>2</v>
      </c>
      <c r="X1332" s="24"/>
    </row>
    <row r="1333" spans="1:24" s="1" customFormat="1" ht="61.05" customHeight="1" x14ac:dyDescent="0.3">
      <c r="A1333" s="25" t="s">
        <v>1986</v>
      </c>
      <c r="B1333" s="25" t="s">
        <v>2069</v>
      </c>
      <c r="C1333" s="12" t="s">
        <v>2075</v>
      </c>
      <c r="D1333" s="82"/>
      <c r="E1333" s="67" t="str">
        <f>HYPERLINK("https://www.google.ru/search?q=C125W-YB&amp;newwindow=1&amp;tbm=isch","Еще фото")</f>
        <v>Еще фото</v>
      </c>
      <c r="F1333" s="14"/>
      <c r="G1333" s="25" t="s">
        <v>712</v>
      </c>
      <c r="H1333" s="25" t="s">
        <v>69</v>
      </c>
      <c r="I1333" s="25" t="s">
        <v>713</v>
      </c>
      <c r="J1333" s="15" t="s">
        <v>162</v>
      </c>
      <c r="K1333" s="16" t="s">
        <v>29</v>
      </c>
      <c r="L1333" s="84"/>
      <c r="M1333" s="15"/>
      <c r="N1333" s="15" t="s">
        <v>2076</v>
      </c>
      <c r="O1333" s="15"/>
      <c r="P1333" s="16" t="s">
        <v>2068</v>
      </c>
      <c r="Q1333" s="17">
        <v>6399</v>
      </c>
      <c r="R1333" s="18">
        <v>61.59</v>
      </c>
      <c r="S1333" s="19">
        <v>2826.4354999999996</v>
      </c>
      <c r="T1333" s="20" t="s">
        <v>75</v>
      </c>
      <c r="U1333" s="21" t="s">
        <v>2000</v>
      </c>
      <c r="V1333" s="22" t="s">
        <v>2056</v>
      </c>
      <c r="W1333" s="23">
        <v>5</v>
      </c>
      <c r="X1333" s="24"/>
    </row>
    <row r="1334" spans="1:24" s="1" customFormat="1" ht="35" customHeight="1" x14ac:dyDescent="0.3">
      <c r="A1334" s="11" t="s">
        <v>1986</v>
      </c>
      <c r="B1334" s="11" t="s">
        <v>2077</v>
      </c>
      <c r="C1334" s="12" t="s">
        <v>2078</v>
      </c>
      <c r="D1334" s="85"/>
      <c r="E1334" s="67" t="str">
        <f>HYPERLINK("https://www.google.ru/search?q=C005W-0&amp;newwindow=1&amp;tbm=isch","Еще фото")</f>
        <v>Еще фото</v>
      </c>
      <c r="F1334" s="14"/>
      <c r="G1334" s="11" t="s">
        <v>712</v>
      </c>
      <c r="H1334" s="11" t="s">
        <v>69</v>
      </c>
      <c r="I1334" s="15" t="s">
        <v>713</v>
      </c>
      <c r="J1334" s="15" t="s">
        <v>162</v>
      </c>
      <c r="K1334" s="16" t="s">
        <v>29</v>
      </c>
      <c r="L1334" s="83" t="s">
        <v>2079</v>
      </c>
      <c r="M1334" s="15"/>
      <c r="N1334" s="15" t="s">
        <v>173</v>
      </c>
      <c r="O1334" s="15"/>
      <c r="P1334" s="16" t="s">
        <v>2080</v>
      </c>
      <c r="Q1334" s="17">
        <v>2699</v>
      </c>
      <c r="R1334" s="18">
        <v>61.55</v>
      </c>
      <c r="S1334" s="19">
        <v>1193.4354999999998</v>
      </c>
      <c r="T1334" s="20" t="s">
        <v>75</v>
      </c>
      <c r="U1334" s="21" t="s">
        <v>1999</v>
      </c>
      <c r="V1334" s="22" t="s">
        <v>2050</v>
      </c>
      <c r="W1334" s="23">
        <v>3</v>
      </c>
      <c r="X1334" s="24"/>
    </row>
    <row r="1335" spans="1:24" s="1" customFormat="1" ht="35" customHeight="1" x14ac:dyDescent="0.3">
      <c r="A1335" s="25" t="s">
        <v>1986</v>
      </c>
      <c r="B1335" s="25" t="s">
        <v>2077</v>
      </c>
      <c r="C1335" s="12" t="s">
        <v>2078</v>
      </c>
      <c r="D1335" s="86"/>
      <c r="E1335" s="67" t="str">
        <f>HYPERLINK("https://www.google.ru/search?q=C005W-0&amp;newwindow=1&amp;tbm=isch","Еще фото")</f>
        <v>Еще фото</v>
      </c>
      <c r="F1335" s="14"/>
      <c r="G1335" s="25" t="s">
        <v>712</v>
      </c>
      <c r="H1335" s="25" t="s">
        <v>69</v>
      </c>
      <c r="I1335" s="25" t="s">
        <v>713</v>
      </c>
      <c r="J1335" s="15" t="s">
        <v>162</v>
      </c>
      <c r="K1335" s="16" t="s">
        <v>29</v>
      </c>
      <c r="L1335" s="88"/>
      <c r="M1335" s="15"/>
      <c r="N1335" s="15" t="s">
        <v>173</v>
      </c>
      <c r="O1335" s="15"/>
      <c r="P1335" s="16" t="s">
        <v>2080</v>
      </c>
      <c r="Q1335" s="17">
        <v>2699</v>
      </c>
      <c r="R1335" s="18">
        <v>61.55</v>
      </c>
      <c r="S1335" s="19">
        <v>1193.4354999999998</v>
      </c>
      <c r="T1335" s="20" t="s">
        <v>75</v>
      </c>
      <c r="U1335" s="21" t="s">
        <v>2000</v>
      </c>
      <c r="V1335" s="22" t="s">
        <v>2056</v>
      </c>
      <c r="W1335" s="23">
        <v>9</v>
      </c>
      <c r="X1335" s="24"/>
    </row>
    <row r="1336" spans="1:24" s="1" customFormat="1" ht="37.049999999999997" customHeight="1" x14ac:dyDescent="0.3">
      <c r="A1336" s="25" t="s">
        <v>1986</v>
      </c>
      <c r="B1336" s="25" t="s">
        <v>2077</v>
      </c>
      <c r="C1336" s="12" t="s">
        <v>2078</v>
      </c>
      <c r="D1336" s="87"/>
      <c r="E1336" s="67" t="str">
        <f>HYPERLINK("https://www.google.ru/search?q=C005W-0&amp;newwindow=1&amp;tbm=isch","Еще фото")</f>
        <v>Еще фото</v>
      </c>
      <c r="F1336" s="14"/>
      <c r="G1336" s="25" t="s">
        <v>712</v>
      </c>
      <c r="H1336" s="25" t="s">
        <v>69</v>
      </c>
      <c r="I1336" s="25" t="s">
        <v>713</v>
      </c>
      <c r="J1336" s="15" t="s">
        <v>162</v>
      </c>
      <c r="K1336" s="16" t="s">
        <v>29</v>
      </c>
      <c r="L1336" s="84"/>
      <c r="M1336" s="15"/>
      <c r="N1336" s="15" t="s">
        <v>173</v>
      </c>
      <c r="O1336" s="15"/>
      <c r="P1336" s="16" t="s">
        <v>2080</v>
      </c>
      <c r="Q1336" s="17">
        <v>2699</v>
      </c>
      <c r="R1336" s="18">
        <v>61.55</v>
      </c>
      <c r="S1336" s="19">
        <v>1193.4354999999998</v>
      </c>
      <c r="T1336" s="20" t="s">
        <v>75</v>
      </c>
      <c r="U1336" s="21" t="s">
        <v>2001</v>
      </c>
      <c r="V1336" s="22" t="s">
        <v>2051</v>
      </c>
      <c r="W1336" s="23">
        <v>4</v>
      </c>
      <c r="X1336" s="24"/>
    </row>
    <row r="1337" spans="1:24" s="1" customFormat="1" ht="52.05" customHeight="1" x14ac:dyDescent="0.3">
      <c r="A1337" s="11" t="s">
        <v>1986</v>
      </c>
      <c r="B1337" s="11" t="s">
        <v>2077</v>
      </c>
      <c r="C1337" s="12" t="s">
        <v>2081</v>
      </c>
      <c r="D1337" s="81"/>
      <c r="E1337" s="67" t="str">
        <f>HYPERLINK("https://www.google.ru/search?q=C005W-YB&amp;newwindow=1&amp;tbm=isch","Еще фото")</f>
        <v>Еще фото</v>
      </c>
      <c r="F1337" s="14"/>
      <c r="G1337" s="11" t="s">
        <v>712</v>
      </c>
      <c r="H1337" s="11" t="s">
        <v>69</v>
      </c>
      <c r="I1337" s="15" t="s">
        <v>713</v>
      </c>
      <c r="J1337" s="15" t="s">
        <v>162</v>
      </c>
      <c r="K1337" s="16" t="s">
        <v>29</v>
      </c>
      <c r="L1337" s="83" t="s">
        <v>2079</v>
      </c>
      <c r="M1337" s="15"/>
      <c r="N1337" s="15" t="s">
        <v>2076</v>
      </c>
      <c r="O1337" s="15"/>
      <c r="P1337" s="16" t="s">
        <v>2080</v>
      </c>
      <c r="Q1337" s="17">
        <v>2699</v>
      </c>
      <c r="R1337" s="18">
        <v>61.55</v>
      </c>
      <c r="S1337" s="19">
        <v>1193.4354999999998</v>
      </c>
      <c r="T1337" s="20" t="s">
        <v>75</v>
      </c>
      <c r="U1337" s="21" t="s">
        <v>1999</v>
      </c>
      <c r="V1337" s="22" t="s">
        <v>2050</v>
      </c>
      <c r="W1337" s="23">
        <v>2</v>
      </c>
      <c r="X1337" s="24"/>
    </row>
    <row r="1338" spans="1:24" s="1" customFormat="1" ht="61.05" customHeight="1" x14ac:dyDescent="0.3">
      <c r="A1338" s="25" t="s">
        <v>1986</v>
      </c>
      <c r="B1338" s="25" t="s">
        <v>2077</v>
      </c>
      <c r="C1338" s="12" t="s">
        <v>2081</v>
      </c>
      <c r="D1338" s="82"/>
      <c r="E1338" s="67" t="str">
        <f>HYPERLINK("https://www.google.ru/search?q=C005W-YB&amp;newwindow=1&amp;tbm=isch","Еще фото")</f>
        <v>Еще фото</v>
      </c>
      <c r="F1338" s="14"/>
      <c r="G1338" s="25" t="s">
        <v>712</v>
      </c>
      <c r="H1338" s="25" t="s">
        <v>69</v>
      </c>
      <c r="I1338" s="25" t="s">
        <v>713</v>
      </c>
      <c r="J1338" s="15" t="s">
        <v>162</v>
      </c>
      <c r="K1338" s="16" t="s">
        <v>29</v>
      </c>
      <c r="L1338" s="84"/>
      <c r="M1338" s="15"/>
      <c r="N1338" s="15" t="s">
        <v>2076</v>
      </c>
      <c r="O1338" s="15"/>
      <c r="P1338" s="16" t="s">
        <v>2080</v>
      </c>
      <c r="Q1338" s="17">
        <v>2699</v>
      </c>
      <c r="R1338" s="18">
        <v>61.55</v>
      </c>
      <c r="S1338" s="19">
        <v>1193.4354999999998</v>
      </c>
      <c r="T1338" s="20" t="s">
        <v>75</v>
      </c>
      <c r="U1338" s="21" t="s">
        <v>2000</v>
      </c>
      <c r="V1338" s="22" t="s">
        <v>2056</v>
      </c>
      <c r="W1338" s="23">
        <v>4</v>
      </c>
      <c r="X1338" s="24"/>
    </row>
    <row r="1339" spans="1:24" s="1" customFormat="1" ht="35" customHeight="1" x14ac:dyDescent="0.3">
      <c r="A1339" s="11" t="s">
        <v>1986</v>
      </c>
      <c r="B1339" s="11" t="s">
        <v>2082</v>
      </c>
      <c r="C1339" s="12" t="s">
        <v>2083</v>
      </c>
      <c r="D1339" s="85"/>
      <c r="E1339" s="67" t="str">
        <f>HYPERLINK("https://www.google.ru/search?q=C095M-0&amp;newwindow=1&amp;tbm=isch","Еще фото")</f>
        <v>Еще фото</v>
      </c>
      <c r="F1339" s="14"/>
      <c r="G1339" s="11" t="s">
        <v>712</v>
      </c>
      <c r="H1339" s="11" t="s">
        <v>69</v>
      </c>
      <c r="I1339" s="15" t="s">
        <v>713</v>
      </c>
      <c r="J1339" s="15" t="s">
        <v>162</v>
      </c>
      <c r="K1339" s="16" t="s">
        <v>45</v>
      </c>
      <c r="L1339" s="83" t="s">
        <v>2084</v>
      </c>
      <c r="M1339" s="15"/>
      <c r="N1339" s="15" t="s">
        <v>173</v>
      </c>
      <c r="O1339" s="15"/>
      <c r="P1339" s="16" t="s">
        <v>2085</v>
      </c>
      <c r="Q1339" s="17">
        <v>2699</v>
      </c>
      <c r="R1339" s="18">
        <v>61.55</v>
      </c>
      <c r="S1339" s="19">
        <v>1193.4354999999998</v>
      </c>
      <c r="T1339" s="20" t="s">
        <v>75</v>
      </c>
      <c r="U1339" s="21" t="s">
        <v>2000</v>
      </c>
      <c r="V1339" s="22" t="s">
        <v>2042</v>
      </c>
      <c r="W1339" s="23">
        <v>14</v>
      </c>
      <c r="X1339" s="24"/>
    </row>
    <row r="1340" spans="1:24" s="1" customFormat="1" ht="35" customHeight="1" x14ac:dyDescent="0.3">
      <c r="A1340" s="25" t="s">
        <v>1986</v>
      </c>
      <c r="B1340" s="25" t="s">
        <v>2082</v>
      </c>
      <c r="C1340" s="12" t="s">
        <v>2083</v>
      </c>
      <c r="D1340" s="86"/>
      <c r="E1340" s="67" t="str">
        <f>HYPERLINK("https://www.google.ru/search?q=C095M-0&amp;newwindow=1&amp;tbm=isch","Еще фото")</f>
        <v>Еще фото</v>
      </c>
      <c r="F1340" s="14"/>
      <c r="G1340" s="25" t="s">
        <v>712</v>
      </c>
      <c r="H1340" s="25" t="s">
        <v>69</v>
      </c>
      <c r="I1340" s="25" t="s">
        <v>713</v>
      </c>
      <c r="J1340" s="15" t="s">
        <v>162</v>
      </c>
      <c r="K1340" s="16" t="s">
        <v>45</v>
      </c>
      <c r="L1340" s="88"/>
      <c r="M1340" s="15"/>
      <c r="N1340" s="15" t="s">
        <v>173</v>
      </c>
      <c r="O1340" s="15"/>
      <c r="P1340" s="16" t="s">
        <v>2085</v>
      </c>
      <c r="Q1340" s="17">
        <v>2699</v>
      </c>
      <c r="R1340" s="18">
        <v>61.55</v>
      </c>
      <c r="S1340" s="19">
        <v>1193.4354999999998</v>
      </c>
      <c r="T1340" s="20" t="s">
        <v>75</v>
      </c>
      <c r="U1340" s="21" t="s">
        <v>2001</v>
      </c>
      <c r="V1340" s="22" t="s">
        <v>35</v>
      </c>
      <c r="W1340" s="23">
        <v>10</v>
      </c>
      <c r="X1340" s="24"/>
    </row>
    <row r="1341" spans="1:24" s="1" customFormat="1" ht="37.049999999999997" customHeight="1" x14ac:dyDescent="0.3">
      <c r="A1341" s="25" t="s">
        <v>1986</v>
      </c>
      <c r="B1341" s="25" t="s">
        <v>2082</v>
      </c>
      <c r="C1341" s="12" t="s">
        <v>2083</v>
      </c>
      <c r="D1341" s="87"/>
      <c r="E1341" s="67" t="str">
        <f>HYPERLINK("https://www.google.ru/search?q=C095M-0&amp;newwindow=1&amp;tbm=isch","Еще фото")</f>
        <v>Еще фото</v>
      </c>
      <c r="F1341" s="14"/>
      <c r="G1341" s="25" t="s">
        <v>712</v>
      </c>
      <c r="H1341" s="25" t="s">
        <v>69</v>
      </c>
      <c r="I1341" s="25" t="s">
        <v>713</v>
      </c>
      <c r="J1341" s="15" t="s">
        <v>162</v>
      </c>
      <c r="K1341" s="16" t="s">
        <v>45</v>
      </c>
      <c r="L1341" s="84"/>
      <c r="M1341" s="15"/>
      <c r="N1341" s="15" t="s">
        <v>173</v>
      </c>
      <c r="O1341" s="15"/>
      <c r="P1341" s="16" t="s">
        <v>2085</v>
      </c>
      <c r="Q1341" s="17">
        <v>2699</v>
      </c>
      <c r="R1341" s="18">
        <v>61.55</v>
      </c>
      <c r="S1341" s="19">
        <v>1193.4354999999998</v>
      </c>
      <c r="T1341" s="20" t="s">
        <v>75</v>
      </c>
      <c r="U1341" s="21" t="s">
        <v>2043</v>
      </c>
      <c r="V1341" s="22" t="s">
        <v>2044</v>
      </c>
      <c r="W1341" s="23">
        <v>15</v>
      </c>
      <c r="X1341" s="24"/>
    </row>
    <row r="1342" spans="1:24" s="1" customFormat="1" ht="35" customHeight="1" x14ac:dyDescent="0.3">
      <c r="A1342" s="11" t="s">
        <v>1986</v>
      </c>
      <c r="B1342" s="11" t="s">
        <v>2082</v>
      </c>
      <c r="C1342" s="12" t="s">
        <v>2086</v>
      </c>
      <c r="D1342" s="85"/>
      <c r="E1342" s="67" t="str">
        <f>HYPERLINK("https://www.google.ru/search?q=C095M-3&amp;newwindow=1&amp;tbm=isch","Еще фото")</f>
        <v>Еще фото</v>
      </c>
      <c r="F1342" s="14"/>
      <c r="G1342" s="11" t="s">
        <v>712</v>
      </c>
      <c r="H1342" s="11" t="s">
        <v>69</v>
      </c>
      <c r="I1342" s="15" t="s">
        <v>713</v>
      </c>
      <c r="J1342" s="15" t="s">
        <v>162</v>
      </c>
      <c r="K1342" s="16" t="s">
        <v>45</v>
      </c>
      <c r="L1342" s="83" t="s">
        <v>2084</v>
      </c>
      <c r="M1342" s="15"/>
      <c r="N1342" s="15" t="s">
        <v>31</v>
      </c>
      <c r="O1342" s="15"/>
      <c r="P1342" s="16" t="s">
        <v>2085</v>
      </c>
      <c r="Q1342" s="17">
        <v>2699</v>
      </c>
      <c r="R1342" s="18">
        <v>61.55</v>
      </c>
      <c r="S1342" s="19">
        <v>1193.4354999999998</v>
      </c>
      <c r="T1342" s="20" t="s">
        <v>75</v>
      </c>
      <c r="U1342" s="21" t="s">
        <v>2000</v>
      </c>
      <c r="V1342" s="22" t="s">
        <v>2042</v>
      </c>
      <c r="W1342" s="23">
        <v>18</v>
      </c>
      <c r="X1342" s="24"/>
    </row>
    <row r="1343" spans="1:24" s="1" customFormat="1" ht="35" customHeight="1" x14ac:dyDescent="0.3">
      <c r="A1343" s="25" t="s">
        <v>1986</v>
      </c>
      <c r="B1343" s="25" t="s">
        <v>2082</v>
      </c>
      <c r="C1343" s="12" t="s">
        <v>2086</v>
      </c>
      <c r="D1343" s="86"/>
      <c r="E1343" s="67" t="str">
        <f>HYPERLINK("https://www.google.ru/search?q=C095M-3&amp;newwindow=1&amp;tbm=isch","Еще фото")</f>
        <v>Еще фото</v>
      </c>
      <c r="F1343" s="14"/>
      <c r="G1343" s="25" t="s">
        <v>712</v>
      </c>
      <c r="H1343" s="25" t="s">
        <v>69</v>
      </c>
      <c r="I1343" s="25" t="s">
        <v>713</v>
      </c>
      <c r="J1343" s="15" t="s">
        <v>162</v>
      </c>
      <c r="K1343" s="16" t="s">
        <v>45</v>
      </c>
      <c r="L1343" s="88"/>
      <c r="M1343" s="15"/>
      <c r="N1343" s="15" t="s">
        <v>31</v>
      </c>
      <c r="O1343" s="15"/>
      <c r="P1343" s="16" t="s">
        <v>2085</v>
      </c>
      <c r="Q1343" s="17">
        <v>2699</v>
      </c>
      <c r="R1343" s="18">
        <v>61.55</v>
      </c>
      <c r="S1343" s="19">
        <v>1193.4354999999998</v>
      </c>
      <c r="T1343" s="20" t="s">
        <v>75</v>
      </c>
      <c r="U1343" s="21" t="s">
        <v>2001</v>
      </c>
      <c r="V1343" s="22" t="s">
        <v>35</v>
      </c>
      <c r="W1343" s="23">
        <v>19</v>
      </c>
      <c r="X1343" s="24"/>
    </row>
    <row r="1344" spans="1:24" s="1" customFormat="1" ht="37.049999999999997" customHeight="1" x14ac:dyDescent="0.3">
      <c r="A1344" s="25" t="s">
        <v>1986</v>
      </c>
      <c r="B1344" s="25" t="s">
        <v>2082</v>
      </c>
      <c r="C1344" s="12" t="s">
        <v>2086</v>
      </c>
      <c r="D1344" s="87"/>
      <c r="E1344" s="67" t="str">
        <f>HYPERLINK("https://www.google.ru/search?q=C095M-3&amp;newwindow=1&amp;tbm=isch","Еще фото")</f>
        <v>Еще фото</v>
      </c>
      <c r="F1344" s="14"/>
      <c r="G1344" s="25" t="s">
        <v>712</v>
      </c>
      <c r="H1344" s="25" t="s">
        <v>69</v>
      </c>
      <c r="I1344" s="25" t="s">
        <v>713</v>
      </c>
      <c r="J1344" s="15" t="s">
        <v>162</v>
      </c>
      <c r="K1344" s="16" t="s">
        <v>45</v>
      </c>
      <c r="L1344" s="84"/>
      <c r="M1344" s="15"/>
      <c r="N1344" s="15" t="s">
        <v>31</v>
      </c>
      <c r="O1344" s="15"/>
      <c r="P1344" s="16" t="s">
        <v>2085</v>
      </c>
      <c r="Q1344" s="17">
        <v>2699</v>
      </c>
      <c r="R1344" s="18">
        <v>61.55</v>
      </c>
      <c r="S1344" s="19">
        <v>1193.4354999999998</v>
      </c>
      <c r="T1344" s="20" t="s">
        <v>75</v>
      </c>
      <c r="U1344" s="21" t="s">
        <v>2043</v>
      </c>
      <c r="V1344" s="22" t="s">
        <v>2044</v>
      </c>
      <c r="W1344" s="23">
        <v>5</v>
      </c>
      <c r="X1344" s="24"/>
    </row>
    <row r="1345" spans="1:24" s="1" customFormat="1" ht="35" customHeight="1" x14ac:dyDescent="0.3">
      <c r="A1345" s="11" t="s">
        <v>1986</v>
      </c>
      <c r="B1345" s="11" t="s">
        <v>2082</v>
      </c>
      <c r="C1345" s="12" t="s">
        <v>2087</v>
      </c>
      <c r="D1345" s="85"/>
      <c r="E1345" s="67" t="str">
        <f>HYPERLINK("https://www.google.ru/search?q=C095M-5&amp;newwindow=1&amp;tbm=isch","Еще фото")</f>
        <v>Еще фото</v>
      </c>
      <c r="F1345" s="14"/>
      <c r="G1345" s="11" t="s">
        <v>712</v>
      </c>
      <c r="H1345" s="11" t="s">
        <v>69</v>
      </c>
      <c r="I1345" s="15" t="s">
        <v>713</v>
      </c>
      <c r="J1345" s="15" t="s">
        <v>162</v>
      </c>
      <c r="K1345" s="16" t="s">
        <v>45</v>
      </c>
      <c r="L1345" s="83" t="s">
        <v>2084</v>
      </c>
      <c r="M1345" s="15"/>
      <c r="N1345" s="15" t="s">
        <v>38</v>
      </c>
      <c r="O1345" s="15"/>
      <c r="P1345" s="16" t="s">
        <v>2085</v>
      </c>
      <c r="Q1345" s="17">
        <v>2699</v>
      </c>
      <c r="R1345" s="18">
        <v>61.55</v>
      </c>
      <c r="S1345" s="19">
        <v>1193.4354999999998</v>
      </c>
      <c r="T1345" s="20" t="s">
        <v>75</v>
      </c>
      <c r="U1345" s="21" t="s">
        <v>2000</v>
      </c>
      <c r="V1345" s="22" t="s">
        <v>2042</v>
      </c>
      <c r="W1345" s="23">
        <v>27</v>
      </c>
      <c r="X1345" s="24"/>
    </row>
    <row r="1346" spans="1:24" s="1" customFormat="1" ht="35" customHeight="1" x14ac:dyDescent="0.3">
      <c r="A1346" s="25" t="s">
        <v>1986</v>
      </c>
      <c r="B1346" s="25" t="s">
        <v>2082</v>
      </c>
      <c r="C1346" s="12" t="s">
        <v>2087</v>
      </c>
      <c r="D1346" s="86"/>
      <c r="E1346" s="67" t="str">
        <f>HYPERLINK("https://www.google.ru/search?q=C095M-5&amp;newwindow=1&amp;tbm=isch","Еще фото")</f>
        <v>Еще фото</v>
      </c>
      <c r="F1346" s="14"/>
      <c r="G1346" s="25" t="s">
        <v>712</v>
      </c>
      <c r="H1346" s="25" t="s">
        <v>69</v>
      </c>
      <c r="I1346" s="25" t="s">
        <v>713</v>
      </c>
      <c r="J1346" s="15" t="s">
        <v>162</v>
      </c>
      <c r="K1346" s="16" t="s">
        <v>45</v>
      </c>
      <c r="L1346" s="88"/>
      <c r="M1346" s="15"/>
      <c r="N1346" s="15" t="s">
        <v>38</v>
      </c>
      <c r="O1346" s="15"/>
      <c r="P1346" s="16" t="s">
        <v>2085</v>
      </c>
      <c r="Q1346" s="17">
        <v>2699</v>
      </c>
      <c r="R1346" s="18">
        <v>61.55</v>
      </c>
      <c r="S1346" s="19">
        <v>1193.4354999999998</v>
      </c>
      <c r="T1346" s="20" t="s">
        <v>75</v>
      </c>
      <c r="U1346" s="21" t="s">
        <v>2001</v>
      </c>
      <c r="V1346" s="22" t="s">
        <v>35</v>
      </c>
      <c r="W1346" s="23">
        <v>30</v>
      </c>
      <c r="X1346" s="24"/>
    </row>
    <row r="1347" spans="1:24" s="1" customFormat="1" ht="37.049999999999997" customHeight="1" x14ac:dyDescent="0.3">
      <c r="A1347" s="25" t="s">
        <v>1986</v>
      </c>
      <c r="B1347" s="25" t="s">
        <v>2082</v>
      </c>
      <c r="C1347" s="12" t="s">
        <v>2087</v>
      </c>
      <c r="D1347" s="87"/>
      <c r="E1347" s="67" t="str">
        <f>HYPERLINK("https://www.google.ru/search?q=C095M-5&amp;newwindow=1&amp;tbm=isch","Еще фото")</f>
        <v>Еще фото</v>
      </c>
      <c r="F1347" s="14"/>
      <c r="G1347" s="25" t="s">
        <v>712</v>
      </c>
      <c r="H1347" s="25" t="s">
        <v>69</v>
      </c>
      <c r="I1347" s="25" t="s">
        <v>713</v>
      </c>
      <c r="J1347" s="15" t="s">
        <v>162</v>
      </c>
      <c r="K1347" s="16" t="s">
        <v>45</v>
      </c>
      <c r="L1347" s="84"/>
      <c r="M1347" s="15"/>
      <c r="N1347" s="15" t="s">
        <v>38</v>
      </c>
      <c r="O1347" s="15"/>
      <c r="P1347" s="16" t="s">
        <v>2085</v>
      </c>
      <c r="Q1347" s="17">
        <v>2699</v>
      </c>
      <c r="R1347" s="18">
        <v>61.55</v>
      </c>
      <c r="S1347" s="19">
        <v>1193.4354999999998</v>
      </c>
      <c r="T1347" s="20" t="s">
        <v>75</v>
      </c>
      <c r="U1347" s="21" t="s">
        <v>2043</v>
      </c>
      <c r="V1347" s="22" t="s">
        <v>2044</v>
      </c>
      <c r="W1347" s="23">
        <v>8</v>
      </c>
      <c r="X1347" s="24"/>
    </row>
    <row r="1348" spans="1:24" s="1" customFormat="1" ht="35" customHeight="1" x14ac:dyDescent="0.3">
      <c r="A1348" s="11" t="s">
        <v>1986</v>
      </c>
      <c r="B1348" s="11" t="s">
        <v>2082</v>
      </c>
      <c r="C1348" s="12" t="s">
        <v>2088</v>
      </c>
      <c r="D1348" s="85"/>
      <c r="E1348" s="67" t="str">
        <f>HYPERLINK("https://www.google.ru/search?q=C095W-0&amp;newwindow=1&amp;tbm=isch","Еще фото")</f>
        <v>Еще фото</v>
      </c>
      <c r="F1348" s="14"/>
      <c r="G1348" s="11" t="s">
        <v>712</v>
      </c>
      <c r="H1348" s="11" t="s">
        <v>69</v>
      </c>
      <c r="I1348" s="15" t="s">
        <v>713</v>
      </c>
      <c r="J1348" s="15" t="s">
        <v>162</v>
      </c>
      <c r="K1348" s="16" t="s">
        <v>29</v>
      </c>
      <c r="L1348" s="83" t="s">
        <v>2089</v>
      </c>
      <c r="M1348" s="15"/>
      <c r="N1348" s="15" t="s">
        <v>173</v>
      </c>
      <c r="O1348" s="15"/>
      <c r="P1348" s="16" t="s">
        <v>2085</v>
      </c>
      <c r="Q1348" s="17">
        <v>2699</v>
      </c>
      <c r="R1348" s="18">
        <v>61.55</v>
      </c>
      <c r="S1348" s="19">
        <v>1193.4354999999998</v>
      </c>
      <c r="T1348" s="20" t="s">
        <v>75</v>
      </c>
      <c r="U1348" s="21" t="s">
        <v>1999</v>
      </c>
      <c r="V1348" s="22" t="s">
        <v>2050</v>
      </c>
      <c r="W1348" s="23">
        <v>16</v>
      </c>
      <c r="X1348" s="24"/>
    </row>
    <row r="1349" spans="1:24" s="1" customFormat="1" ht="35" customHeight="1" x14ac:dyDescent="0.3">
      <c r="A1349" s="25" t="s">
        <v>1986</v>
      </c>
      <c r="B1349" s="25" t="s">
        <v>2082</v>
      </c>
      <c r="C1349" s="12" t="s">
        <v>2088</v>
      </c>
      <c r="D1349" s="86"/>
      <c r="E1349" s="67" t="str">
        <f>HYPERLINK("https://www.google.ru/search?q=C095W-0&amp;newwindow=1&amp;tbm=isch","Еще фото")</f>
        <v>Еще фото</v>
      </c>
      <c r="F1349" s="14"/>
      <c r="G1349" s="25" t="s">
        <v>712</v>
      </c>
      <c r="H1349" s="25" t="s">
        <v>69</v>
      </c>
      <c r="I1349" s="25" t="s">
        <v>713</v>
      </c>
      <c r="J1349" s="15" t="s">
        <v>162</v>
      </c>
      <c r="K1349" s="16" t="s">
        <v>29</v>
      </c>
      <c r="L1349" s="88"/>
      <c r="M1349" s="15"/>
      <c r="N1349" s="15" t="s">
        <v>173</v>
      </c>
      <c r="O1349" s="15"/>
      <c r="P1349" s="16" t="s">
        <v>2085</v>
      </c>
      <c r="Q1349" s="17">
        <v>2699</v>
      </c>
      <c r="R1349" s="18">
        <v>61.55</v>
      </c>
      <c r="S1349" s="19">
        <v>1193.4354999999998</v>
      </c>
      <c r="T1349" s="20" t="s">
        <v>75</v>
      </c>
      <c r="U1349" s="21" t="s">
        <v>2000</v>
      </c>
      <c r="V1349" s="22" t="s">
        <v>2056</v>
      </c>
      <c r="W1349" s="23">
        <v>17</v>
      </c>
      <c r="X1349" s="24"/>
    </row>
    <row r="1350" spans="1:24" s="1" customFormat="1" ht="37.049999999999997" customHeight="1" x14ac:dyDescent="0.3">
      <c r="A1350" s="25" t="s">
        <v>1986</v>
      </c>
      <c r="B1350" s="25" t="s">
        <v>2082</v>
      </c>
      <c r="C1350" s="12" t="s">
        <v>2088</v>
      </c>
      <c r="D1350" s="87"/>
      <c r="E1350" s="67" t="str">
        <f>HYPERLINK("https://www.google.ru/search?q=C095W-0&amp;newwindow=1&amp;tbm=isch","Еще фото")</f>
        <v>Еще фото</v>
      </c>
      <c r="F1350" s="14"/>
      <c r="G1350" s="25" t="s">
        <v>712</v>
      </c>
      <c r="H1350" s="25" t="s">
        <v>69</v>
      </c>
      <c r="I1350" s="25" t="s">
        <v>713</v>
      </c>
      <c r="J1350" s="15" t="s">
        <v>162</v>
      </c>
      <c r="K1350" s="16" t="s">
        <v>29</v>
      </c>
      <c r="L1350" s="84"/>
      <c r="M1350" s="15"/>
      <c r="N1350" s="15" t="s">
        <v>173</v>
      </c>
      <c r="O1350" s="15"/>
      <c r="P1350" s="16" t="s">
        <v>2085</v>
      </c>
      <c r="Q1350" s="17">
        <v>2699</v>
      </c>
      <c r="R1350" s="18">
        <v>61.55</v>
      </c>
      <c r="S1350" s="19">
        <v>1193.4354999999998</v>
      </c>
      <c r="T1350" s="20" t="s">
        <v>75</v>
      </c>
      <c r="U1350" s="21" t="s">
        <v>2001</v>
      </c>
      <c r="V1350" s="22" t="s">
        <v>2051</v>
      </c>
      <c r="W1350" s="23">
        <v>5</v>
      </c>
      <c r="X1350" s="24"/>
    </row>
    <row r="1351" spans="1:24" s="1" customFormat="1" ht="35" customHeight="1" x14ac:dyDescent="0.3">
      <c r="A1351" s="11" t="s">
        <v>1986</v>
      </c>
      <c r="B1351" s="11" t="s">
        <v>2082</v>
      </c>
      <c r="C1351" s="12" t="s">
        <v>2090</v>
      </c>
      <c r="D1351" s="85"/>
      <c r="E1351" s="67" t="str">
        <f>HYPERLINK("https://www.google.ru/search?q=C095W-4&amp;newwindow=1&amp;tbm=isch","Еще фото")</f>
        <v>Еще фото</v>
      </c>
      <c r="F1351" s="14"/>
      <c r="G1351" s="11" t="s">
        <v>712</v>
      </c>
      <c r="H1351" s="11" t="s">
        <v>69</v>
      </c>
      <c r="I1351" s="15" t="s">
        <v>713</v>
      </c>
      <c r="J1351" s="15" t="s">
        <v>162</v>
      </c>
      <c r="K1351" s="16" t="s">
        <v>29</v>
      </c>
      <c r="L1351" s="83" t="s">
        <v>2089</v>
      </c>
      <c r="M1351" s="15"/>
      <c r="N1351" s="15" t="s">
        <v>212</v>
      </c>
      <c r="O1351" s="15"/>
      <c r="P1351" s="16" t="s">
        <v>2085</v>
      </c>
      <c r="Q1351" s="17">
        <v>2699</v>
      </c>
      <c r="R1351" s="18">
        <v>61.55</v>
      </c>
      <c r="S1351" s="19">
        <v>1193.4354999999998</v>
      </c>
      <c r="T1351" s="20" t="s">
        <v>75</v>
      </c>
      <c r="U1351" s="21" t="s">
        <v>1999</v>
      </c>
      <c r="V1351" s="22" t="s">
        <v>2050</v>
      </c>
      <c r="W1351" s="23">
        <v>11</v>
      </c>
      <c r="X1351" s="24"/>
    </row>
    <row r="1352" spans="1:24" s="1" customFormat="1" ht="35" customHeight="1" x14ac:dyDescent="0.3">
      <c r="A1352" s="25" t="s">
        <v>1986</v>
      </c>
      <c r="B1352" s="25" t="s">
        <v>2082</v>
      </c>
      <c r="C1352" s="12" t="s">
        <v>2090</v>
      </c>
      <c r="D1352" s="86"/>
      <c r="E1352" s="67" t="str">
        <f>HYPERLINK("https://www.google.ru/search?q=C095W-4&amp;newwindow=1&amp;tbm=isch","Еще фото")</f>
        <v>Еще фото</v>
      </c>
      <c r="F1352" s="14"/>
      <c r="G1352" s="25" t="s">
        <v>712</v>
      </c>
      <c r="H1352" s="25" t="s">
        <v>69</v>
      </c>
      <c r="I1352" s="25" t="s">
        <v>713</v>
      </c>
      <c r="J1352" s="15" t="s">
        <v>162</v>
      </c>
      <c r="K1352" s="16" t="s">
        <v>29</v>
      </c>
      <c r="L1352" s="88"/>
      <c r="M1352" s="15"/>
      <c r="N1352" s="15" t="s">
        <v>212</v>
      </c>
      <c r="O1352" s="15"/>
      <c r="P1352" s="16" t="s">
        <v>2085</v>
      </c>
      <c r="Q1352" s="17">
        <v>2699</v>
      </c>
      <c r="R1352" s="18">
        <v>61.55</v>
      </c>
      <c r="S1352" s="19">
        <v>1193.4354999999998</v>
      </c>
      <c r="T1352" s="20" t="s">
        <v>75</v>
      </c>
      <c r="U1352" s="21" t="s">
        <v>2000</v>
      </c>
      <c r="V1352" s="22" t="s">
        <v>2056</v>
      </c>
      <c r="W1352" s="23">
        <v>17</v>
      </c>
      <c r="X1352" s="24"/>
    </row>
    <row r="1353" spans="1:24" s="1" customFormat="1" ht="37.049999999999997" customHeight="1" x14ac:dyDescent="0.3">
      <c r="A1353" s="25" t="s">
        <v>1986</v>
      </c>
      <c r="B1353" s="25" t="s">
        <v>2082</v>
      </c>
      <c r="C1353" s="12" t="s">
        <v>2090</v>
      </c>
      <c r="D1353" s="87"/>
      <c r="E1353" s="67" t="str">
        <f>HYPERLINK("https://www.google.ru/search?q=C095W-4&amp;newwindow=1&amp;tbm=isch","Еще фото")</f>
        <v>Еще фото</v>
      </c>
      <c r="F1353" s="14"/>
      <c r="G1353" s="25" t="s">
        <v>712</v>
      </c>
      <c r="H1353" s="25" t="s">
        <v>69</v>
      </c>
      <c r="I1353" s="25" t="s">
        <v>713</v>
      </c>
      <c r="J1353" s="15" t="s">
        <v>162</v>
      </c>
      <c r="K1353" s="16" t="s">
        <v>29</v>
      </c>
      <c r="L1353" s="84"/>
      <c r="M1353" s="15"/>
      <c r="N1353" s="15" t="s">
        <v>212</v>
      </c>
      <c r="O1353" s="15"/>
      <c r="P1353" s="16" t="s">
        <v>2085</v>
      </c>
      <c r="Q1353" s="17">
        <v>2699</v>
      </c>
      <c r="R1353" s="18">
        <v>61.55</v>
      </c>
      <c r="S1353" s="19">
        <v>1193.4354999999998</v>
      </c>
      <c r="T1353" s="20" t="s">
        <v>75</v>
      </c>
      <c r="U1353" s="21" t="s">
        <v>2001</v>
      </c>
      <c r="V1353" s="22" t="s">
        <v>2051</v>
      </c>
      <c r="W1353" s="23">
        <v>2</v>
      </c>
      <c r="X1353" s="24"/>
    </row>
    <row r="1354" spans="1:24" s="1" customFormat="1" ht="35" customHeight="1" x14ac:dyDescent="0.3">
      <c r="A1354" s="11" t="s">
        <v>1986</v>
      </c>
      <c r="B1354" s="11" t="s">
        <v>2082</v>
      </c>
      <c r="C1354" s="12" t="s">
        <v>2091</v>
      </c>
      <c r="D1354" s="85"/>
      <c r="E1354" s="67" t="str">
        <f>HYPERLINK("https://www.google.ru/search?q=C095W-5&amp;newwindow=1&amp;tbm=isch","Еще фото")</f>
        <v>Еще фото</v>
      </c>
      <c r="F1354" s="14"/>
      <c r="G1354" s="11" t="s">
        <v>712</v>
      </c>
      <c r="H1354" s="11" t="s">
        <v>69</v>
      </c>
      <c r="I1354" s="15" t="s">
        <v>713</v>
      </c>
      <c r="J1354" s="15" t="s">
        <v>162</v>
      </c>
      <c r="K1354" s="16" t="s">
        <v>29</v>
      </c>
      <c r="L1354" s="83" t="s">
        <v>2089</v>
      </c>
      <c r="M1354" s="15"/>
      <c r="N1354" s="15" t="s">
        <v>38</v>
      </c>
      <c r="O1354" s="15"/>
      <c r="P1354" s="16" t="s">
        <v>2085</v>
      </c>
      <c r="Q1354" s="17">
        <v>2699</v>
      </c>
      <c r="R1354" s="18">
        <v>61.55</v>
      </c>
      <c r="S1354" s="19">
        <v>1193.4354999999998</v>
      </c>
      <c r="T1354" s="20" t="s">
        <v>75</v>
      </c>
      <c r="U1354" s="21" t="s">
        <v>1999</v>
      </c>
      <c r="V1354" s="22" t="s">
        <v>2050</v>
      </c>
      <c r="W1354" s="23">
        <v>8</v>
      </c>
      <c r="X1354" s="24"/>
    </row>
    <row r="1355" spans="1:24" s="1" customFormat="1" ht="35" customHeight="1" x14ac:dyDescent="0.3">
      <c r="A1355" s="25" t="s">
        <v>1986</v>
      </c>
      <c r="B1355" s="25" t="s">
        <v>2082</v>
      </c>
      <c r="C1355" s="12" t="s">
        <v>2091</v>
      </c>
      <c r="D1355" s="86"/>
      <c r="E1355" s="67" t="str">
        <f>HYPERLINK("https://www.google.ru/search?q=C095W-5&amp;newwindow=1&amp;tbm=isch","Еще фото")</f>
        <v>Еще фото</v>
      </c>
      <c r="F1355" s="14"/>
      <c r="G1355" s="25" t="s">
        <v>712</v>
      </c>
      <c r="H1355" s="25" t="s">
        <v>69</v>
      </c>
      <c r="I1355" s="25" t="s">
        <v>713</v>
      </c>
      <c r="J1355" s="15" t="s">
        <v>162</v>
      </c>
      <c r="K1355" s="16" t="s">
        <v>29</v>
      </c>
      <c r="L1355" s="88"/>
      <c r="M1355" s="15"/>
      <c r="N1355" s="15" t="s">
        <v>38</v>
      </c>
      <c r="O1355" s="15"/>
      <c r="P1355" s="16" t="s">
        <v>2085</v>
      </c>
      <c r="Q1355" s="17">
        <v>2699</v>
      </c>
      <c r="R1355" s="18">
        <v>61.55</v>
      </c>
      <c r="S1355" s="19">
        <v>1193.4354999999998</v>
      </c>
      <c r="T1355" s="20" t="s">
        <v>75</v>
      </c>
      <c r="U1355" s="21" t="s">
        <v>2000</v>
      </c>
      <c r="V1355" s="22" t="s">
        <v>2056</v>
      </c>
      <c r="W1355" s="23">
        <v>14</v>
      </c>
      <c r="X1355" s="24"/>
    </row>
    <row r="1356" spans="1:24" s="1" customFormat="1" ht="37.049999999999997" customHeight="1" x14ac:dyDescent="0.3">
      <c r="A1356" s="25" t="s">
        <v>1986</v>
      </c>
      <c r="B1356" s="25" t="s">
        <v>2082</v>
      </c>
      <c r="C1356" s="12" t="s">
        <v>2091</v>
      </c>
      <c r="D1356" s="87"/>
      <c r="E1356" s="67" t="str">
        <f>HYPERLINK("https://www.google.ru/search?q=C095W-5&amp;newwindow=1&amp;tbm=isch","Еще фото")</f>
        <v>Еще фото</v>
      </c>
      <c r="F1356" s="14"/>
      <c r="G1356" s="25" t="s">
        <v>712</v>
      </c>
      <c r="H1356" s="25" t="s">
        <v>69</v>
      </c>
      <c r="I1356" s="25" t="s">
        <v>713</v>
      </c>
      <c r="J1356" s="15" t="s">
        <v>162</v>
      </c>
      <c r="K1356" s="16" t="s">
        <v>29</v>
      </c>
      <c r="L1356" s="84"/>
      <c r="M1356" s="15"/>
      <c r="N1356" s="15" t="s">
        <v>38</v>
      </c>
      <c r="O1356" s="15"/>
      <c r="P1356" s="16" t="s">
        <v>2085</v>
      </c>
      <c r="Q1356" s="17">
        <v>2699</v>
      </c>
      <c r="R1356" s="18">
        <v>61.55</v>
      </c>
      <c r="S1356" s="19">
        <v>1193.4354999999998</v>
      </c>
      <c r="T1356" s="20" t="s">
        <v>75</v>
      </c>
      <c r="U1356" s="21" t="s">
        <v>2001</v>
      </c>
      <c r="V1356" s="22" t="s">
        <v>2051</v>
      </c>
      <c r="W1356" s="23">
        <v>6</v>
      </c>
      <c r="X1356" s="24"/>
    </row>
    <row r="1357" spans="1:24" s="1" customFormat="1" ht="35" customHeight="1" x14ac:dyDescent="0.3">
      <c r="A1357" s="11" t="s">
        <v>1986</v>
      </c>
      <c r="B1357" s="11" t="s">
        <v>2082</v>
      </c>
      <c r="C1357" s="12" t="s">
        <v>2092</v>
      </c>
      <c r="D1357" s="85"/>
      <c r="E1357" s="67" t="str">
        <f>HYPERLINK("https://www.google.ru/search?q=C095W-YB&amp;newwindow=1&amp;tbm=isch","Еще фото")</f>
        <v>Еще фото</v>
      </c>
      <c r="F1357" s="14"/>
      <c r="G1357" s="11" t="s">
        <v>712</v>
      </c>
      <c r="H1357" s="11" t="s">
        <v>69</v>
      </c>
      <c r="I1357" s="15" t="s">
        <v>713</v>
      </c>
      <c r="J1357" s="15" t="s">
        <v>162</v>
      </c>
      <c r="K1357" s="16" t="s">
        <v>29</v>
      </c>
      <c r="L1357" s="83" t="s">
        <v>2089</v>
      </c>
      <c r="M1357" s="15"/>
      <c r="N1357" s="15" t="s">
        <v>2076</v>
      </c>
      <c r="O1357" s="15"/>
      <c r="P1357" s="16" t="s">
        <v>2085</v>
      </c>
      <c r="Q1357" s="17">
        <v>2699</v>
      </c>
      <c r="R1357" s="18">
        <v>61.55</v>
      </c>
      <c r="S1357" s="19">
        <v>1193.4354999999998</v>
      </c>
      <c r="T1357" s="20" t="s">
        <v>75</v>
      </c>
      <c r="U1357" s="21" t="s">
        <v>1999</v>
      </c>
      <c r="V1357" s="22" t="s">
        <v>2050</v>
      </c>
      <c r="W1357" s="23">
        <v>4</v>
      </c>
      <c r="X1357" s="24"/>
    </row>
    <row r="1358" spans="1:24" s="1" customFormat="1" ht="35" customHeight="1" x14ac:dyDescent="0.3">
      <c r="A1358" s="25" t="s">
        <v>1986</v>
      </c>
      <c r="B1358" s="25" t="s">
        <v>2082</v>
      </c>
      <c r="C1358" s="12" t="s">
        <v>2092</v>
      </c>
      <c r="D1358" s="86"/>
      <c r="E1358" s="67" t="str">
        <f>HYPERLINK("https://www.google.ru/search?q=C095W-YB&amp;newwindow=1&amp;tbm=isch","Еще фото")</f>
        <v>Еще фото</v>
      </c>
      <c r="F1358" s="14"/>
      <c r="G1358" s="25" t="s">
        <v>712</v>
      </c>
      <c r="H1358" s="25" t="s">
        <v>69</v>
      </c>
      <c r="I1358" s="25" t="s">
        <v>713</v>
      </c>
      <c r="J1358" s="15" t="s">
        <v>162</v>
      </c>
      <c r="K1358" s="16" t="s">
        <v>29</v>
      </c>
      <c r="L1358" s="88"/>
      <c r="M1358" s="15"/>
      <c r="N1358" s="15" t="s">
        <v>2076</v>
      </c>
      <c r="O1358" s="15"/>
      <c r="P1358" s="16" t="s">
        <v>2085</v>
      </c>
      <c r="Q1358" s="17">
        <v>2699</v>
      </c>
      <c r="R1358" s="18">
        <v>61.55</v>
      </c>
      <c r="S1358" s="19">
        <v>1193.4354999999998</v>
      </c>
      <c r="T1358" s="20" t="s">
        <v>75</v>
      </c>
      <c r="U1358" s="21" t="s">
        <v>2000</v>
      </c>
      <c r="V1358" s="22" t="s">
        <v>2056</v>
      </c>
      <c r="W1358" s="23">
        <v>2</v>
      </c>
      <c r="X1358" s="24"/>
    </row>
    <row r="1359" spans="1:24" s="1" customFormat="1" ht="37.049999999999997" customHeight="1" x14ac:dyDescent="0.3">
      <c r="A1359" s="25" t="s">
        <v>1986</v>
      </c>
      <c r="B1359" s="25" t="s">
        <v>2082</v>
      </c>
      <c r="C1359" s="12" t="s">
        <v>2092</v>
      </c>
      <c r="D1359" s="87"/>
      <c r="E1359" s="67" t="str">
        <f>HYPERLINK("https://www.google.ru/search?q=C095W-YB&amp;newwindow=1&amp;tbm=isch","Еще фото")</f>
        <v>Еще фото</v>
      </c>
      <c r="F1359" s="14"/>
      <c r="G1359" s="25" t="s">
        <v>712</v>
      </c>
      <c r="H1359" s="25" t="s">
        <v>69</v>
      </c>
      <c r="I1359" s="25" t="s">
        <v>713</v>
      </c>
      <c r="J1359" s="15" t="s">
        <v>162</v>
      </c>
      <c r="K1359" s="16" t="s">
        <v>29</v>
      </c>
      <c r="L1359" s="84"/>
      <c r="M1359" s="15"/>
      <c r="N1359" s="15" t="s">
        <v>2076</v>
      </c>
      <c r="O1359" s="15"/>
      <c r="P1359" s="16" t="s">
        <v>2085</v>
      </c>
      <c r="Q1359" s="17">
        <v>2699</v>
      </c>
      <c r="R1359" s="18">
        <v>61.55</v>
      </c>
      <c r="S1359" s="19">
        <v>1193.4354999999998</v>
      </c>
      <c r="T1359" s="20" t="s">
        <v>75</v>
      </c>
      <c r="U1359" s="21" t="s">
        <v>2001</v>
      </c>
      <c r="V1359" s="22" t="s">
        <v>2051</v>
      </c>
      <c r="W1359" s="23">
        <v>1</v>
      </c>
      <c r="X1359" s="24"/>
    </row>
    <row r="1360" spans="1:24" s="1" customFormat="1" ht="52.05" customHeight="1" x14ac:dyDescent="0.3">
      <c r="A1360" s="11" t="s">
        <v>1986</v>
      </c>
      <c r="B1360" s="11" t="s">
        <v>2045</v>
      </c>
      <c r="C1360" s="12" t="s">
        <v>2093</v>
      </c>
      <c r="D1360" s="81"/>
      <c r="E1360" s="67" t="str">
        <f>HYPERLINK("https://www.google.ru/search?q=C0UUW-5-1&amp;newwindow=1&amp;tbm=isch","Еще фото")</f>
        <v>Еще фото</v>
      </c>
      <c r="F1360" s="14"/>
      <c r="G1360" s="11" t="s">
        <v>2094</v>
      </c>
      <c r="H1360" s="11" t="s">
        <v>69</v>
      </c>
      <c r="I1360" s="15" t="s">
        <v>713</v>
      </c>
      <c r="J1360" s="15" t="s">
        <v>28</v>
      </c>
      <c r="K1360" s="16" t="s">
        <v>29</v>
      </c>
      <c r="L1360" s="83" t="s">
        <v>2095</v>
      </c>
      <c r="M1360" s="15"/>
      <c r="N1360" s="15" t="s">
        <v>38</v>
      </c>
      <c r="O1360" s="15"/>
      <c r="P1360" s="16" t="s">
        <v>2055</v>
      </c>
      <c r="Q1360" s="17">
        <v>2699</v>
      </c>
      <c r="R1360" s="18">
        <v>61.55</v>
      </c>
      <c r="S1360" s="19">
        <v>1193.4354999999998</v>
      </c>
      <c r="T1360" s="20" t="s">
        <v>75</v>
      </c>
      <c r="U1360" s="21" t="s">
        <v>1999</v>
      </c>
      <c r="V1360" s="22" t="s">
        <v>2050</v>
      </c>
      <c r="W1360" s="23">
        <v>6</v>
      </c>
      <c r="X1360" s="24"/>
    </row>
    <row r="1361" spans="1:24" s="1" customFormat="1" ht="61.05" customHeight="1" x14ac:dyDescent="0.3">
      <c r="A1361" s="25" t="s">
        <v>1986</v>
      </c>
      <c r="B1361" s="25" t="s">
        <v>2045</v>
      </c>
      <c r="C1361" s="12" t="s">
        <v>2093</v>
      </c>
      <c r="D1361" s="82"/>
      <c r="E1361" s="67" t="str">
        <f>HYPERLINK("https://www.google.ru/search?q=C0UUW-5-1&amp;newwindow=1&amp;tbm=isch","Еще фото")</f>
        <v>Еще фото</v>
      </c>
      <c r="F1361" s="14"/>
      <c r="G1361" s="25" t="s">
        <v>2094</v>
      </c>
      <c r="H1361" s="25" t="s">
        <v>69</v>
      </c>
      <c r="I1361" s="25" t="s">
        <v>713</v>
      </c>
      <c r="J1361" s="15" t="s">
        <v>28</v>
      </c>
      <c r="K1361" s="16" t="s">
        <v>29</v>
      </c>
      <c r="L1361" s="84"/>
      <c r="M1361" s="15"/>
      <c r="N1361" s="15" t="s">
        <v>38</v>
      </c>
      <c r="O1361" s="15"/>
      <c r="P1361" s="16" t="s">
        <v>2055</v>
      </c>
      <c r="Q1361" s="17">
        <v>2699</v>
      </c>
      <c r="R1361" s="18">
        <v>61.55</v>
      </c>
      <c r="S1361" s="19">
        <v>1193.4354999999998</v>
      </c>
      <c r="T1361" s="20" t="s">
        <v>75</v>
      </c>
      <c r="U1361" s="21" t="s">
        <v>2000</v>
      </c>
      <c r="V1361" s="22" t="s">
        <v>2056</v>
      </c>
      <c r="W1361" s="23">
        <v>19</v>
      </c>
      <c r="X1361" s="24"/>
    </row>
    <row r="1362" spans="1:24" s="1" customFormat="1" ht="52.05" customHeight="1" x14ac:dyDescent="0.3">
      <c r="A1362" s="11" t="s">
        <v>1986</v>
      </c>
      <c r="B1362" s="11" t="s">
        <v>2096</v>
      </c>
      <c r="C1362" s="12" t="s">
        <v>2097</v>
      </c>
      <c r="D1362" s="81"/>
      <c r="E1362" s="67" t="str">
        <f>HYPERLINK("https://www.google.ru/search?q=C305W-4&amp;newwindow=1&amp;tbm=isch","Еще фото")</f>
        <v>Еще фото</v>
      </c>
      <c r="F1362" s="14"/>
      <c r="G1362" s="11" t="s">
        <v>2098</v>
      </c>
      <c r="H1362" s="11" t="s">
        <v>69</v>
      </c>
      <c r="I1362" s="15" t="s">
        <v>713</v>
      </c>
      <c r="J1362" s="15" t="s">
        <v>162</v>
      </c>
      <c r="K1362" s="16" t="s">
        <v>29</v>
      </c>
      <c r="L1362" s="83" t="s">
        <v>2099</v>
      </c>
      <c r="M1362" s="15"/>
      <c r="N1362" s="15" t="s">
        <v>212</v>
      </c>
      <c r="O1362" s="15"/>
      <c r="P1362" s="16" t="s">
        <v>2100</v>
      </c>
      <c r="Q1362" s="17">
        <v>4599</v>
      </c>
      <c r="R1362" s="18">
        <v>61.34</v>
      </c>
      <c r="S1362" s="19">
        <v>2044.4354999999998</v>
      </c>
      <c r="T1362" s="20" t="s">
        <v>75</v>
      </c>
      <c r="U1362" s="21" t="s">
        <v>2000</v>
      </c>
      <c r="V1362" s="22" t="s">
        <v>2056</v>
      </c>
      <c r="W1362" s="23">
        <v>8</v>
      </c>
      <c r="X1362" s="24"/>
    </row>
    <row r="1363" spans="1:24" s="1" customFormat="1" ht="61.05" customHeight="1" x14ac:dyDescent="0.3">
      <c r="A1363" s="25" t="s">
        <v>1986</v>
      </c>
      <c r="B1363" s="25" t="s">
        <v>2096</v>
      </c>
      <c r="C1363" s="12" t="s">
        <v>2097</v>
      </c>
      <c r="D1363" s="82"/>
      <c r="E1363" s="67" t="str">
        <f>HYPERLINK("https://www.google.ru/search?q=C305W-4&amp;newwindow=1&amp;tbm=isch","Еще фото")</f>
        <v>Еще фото</v>
      </c>
      <c r="F1363" s="14"/>
      <c r="G1363" s="25" t="s">
        <v>2098</v>
      </c>
      <c r="H1363" s="25" t="s">
        <v>69</v>
      </c>
      <c r="I1363" s="25" t="s">
        <v>713</v>
      </c>
      <c r="J1363" s="15" t="s">
        <v>162</v>
      </c>
      <c r="K1363" s="16" t="s">
        <v>29</v>
      </c>
      <c r="L1363" s="84"/>
      <c r="M1363" s="15"/>
      <c r="N1363" s="15" t="s">
        <v>212</v>
      </c>
      <c r="O1363" s="15"/>
      <c r="P1363" s="16" t="s">
        <v>2100</v>
      </c>
      <c r="Q1363" s="17">
        <v>4599</v>
      </c>
      <c r="R1363" s="18">
        <v>61.34</v>
      </c>
      <c r="S1363" s="19">
        <v>2044.4354999999998</v>
      </c>
      <c r="T1363" s="20" t="s">
        <v>75</v>
      </c>
      <c r="U1363" s="21" t="s">
        <v>2001</v>
      </c>
      <c r="V1363" s="22" t="s">
        <v>2051</v>
      </c>
      <c r="W1363" s="23">
        <v>12</v>
      </c>
      <c r="X1363" s="24"/>
    </row>
    <row r="1364" spans="1:24" s="1" customFormat="1" ht="35" customHeight="1" x14ac:dyDescent="0.3">
      <c r="A1364" s="11" t="s">
        <v>1986</v>
      </c>
      <c r="B1364" s="11" t="s">
        <v>2101</v>
      </c>
      <c r="C1364" s="12" t="s">
        <v>2102</v>
      </c>
      <c r="D1364" s="85"/>
      <c r="E1364" s="67" t="str">
        <f>HYPERLINK("https://www.google.ru/search?q=C3UUM-0-1&amp;newwindow=1&amp;tbm=isch","Еще фото")</f>
        <v>Еще фото</v>
      </c>
      <c r="F1364" s="14"/>
      <c r="G1364" s="11" t="s">
        <v>2103</v>
      </c>
      <c r="H1364" s="11" t="s">
        <v>69</v>
      </c>
      <c r="I1364" s="15" t="s">
        <v>713</v>
      </c>
      <c r="J1364" s="15" t="s">
        <v>162</v>
      </c>
      <c r="K1364" s="16" t="s">
        <v>45</v>
      </c>
      <c r="L1364" s="83" t="s">
        <v>2104</v>
      </c>
      <c r="M1364" s="15"/>
      <c r="N1364" s="15" t="s">
        <v>173</v>
      </c>
      <c r="O1364" s="15"/>
      <c r="P1364" s="16" t="s">
        <v>2105</v>
      </c>
      <c r="Q1364" s="17">
        <v>4599</v>
      </c>
      <c r="R1364" s="18">
        <v>61.34</v>
      </c>
      <c r="S1364" s="19">
        <v>2044.4354999999998</v>
      </c>
      <c r="T1364" s="20" t="s">
        <v>75</v>
      </c>
      <c r="U1364" s="21" t="s">
        <v>2000</v>
      </c>
      <c r="V1364" s="22" t="s">
        <v>2042</v>
      </c>
      <c r="W1364" s="23">
        <v>13</v>
      </c>
      <c r="X1364" s="24"/>
    </row>
    <row r="1365" spans="1:24" s="1" customFormat="1" ht="35" customHeight="1" x14ac:dyDescent="0.3">
      <c r="A1365" s="25" t="s">
        <v>1986</v>
      </c>
      <c r="B1365" s="25" t="s">
        <v>2101</v>
      </c>
      <c r="C1365" s="12" t="s">
        <v>2102</v>
      </c>
      <c r="D1365" s="86"/>
      <c r="E1365" s="67" t="str">
        <f>HYPERLINK("https://www.google.ru/search?q=C3UUM-0-1&amp;newwindow=1&amp;tbm=isch","Еще фото")</f>
        <v>Еще фото</v>
      </c>
      <c r="F1365" s="14"/>
      <c r="G1365" s="25" t="s">
        <v>2103</v>
      </c>
      <c r="H1365" s="25" t="s">
        <v>69</v>
      </c>
      <c r="I1365" s="25" t="s">
        <v>713</v>
      </c>
      <c r="J1365" s="15" t="s">
        <v>162</v>
      </c>
      <c r="K1365" s="16" t="s">
        <v>45</v>
      </c>
      <c r="L1365" s="88"/>
      <c r="M1365" s="15"/>
      <c r="N1365" s="15" t="s">
        <v>173</v>
      </c>
      <c r="O1365" s="15"/>
      <c r="P1365" s="16" t="s">
        <v>2105</v>
      </c>
      <c r="Q1365" s="17">
        <v>4599</v>
      </c>
      <c r="R1365" s="18">
        <v>61.34</v>
      </c>
      <c r="S1365" s="19">
        <v>2044.4354999999998</v>
      </c>
      <c r="T1365" s="20" t="s">
        <v>75</v>
      </c>
      <c r="U1365" s="21" t="s">
        <v>2001</v>
      </c>
      <c r="V1365" s="22" t="s">
        <v>35</v>
      </c>
      <c r="W1365" s="23">
        <v>18</v>
      </c>
      <c r="X1365" s="24"/>
    </row>
    <row r="1366" spans="1:24" s="1" customFormat="1" ht="37.049999999999997" customHeight="1" x14ac:dyDescent="0.3">
      <c r="A1366" s="25" t="s">
        <v>1986</v>
      </c>
      <c r="B1366" s="25" t="s">
        <v>2101</v>
      </c>
      <c r="C1366" s="12" t="s">
        <v>2102</v>
      </c>
      <c r="D1366" s="87"/>
      <c r="E1366" s="67" t="str">
        <f>HYPERLINK("https://www.google.ru/search?q=C3UUM-0-1&amp;newwindow=1&amp;tbm=isch","Еще фото")</f>
        <v>Еще фото</v>
      </c>
      <c r="F1366" s="14"/>
      <c r="G1366" s="25" t="s">
        <v>2103</v>
      </c>
      <c r="H1366" s="25" t="s">
        <v>69</v>
      </c>
      <c r="I1366" s="25" t="s">
        <v>713</v>
      </c>
      <c r="J1366" s="15" t="s">
        <v>162</v>
      </c>
      <c r="K1366" s="16" t="s">
        <v>45</v>
      </c>
      <c r="L1366" s="84"/>
      <c r="M1366" s="15"/>
      <c r="N1366" s="15" t="s">
        <v>173</v>
      </c>
      <c r="O1366" s="15"/>
      <c r="P1366" s="16" t="s">
        <v>2105</v>
      </c>
      <c r="Q1366" s="17">
        <v>4599</v>
      </c>
      <c r="R1366" s="18">
        <v>61.34</v>
      </c>
      <c r="S1366" s="19">
        <v>2044.4354999999998</v>
      </c>
      <c r="T1366" s="20" t="s">
        <v>75</v>
      </c>
      <c r="U1366" s="21" t="s">
        <v>2043</v>
      </c>
      <c r="V1366" s="22" t="s">
        <v>2044</v>
      </c>
      <c r="W1366" s="23">
        <v>6</v>
      </c>
      <c r="X1366" s="24"/>
    </row>
    <row r="1367" spans="1:24" s="1" customFormat="1" ht="35" customHeight="1" x14ac:dyDescent="0.3">
      <c r="A1367" s="11" t="s">
        <v>1986</v>
      </c>
      <c r="B1367" s="11" t="s">
        <v>2106</v>
      </c>
      <c r="C1367" s="12" t="s">
        <v>2107</v>
      </c>
      <c r="D1367" s="85"/>
      <c r="E1367" s="67" t="str">
        <f>HYPERLINK("https://www.google.ru/search?q=C105W-4&amp;newwindow=1&amp;tbm=isch","Еще фото")</f>
        <v>Еще фото</v>
      </c>
      <c r="F1367" s="14"/>
      <c r="G1367" s="11" t="s">
        <v>712</v>
      </c>
      <c r="H1367" s="11" t="s">
        <v>69</v>
      </c>
      <c r="I1367" s="15" t="s">
        <v>713</v>
      </c>
      <c r="J1367" s="15" t="s">
        <v>162</v>
      </c>
      <c r="K1367" s="16" t="s">
        <v>29</v>
      </c>
      <c r="L1367" s="83" t="s">
        <v>2108</v>
      </c>
      <c r="M1367" s="15"/>
      <c r="N1367" s="15" t="s">
        <v>212</v>
      </c>
      <c r="O1367" s="15"/>
      <c r="P1367" s="16" t="s">
        <v>2109</v>
      </c>
      <c r="Q1367" s="17">
        <v>2999</v>
      </c>
      <c r="R1367" s="18">
        <v>61.06</v>
      </c>
      <c r="S1367" s="19">
        <v>1342.9354999999998</v>
      </c>
      <c r="T1367" s="20" t="s">
        <v>75</v>
      </c>
      <c r="U1367" s="21" t="s">
        <v>1999</v>
      </c>
      <c r="V1367" s="22" t="s">
        <v>2050</v>
      </c>
      <c r="W1367" s="23">
        <v>14</v>
      </c>
      <c r="X1367" s="24"/>
    </row>
    <row r="1368" spans="1:24" s="1" customFormat="1" ht="35" customHeight="1" x14ac:dyDescent="0.3">
      <c r="A1368" s="25" t="s">
        <v>1986</v>
      </c>
      <c r="B1368" s="25" t="s">
        <v>2106</v>
      </c>
      <c r="C1368" s="12" t="s">
        <v>2107</v>
      </c>
      <c r="D1368" s="86"/>
      <c r="E1368" s="67" t="str">
        <f>HYPERLINK("https://www.google.ru/search?q=C105W-4&amp;newwindow=1&amp;tbm=isch","Еще фото")</f>
        <v>Еще фото</v>
      </c>
      <c r="F1368" s="14"/>
      <c r="G1368" s="25" t="s">
        <v>712</v>
      </c>
      <c r="H1368" s="25" t="s">
        <v>69</v>
      </c>
      <c r="I1368" s="25" t="s">
        <v>713</v>
      </c>
      <c r="J1368" s="15" t="s">
        <v>162</v>
      </c>
      <c r="K1368" s="16" t="s">
        <v>29</v>
      </c>
      <c r="L1368" s="88"/>
      <c r="M1368" s="15"/>
      <c r="N1368" s="15" t="s">
        <v>212</v>
      </c>
      <c r="O1368" s="15"/>
      <c r="P1368" s="16" t="s">
        <v>2109</v>
      </c>
      <c r="Q1368" s="17">
        <v>2999</v>
      </c>
      <c r="R1368" s="18">
        <v>61.06</v>
      </c>
      <c r="S1368" s="19">
        <v>1342.9354999999998</v>
      </c>
      <c r="T1368" s="20" t="s">
        <v>75</v>
      </c>
      <c r="U1368" s="21" t="s">
        <v>2000</v>
      </c>
      <c r="V1368" s="22" t="s">
        <v>2056</v>
      </c>
      <c r="W1368" s="23">
        <v>17</v>
      </c>
      <c r="X1368" s="24"/>
    </row>
    <row r="1369" spans="1:24" s="1" customFormat="1" ht="37.049999999999997" customHeight="1" x14ac:dyDescent="0.3">
      <c r="A1369" s="25" t="s">
        <v>1986</v>
      </c>
      <c r="B1369" s="25" t="s">
        <v>2106</v>
      </c>
      <c r="C1369" s="12" t="s">
        <v>2107</v>
      </c>
      <c r="D1369" s="87"/>
      <c r="E1369" s="67" t="str">
        <f>HYPERLINK("https://www.google.ru/search?q=C105W-4&amp;newwindow=1&amp;tbm=isch","Еще фото")</f>
        <v>Еще фото</v>
      </c>
      <c r="F1369" s="14"/>
      <c r="G1369" s="25" t="s">
        <v>712</v>
      </c>
      <c r="H1369" s="25" t="s">
        <v>69</v>
      </c>
      <c r="I1369" s="25" t="s">
        <v>713</v>
      </c>
      <c r="J1369" s="15" t="s">
        <v>162</v>
      </c>
      <c r="K1369" s="16" t="s">
        <v>29</v>
      </c>
      <c r="L1369" s="84"/>
      <c r="M1369" s="15"/>
      <c r="N1369" s="15" t="s">
        <v>212</v>
      </c>
      <c r="O1369" s="15"/>
      <c r="P1369" s="16" t="s">
        <v>2109</v>
      </c>
      <c r="Q1369" s="17">
        <v>2999</v>
      </c>
      <c r="R1369" s="18">
        <v>61.06</v>
      </c>
      <c r="S1369" s="19">
        <v>1342.9354999999998</v>
      </c>
      <c r="T1369" s="20" t="s">
        <v>75</v>
      </c>
      <c r="U1369" s="21" t="s">
        <v>2001</v>
      </c>
      <c r="V1369" s="22" t="s">
        <v>2051</v>
      </c>
      <c r="W1369" s="23">
        <v>6</v>
      </c>
      <c r="X1369" s="24"/>
    </row>
    <row r="1370" spans="1:24" s="1" customFormat="1" ht="52.05" customHeight="1" x14ac:dyDescent="0.3">
      <c r="A1370" s="11" t="s">
        <v>1986</v>
      </c>
      <c r="B1370" s="11" t="s">
        <v>2101</v>
      </c>
      <c r="C1370" s="12" t="s">
        <v>2110</v>
      </c>
      <c r="D1370" s="81"/>
      <c r="E1370" s="67" t="str">
        <f>HYPERLINK("https://www.google.ru/search?q=C3UUW-0&amp;newwindow=1&amp;tbm=isch","Еще фото")</f>
        <v>Еще фото</v>
      </c>
      <c r="F1370" s="14"/>
      <c r="G1370" s="11" t="s">
        <v>2103</v>
      </c>
      <c r="H1370" s="11" t="s">
        <v>69</v>
      </c>
      <c r="I1370" s="15" t="s">
        <v>713</v>
      </c>
      <c r="J1370" s="15" t="s">
        <v>162</v>
      </c>
      <c r="K1370" s="16" t="s">
        <v>29</v>
      </c>
      <c r="L1370" s="83" t="s">
        <v>2111</v>
      </c>
      <c r="M1370" s="15"/>
      <c r="N1370" s="15" t="s">
        <v>173</v>
      </c>
      <c r="O1370" s="15"/>
      <c r="P1370" s="16" t="s">
        <v>2105</v>
      </c>
      <c r="Q1370" s="17">
        <v>4599</v>
      </c>
      <c r="R1370" s="18">
        <v>60.04</v>
      </c>
      <c r="S1370" s="19">
        <v>2113.4354999999996</v>
      </c>
      <c r="T1370" s="20" t="s">
        <v>75</v>
      </c>
      <c r="U1370" s="21" t="s">
        <v>2000</v>
      </c>
      <c r="V1370" s="22" t="s">
        <v>2056</v>
      </c>
      <c r="W1370" s="23">
        <v>25</v>
      </c>
      <c r="X1370" s="24"/>
    </row>
    <row r="1371" spans="1:24" s="1" customFormat="1" ht="61.05" customHeight="1" x14ac:dyDescent="0.3">
      <c r="A1371" s="25" t="s">
        <v>1986</v>
      </c>
      <c r="B1371" s="25" t="s">
        <v>2101</v>
      </c>
      <c r="C1371" s="12" t="s">
        <v>2110</v>
      </c>
      <c r="D1371" s="82"/>
      <c r="E1371" s="67" t="str">
        <f>HYPERLINK("https://www.google.ru/search?q=C3UUW-0&amp;newwindow=1&amp;tbm=isch","Еще фото")</f>
        <v>Еще фото</v>
      </c>
      <c r="F1371" s="14"/>
      <c r="G1371" s="25" t="s">
        <v>2103</v>
      </c>
      <c r="H1371" s="25" t="s">
        <v>69</v>
      </c>
      <c r="I1371" s="25" t="s">
        <v>713</v>
      </c>
      <c r="J1371" s="15" t="s">
        <v>162</v>
      </c>
      <c r="K1371" s="16" t="s">
        <v>29</v>
      </c>
      <c r="L1371" s="84"/>
      <c r="M1371" s="15"/>
      <c r="N1371" s="15" t="s">
        <v>173</v>
      </c>
      <c r="O1371" s="15"/>
      <c r="P1371" s="16" t="s">
        <v>2105</v>
      </c>
      <c r="Q1371" s="17">
        <v>4599</v>
      </c>
      <c r="R1371" s="18">
        <v>60.04</v>
      </c>
      <c r="S1371" s="19">
        <v>2113.4354999999996</v>
      </c>
      <c r="T1371" s="20" t="s">
        <v>75</v>
      </c>
      <c r="U1371" s="21" t="s">
        <v>2001</v>
      </c>
      <c r="V1371" s="22" t="s">
        <v>2051</v>
      </c>
      <c r="W1371" s="23">
        <v>3</v>
      </c>
      <c r="X1371" s="24"/>
    </row>
    <row r="1372" spans="1:24" s="1" customFormat="1" ht="108" customHeight="1" x14ac:dyDescent="0.3">
      <c r="A1372" s="11" t="s">
        <v>1986</v>
      </c>
      <c r="B1372" s="11" t="s">
        <v>2112</v>
      </c>
      <c r="C1372" s="12" t="s">
        <v>2113</v>
      </c>
      <c r="D1372" s="13"/>
      <c r="E1372" s="67" t="str">
        <f>HYPERLINK("https://www.google.ru/search?q=C245W-52&amp;newwindow=1&amp;tbm=isch","Еще фото")</f>
        <v>Еще фото</v>
      </c>
      <c r="F1372" s="14"/>
      <c r="G1372" s="11" t="s">
        <v>2114</v>
      </c>
      <c r="H1372" s="11" t="s">
        <v>69</v>
      </c>
      <c r="I1372" s="15" t="s">
        <v>713</v>
      </c>
      <c r="J1372" s="15" t="s">
        <v>162</v>
      </c>
      <c r="K1372" s="16" t="s">
        <v>29</v>
      </c>
      <c r="L1372" s="15" t="s">
        <v>2115</v>
      </c>
      <c r="M1372" s="15"/>
      <c r="N1372" s="15" t="s">
        <v>38</v>
      </c>
      <c r="O1372" s="15"/>
      <c r="P1372" s="16" t="s">
        <v>2116</v>
      </c>
      <c r="Q1372" s="17">
        <v>5999</v>
      </c>
      <c r="R1372" s="18">
        <v>55.7</v>
      </c>
      <c r="S1372" s="19">
        <v>3056.4354999999996</v>
      </c>
      <c r="T1372" s="20" t="s">
        <v>75</v>
      </c>
      <c r="U1372" s="21" t="s">
        <v>2000</v>
      </c>
      <c r="V1372" s="22" t="s">
        <v>2056</v>
      </c>
      <c r="W1372" s="23">
        <v>2</v>
      </c>
      <c r="X1372" s="24"/>
    </row>
    <row r="1373" spans="1:24" s="1" customFormat="1" ht="35" customHeight="1" x14ac:dyDescent="0.3">
      <c r="A1373" s="11" t="s">
        <v>1986</v>
      </c>
      <c r="B1373" s="11" t="s">
        <v>2117</v>
      </c>
      <c r="C1373" s="12" t="s">
        <v>2118</v>
      </c>
      <c r="D1373" s="85"/>
      <c r="E1373" s="67" t="str">
        <f>HYPERLINK("https://www.google.ru/search?q=C225M-YS&amp;newwindow=1&amp;tbm=isch","Еще фото")</f>
        <v>Еще фото</v>
      </c>
      <c r="F1373" s="14"/>
      <c r="G1373" s="11" t="s">
        <v>2119</v>
      </c>
      <c r="H1373" s="11" t="s">
        <v>69</v>
      </c>
      <c r="I1373" s="15" t="s">
        <v>713</v>
      </c>
      <c r="J1373" s="15" t="s">
        <v>1990</v>
      </c>
      <c r="K1373" s="16" t="s">
        <v>45</v>
      </c>
      <c r="L1373" s="83" t="s">
        <v>2120</v>
      </c>
      <c r="M1373" s="15"/>
      <c r="N1373" s="15" t="s">
        <v>55</v>
      </c>
      <c r="O1373" s="15"/>
      <c r="P1373" s="16" t="s">
        <v>2041</v>
      </c>
      <c r="Q1373" s="17">
        <v>6309</v>
      </c>
      <c r="R1373" s="18">
        <v>52.48</v>
      </c>
      <c r="S1373" s="19">
        <v>3447.4354999999996</v>
      </c>
      <c r="T1373" s="20" t="s">
        <v>75</v>
      </c>
      <c r="U1373" s="21" t="s">
        <v>2000</v>
      </c>
      <c r="V1373" s="22" t="s">
        <v>2042</v>
      </c>
      <c r="W1373" s="23">
        <v>3</v>
      </c>
      <c r="X1373" s="24"/>
    </row>
    <row r="1374" spans="1:24" s="1" customFormat="1" ht="35" customHeight="1" x14ac:dyDescent="0.3">
      <c r="A1374" s="25" t="s">
        <v>1986</v>
      </c>
      <c r="B1374" s="25" t="s">
        <v>2117</v>
      </c>
      <c r="C1374" s="12" t="s">
        <v>2118</v>
      </c>
      <c r="D1374" s="86"/>
      <c r="E1374" s="67" t="str">
        <f>HYPERLINK("https://www.google.ru/search?q=C225M-YS&amp;newwindow=1&amp;tbm=isch","Еще фото")</f>
        <v>Еще фото</v>
      </c>
      <c r="F1374" s="14"/>
      <c r="G1374" s="25" t="s">
        <v>2119</v>
      </c>
      <c r="H1374" s="25" t="s">
        <v>69</v>
      </c>
      <c r="I1374" s="25" t="s">
        <v>713</v>
      </c>
      <c r="J1374" s="15" t="s">
        <v>1990</v>
      </c>
      <c r="K1374" s="16" t="s">
        <v>45</v>
      </c>
      <c r="L1374" s="88"/>
      <c r="M1374" s="15"/>
      <c r="N1374" s="15" t="s">
        <v>55</v>
      </c>
      <c r="O1374" s="15"/>
      <c r="P1374" s="16" t="s">
        <v>2041</v>
      </c>
      <c r="Q1374" s="17">
        <v>6309</v>
      </c>
      <c r="R1374" s="18">
        <v>52.48</v>
      </c>
      <c r="S1374" s="19">
        <v>3447.4354999999996</v>
      </c>
      <c r="T1374" s="20" t="s">
        <v>75</v>
      </c>
      <c r="U1374" s="21" t="s">
        <v>2001</v>
      </c>
      <c r="V1374" s="22" t="s">
        <v>35</v>
      </c>
      <c r="W1374" s="23">
        <v>1</v>
      </c>
      <c r="X1374" s="24"/>
    </row>
    <row r="1375" spans="1:24" s="1" customFormat="1" ht="37.049999999999997" customHeight="1" x14ac:dyDescent="0.3">
      <c r="A1375" s="25" t="s">
        <v>1986</v>
      </c>
      <c r="B1375" s="25" t="s">
        <v>2117</v>
      </c>
      <c r="C1375" s="12" t="s">
        <v>2118</v>
      </c>
      <c r="D1375" s="87"/>
      <c r="E1375" s="67" t="str">
        <f>HYPERLINK("https://www.google.ru/search?q=C225M-YS&amp;newwindow=1&amp;tbm=isch","Еще фото")</f>
        <v>Еще фото</v>
      </c>
      <c r="F1375" s="14"/>
      <c r="G1375" s="25" t="s">
        <v>2119</v>
      </c>
      <c r="H1375" s="25" t="s">
        <v>69</v>
      </c>
      <c r="I1375" s="25" t="s">
        <v>713</v>
      </c>
      <c r="J1375" s="15" t="s">
        <v>1990</v>
      </c>
      <c r="K1375" s="16" t="s">
        <v>45</v>
      </c>
      <c r="L1375" s="84"/>
      <c r="M1375" s="15"/>
      <c r="N1375" s="15" t="s">
        <v>55</v>
      </c>
      <c r="O1375" s="15"/>
      <c r="P1375" s="16" t="s">
        <v>2041</v>
      </c>
      <c r="Q1375" s="17">
        <v>6309</v>
      </c>
      <c r="R1375" s="18">
        <v>52.48</v>
      </c>
      <c r="S1375" s="19">
        <v>3447.4354999999996</v>
      </c>
      <c r="T1375" s="20" t="s">
        <v>75</v>
      </c>
      <c r="U1375" s="21" t="s">
        <v>2043</v>
      </c>
      <c r="V1375" s="22" t="s">
        <v>2044</v>
      </c>
      <c r="W1375" s="23">
        <v>1</v>
      </c>
      <c r="X1375" s="24"/>
    </row>
    <row r="1376" spans="1:24" s="1" customFormat="1" ht="35" customHeight="1" x14ac:dyDescent="0.3">
      <c r="A1376" s="11" t="s">
        <v>1986</v>
      </c>
      <c r="B1376" s="11" t="s">
        <v>2037</v>
      </c>
      <c r="C1376" s="12" t="s">
        <v>2121</v>
      </c>
      <c r="D1376" s="85"/>
      <c r="E1376" s="67" t="str">
        <f>HYPERLINK("https://www.google.ru/search?q=C225W-5Y&amp;newwindow=1&amp;tbm=isch","Еще фото")</f>
        <v>Еще фото</v>
      </c>
      <c r="F1376" s="14"/>
      <c r="G1376" s="11" t="s">
        <v>2039</v>
      </c>
      <c r="H1376" s="11" t="s">
        <v>69</v>
      </c>
      <c r="I1376" s="15" t="s">
        <v>713</v>
      </c>
      <c r="J1376" s="15" t="s">
        <v>1990</v>
      </c>
      <c r="K1376" s="16" t="s">
        <v>29</v>
      </c>
      <c r="L1376" s="83" t="s">
        <v>2040</v>
      </c>
      <c r="M1376" s="15"/>
      <c r="N1376" s="15" t="s">
        <v>38</v>
      </c>
      <c r="O1376" s="15"/>
      <c r="P1376" s="16" t="s">
        <v>2041</v>
      </c>
      <c r="Q1376" s="17">
        <v>6309</v>
      </c>
      <c r="R1376" s="18">
        <v>52.48</v>
      </c>
      <c r="S1376" s="19">
        <v>3447.4354999999996</v>
      </c>
      <c r="T1376" s="20" t="s">
        <v>75</v>
      </c>
      <c r="U1376" s="21" t="s">
        <v>1999</v>
      </c>
      <c r="V1376" s="22" t="s">
        <v>2050</v>
      </c>
      <c r="W1376" s="23">
        <v>2</v>
      </c>
      <c r="X1376" s="24"/>
    </row>
    <row r="1377" spans="1:24" s="1" customFormat="1" ht="35" customHeight="1" x14ac:dyDescent="0.3">
      <c r="A1377" s="25" t="s">
        <v>1986</v>
      </c>
      <c r="B1377" s="25" t="s">
        <v>2037</v>
      </c>
      <c r="C1377" s="12" t="s">
        <v>2121</v>
      </c>
      <c r="D1377" s="86"/>
      <c r="E1377" s="67" t="str">
        <f>HYPERLINK("https://www.google.ru/search?q=C225W-5Y&amp;newwindow=1&amp;tbm=isch","Еще фото")</f>
        <v>Еще фото</v>
      </c>
      <c r="F1377" s="14"/>
      <c r="G1377" s="25" t="s">
        <v>2039</v>
      </c>
      <c r="H1377" s="25" t="s">
        <v>69</v>
      </c>
      <c r="I1377" s="25" t="s">
        <v>713</v>
      </c>
      <c r="J1377" s="15" t="s">
        <v>1990</v>
      </c>
      <c r="K1377" s="16" t="s">
        <v>29</v>
      </c>
      <c r="L1377" s="88"/>
      <c r="M1377" s="15"/>
      <c r="N1377" s="15" t="s">
        <v>38</v>
      </c>
      <c r="O1377" s="15"/>
      <c r="P1377" s="16" t="s">
        <v>2041</v>
      </c>
      <c r="Q1377" s="17">
        <v>6309</v>
      </c>
      <c r="R1377" s="18">
        <v>52.48</v>
      </c>
      <c r="S1377" s="19">
        <v>3447.4354999999996</v>
      </c>
      <c r="T1377" s="20" t="s">
        <v>75</v>
      </c>
      <c r="U1377" s="21" t="s">
        <v>2000</v>
      </c>
      <c r="V1377" s="22" t="s">
        <v>2056</v>
      </c>
      <c r="W1377" s="23">
        <v>6</v>
      </c>
      <c r="X1377" s="24"/>
    </row>
    <row r="1378" spans="1:24" s="1" customFormat="1" ht="37.049999999999997" customHeight="1" x14ac:dyDescent="0.3">
      <c r="A1378" s="25" t="s">
        <v>1986</v>
      </c>
      <c r="B1378" s="25" t="s">
        <v>2037</v>
      </c>
      <c r="C1378" s="12" t="s">
        <v>2121</v>
      </c>
      <c r="D1378" s="87"/>
      <c r="E1378" s="67" t="str">
        <f>HYPERLINK("https://www.google.ru/search?q=C225W-5Y&amp;newwindow=1&amp;tbm=isch","Еще фото")</f>
        <v>Еще фото</v>
      </c>
      <c r="F1378" s="14"/>
      <c r="G1378" s="25" t="s">
        <v>2039</v>
      </c>
      <c r="H1378" s="25" t="s">
        <v>69</v>
      </c>
      <c r="I1378" s="25" t="s">
        <v>713</v>
      </c>
      <c r="J1378" s="15" t="s">
        <v>1990</v>
      </c>
      <c r="K1378" s="16" t="s">
        <v>29</v>
      </c>
      <c r="L1378" s="84"/>
      <c r="M1378" s="15"/>
      <c r="N1378" s="15" t="s">
        <v>38</v>
      </c>
      <c r="O1378" s="15"/>
      <c r="P1378" s="16" t="s">
        <v>2041</v>
      </c>
      <c r="Q1378" s="17">
        <v>6309</v>
      </c>
      <c r="R1378" s="18">
        <v>52.48</v>
      </c>
      <c r="S1378" s="19">
        <v>3447.4354999999996</v>
      </c>
      <c r="T1378" s="20" t="s">
        <v>75</v>
      </c>
      <c r="U1378" s="21" t="s">
        <v>2001</v>
      </c>
      <c r="V1378" s="22" t="s">
        <v>2051</v>
      </c>
      <c r="W1378" s="23">
        <v>1</v>
      </c>
      <c r="X1378" s="24"/>
    </row>
    <row r="1379" spans="1:24" s="1" customFormat="1" ht="35" customHeight="1" x14ac:dyDescent="0.3">
      <c r="A1379" s="11" t="s">
        <v>1986</v>
      </c>
      <c r="B1379" s="11" t="s">
        <v>2122</v>
      </c>
      <c r="C1379" s="12" t="s">
        <v>2123</v>
      </c>
      <c r="D1379" s="85"/>
      <c r="E1379" s="67" t="str">
        <f>HYPERLINK("https://www.google.ru/search?q=C225W-YS&amp;newwindow=1&amp;tbm=isch","Еще фото")</f>
        <v>Еще фото</v>
      </c>
      <c r="F1379" s="14"/>
      <c r="G1379" s="11" t="s">
        <v>2119</v>
      </c>
      <c r="H1379" s="11" t="s">
        <v>69</v>
      </c>
      <c r="I1379" s="15" t="s">
        <v>713</v>
      </c>
      <c r="J1379" s="15" t="s">
        <v>1990</v>
      </c>
      <c r="K1379" s="16" t="s">
        <v>29</v>
      </c>
      <c r="L1379" s="83" t="s">
        <v>2040</v>
      </c>
      <c r="M1379" s="15"/>
      <c r="N1379" s="15" t="s">
        <v>55</v>
      </c>
      <c r="O1379" s="15"/>
      <c r="P1379" s="16" t="s">
        <v>2041</v>
      </c>
      <c r="Q1379" s="17">
        <v>6309</v>
      </c>
      <c r="R1379" s="18">
        <v>52.48</v>
      </c>
      <c r="S1379" s="19">
        <v>3447.4354999999996</v>
      </c>
      <c r="T1379" s="20" t="s">
        <v>75</v>
      </c>
      <c r="U1379" s="21" t="s">
        <v>1999</v>
      </c>
      <c r="V1379" s="22" t="s">
        <v>2050</v>
      </c>
      <c r="W1379" s="23">
        <v>2</v>
      </c>
      <c r="X1379" s="24"/>
    </row>
    <row r="1380" spans="1:24" s="1" customFormat="1" ht="35" customHeight="1" x14ac:dyDescent="0.3">
      <c r="A1380" s="25" t="s">
        <v>1986</v>
      </c>
      <c r="B1380" s="25" t="s">
        <v>2122</v>
      </c>
      <c r="C1380" s="12" t="s">
        <v>2123</v>
      </c>
      <c r="D1380" s="86"/>
      <c r="E1380" s="67" t="str">
        <f>HYPERLINK("https://www.google.ru/search?q=C225W-YS&amp;newwindow=1&amp;tbm=isch","Еще фото")</f>
        <v>Еще фото</v>
      </c>
      <c r="F1380" s="14"/>
      <c r="G1380" s="25" t="s">
        <v>2119</v>
      </c>
      <c r="H1380" s="25" t="s">
        <v>69</v>
      </c>
      <c r="I1380" s="25" t="s">
        <v>713</v>
      </c>
      <c r="J1380" s="15" t="s">
        <v>1990</v>
      </c>
      <c r="K1380" s="16" t="s">
        <v>29</v>
      </c>
      <c r="L1380" s="88"/>
      <c r="M1380" s="15"/>
      <c r="N1380" s="15" t="s">
        <v>55</v>
      </c>
      <c r="O1380" s="15"/>
      <c r="P1380" s="16" t="s">
        <v>2041</v>
      </c>
      <c r="Q1380" s="17">
        <v>6309</v>
      </c>
      <c r="R1380" s="18">
        <v>52.48</v>
      </c>
      <c r="S1380" s="19">
        <v>3447.4354999999996</v>
      </c>
      <c r="T1380" s="20" t="s">
        <v>75</v>
      </c>
      <c r="U1380" s="21" t="s">
        <v>2000</v>
      </c>
      <c r="V1380" s="22" t="s">
        <v>2056</v>
      </c>
      <c r="W1380" s="23">
        <v>6</v>
      </c>
      <c r="X1380" s="24"/>
    </row>
    <row r="1381" spans="1:24" s="1" customFormat="1" ht="37.049999999999997" customHeight="1" x14ac:dyDescent="0.3">
      <c r="A1381" s="25" t="s">
        <v>1986</v>
      </c>
      <c r="B1381" s="25" t="s">
        <v>2122</v>
      </c>
      <c r="C1381" s="12" t="s">
        <v>2123</v>
      </c>
      <c r="D1381" s="87"/>
      <c r="E1381" s="67" t="str">
        <f>HYPERLINK("https://www.google.ru/search?q=C225W-YS&amp;newwindow=1&amp;tbm=isch","Еще фото")</f>
        <v>Еще фото</v>
      </c>
      <c r="F1381" s="14"/>
      <c r="G1381" s="25" t="s">
        <v>2119</v>
      </c>
      <c r="H1381" s="25" t="s">
        <v>69</v>
      </c>
      <c r="I1381" s="25" t="s">
        <v>713</v>
      </c>
      <c r="J1381" s="15" t="s">
        <v>1990</v>
      </c>
      <c r="K1381" s="16" t="s">
        <v>29</v>
      </c>
      <c r="L1381" s="84"/>
      <c r="M1381" s="15"/>
      <c r="N1381" s="15" t="s">
        <v>55</v>
      </c>
      <c r="O1381" s="15"/>
      <c r="P1381" s="16" t="s">
        <v>2041</v>
      </c>
      <c r="Q1381" s="17">
        <v>6309</v>
      </c>
      <c r="R1381" s="18">
        <v>52.48</v>
      </c>
      <c r="S1381" s="19">
        <v>3447.4354999999996</v>
      </c>
      <c r="T1381" s="20" t="s">
        <v>75</v>
      </c>
      <c r="U1381" s="21" t="s">
        <v>2001</v>
      </c>
      <c r="V1381" s="22" t="s">
        <v>2051</v>
      </c>
      <c r="W1381" s="23">
        <v>4</v>
      </c>
      <c r="X1381" s="24"/>
    </row>
    <row r="1382" spans="1:24" s="1" customFormat="1" ht="35" customHeight="1" x14ac:dyDescent="0.3">
      <c r="A1382" s="11" t="s">
        <v>1986</v>
      </c>
      <c r="B1382" s="11" t="s">
        <v>2124</v>
      </c>
      <c r="C1382" s="12" t="s">
        <v>2125</v>
      </c>
      <c r="D1382" s="85"/>
      <c r="E1382" s="67" t="str">
        <f>HYPERLINK("https://www.google.ru/search?q=C125RM-5&amp;newwindow=1&amp;tbm=isch","Еще фото")</f>
        <v>Еще фото</v>
      </c>
      <c r="F1382" s="14"/>
      <c r="G1382" s="11" t="s">
        <v>2119</v>
      </c>
      <c r="H1382" s="11" t="s">
        <v>69</v>
      </c>
      <c r="I1382" s="15" t="s">
        <v>713</v>
      </c>
      <c r="J1382" s="15" t="s">
        <v>162</v>
      </c>
      <c r="K1382" s="16" t="s">
        <v>45</v>
      </c>
      <c r="L1382" s="83"/>
      <c r="M1382" s="15"/>
      <c r="N1382" s="15" t="s">
        <v>38</v>
      </c>
      <c r="O1382" s="15"/>
      <c r="P1382" s="16" t="s">
        <v>2068</v>
      </c>
      <c r="Q1382" s="17">
        <v>6299</v>
      </c>
      <c r="R1382" s="18">
        <v>52.41</v>
      </c>
      <c r="S1382" s="19">
        <v>3447.4354999999996</v>
      </c>
      <c r="T1382" s="20" t="s">
        <v>75</v>
      </c>
      <c r="U1382" s="21" t="s">
        <v>2000</v>
      </c>
      <c r="V1382" s="22" t="s">
        <v>2042</v>
      </c>
      <c r="W1382" s="23">
        <v>18</v>
      </c>
      <c r="X1382" s="24"/>
    </row>
    <row r="1383" spans="1:24" s="1" customFormat="1" ht="35" customHeight="1" x14ac:dyDescent="0.3">
      <c r="A1383" s="25" t="s">
        <v>1986</v>
      </c>
      <c r="B1383" s="25" t="s">
        <v>2124</v>
      </c>
      <c r="C1383" s="12" t="s">
        <v>2125</v>
      </c>
      <c r="D1383" s="86"/>
      <c r="E1383" s="67" t="str">
        <f>HYPERLINK("https://www.google.ru/search?q=C125RM-5&amp;newwindow=1&amp;tbm=isch","Еще фото")</f>
        <v>Еще фото</v>
      </c>
      <c r="F1383" s="14"/>
      <c r="G1383" s="25" t="s">
        <v>2119</v>
      </c>
      <c r="H1383" s="25" t="s">
        <v>69</v>
      </c>
      <c r="I1383" s="25" t="s">
        <v>713</v>
      </c>
      <c r="J1383" s="15" t="s">
        <v>162</v>
      </c>
      <c r="K1383" s="16" t="s">
        <v>45</v>
      </c>
      <c r="L1383" s="88"/>
      <c r="M1383" s="15"/>
      <c r="N1383" s="15" t="s">
        <v>38</v>
      </c>
      <c r="O1383" s="15"/>
      <c r="P1383" s="16" t="s">
        <v>2068</v>
      </c>
      <c r="Q1383" s="17">
        <v>6299</v>
      </c>
      <c r="R1383" s="18">
        <v>52.41</v>
      </c>
      <c r="S1383" s="19">
        <v>3447.4354999999996</v>
      </c>
      <c r="T1383" s="20" t="s">
        <v>75</v>
      </c>
      <c r="U1383" s="21" t="s">
        <v>2001</v>
      </c>
      <c r="V1383" s="22" t="s">
        <v>35</v>
      </c>
      <c r="W1383" s="23">
        <v>16</v>
      </c>
      <c r="X1383" s="24"/>
    </row>
    <row r="1384" spans="1:24" s="1" customFormat="1" ht="37.049999999999997" customHeight="1" x14ac:dyDescent="0.3">
      <c r="A1384" s="25" t="s">
        <v>1986</v>
      </c>
      <c r="B1384" s="25" t="s">
        <v>2124</v>
      </c>
      <c r="C1384" s="12" t="s">
        <v>2125</v>
      </c>
      <c r="D1384" s="87"/>
      <c r="E1384" s="67" t="str">
        <f>HYPERLINK("https://www.google.ru/search?q=C125RM-5&amp;newwindow=1&amp;tbm=isch","Еще фото")</f>
        <v>Еще фото</v>
      </c>
      <c r="F1384" s="14"/>
      <c r="G1384" s="25" t="s">
        <v>2119</v>
      </c>
      <c r="H1384" s="25" t="s">
        <v>69</v>
      </c>
      <c r="I1384" s="25" t="s">
        <v>713</v>
      </c>
      <c r="J1384" s="15" t="s">
        <v>162</v>
      </c>
      <c r="K1384" s="16" t="s">
        <v>45</v>
      </c>
      <c r="L1384" s="84"/>
      <c r="M1384" s="15"/>
      <c r="N1384" s="15" t="s">
        <v>38</v>
      </c>
      <c r="O1384" s="15"/>
      <c r="P1384" s="16" t="s">
        <v>2068</v>
      </c>
      <c r="Q1384" s="17">
        <v>6299</v>
      </c>
      <c r="R1384" s="18">
        <v>52.41</v>
      </c>
      <c r="S1384" s="19">
        <v>3447.4354999999996</v>
      </c>
      <c r="T1384" s="20" t="s">
        <v>75</v>
      </c>
      <c r="U1384" s="21" t="s">
        <v>2043</v>
      </c>
      <c r="V1384" s="22" t="s">
        <v>2044</v>
      </c>
      <c r="W1384" s="23">
        <v>7</v>
      </c>
      <c r="X1384" s="24"/>
    </row>
    <row r="1385" spans="1:24" s="1" customFormat="1" ht="35" customHeight="1" x14ac:dyDescent="0.3">
      <c r="A1385" s="11" t="s">
        <v>1986</v>
      </c>
      <c r="B1385" s="11" t="s">
        <v>2124</v>
      </c>
      <c r="C1385" s="12" t="s">
        <v>2126</v>
      </c>
      <c r="D1385" s="85"/>
      <c r="E1385" s="67" t="str">
        <f>HYPERLINK("https://www.google.ru/search?q=C125RM-Y&amp;newwindow=1&amp;tbm=isch","Еще фото")</f>
        <v>Еще фото</v>
      </c>
      <c r="F1385" s="14"/>
      <c r="G1385" s="11" t="s">
        <v>2119</v>
      </c>
      <c r="H1385" s="11" t="s">
        <v>69</v>
      </c>
      <c r="I1385" s="15" t="s">
        <v>713</v>
      </c>
      <c r="J1385" s="15" t="s">
        <v>162</v>
      </c>
      <c r="K1385" s="16" t="s">
        <v>45</v>
      </c>
      <c r="L1385" s="83"/>
      <c r="M1385" s="15"/>
      <c r="N1385" s="15" t="s">
        <v>55</v>
      </c>
      <c r="O1385" s="15"/>
      <c r="P1385" s="16" t="s">
        <v>2068</v>
      </c>
      <c r="Q1385" s="17">
        <v>6299</v>
      </c>
      <c r="R1385" s="18">
        <v>52.41</v>
      </c>
      <c r="S1385" s="19">
        <v>3447.4354999999996</v>
      </c>
      <c r="T1385" s="20" t="s">
        <v>75</v>
      </c>
      <c r="U1385" s="21" t="s">
        <v>2000</v>
      </c>
      <c r="V1385" s="22" t="s">
        <v>2042</v>
      </c>
      <c r="W1385" s="23">
        <v>19</v>
      </c>
      <c r="X1385" s="24"/>
    </row>
    <row r="1386" spans="1:24" s="1" customFormat="1" ht="35" customHeight="1" x14ac:dyDescent="0.3">
      <c r="A1386" s="25" t="s">
        <v>1986</v>
      </c>
      <c r="B1386" s="25" t="s">
        <v>2124</v>
      </c>
      <c r="C1386" s="12" t="s">
        <v>2126</v>
      </c>
      <c r="D1386" s="86"/>
      <c r="E1386" s="67" t="str">
        <f>HYPERLINK("https://www.google.ru/search?q=C125RM-Y&amp;newwindow=1&amp;tbm=isch","Еще фото")</f>
        <v>Еще фото</v>
      </c>
      <c r="F1386" s="14"/>
      <c r="G1386" s="25" t="s">
        <v>2119</v>
      </c>
      <c r="H1386" s="25" t="s">
        <v>69</v>
      </c>
      <c r="I1386" s="25" t="s">
        <v>713</v>
      </c>
      <c r="J1386" s="15" t="s">
        <v>162</v>
      </c>
      <c r="K1386" s="16" t="s">
        <v>45</v>
      </c>
      <c r="L1386" s="88"/>
      <c r="M1386" s="15"/>
      <c r="N1386" s="15" t="s">
        <v>55</v>
      </c>
      <c r="O1386" s="15"/>
      <c r="P1386" s="16" t="s">
        <v>2068</v>
      </c>
      <c r="Q1386" s="17">
        <v>6299</v>
      </c>
      <c r="R1386" s="18">
        <v>52.41</v>
      </c>
      <c r="S1386" s="19">
        <v>3447.4354999999996</v>
      </c>
      <c r="T1386" s="20" t="s">
        <v>75</v>
      </c>
      <c r="U1386" s="21" t="s">
        <v>2001</v>
      </c>
      <c r="V1386" s="22" t="s">
        <v>35</v>
      </c>
      <c r="W1386" s="23">
        <v>17</v>
      </c>
      <c r="X1386" s="24"/>
    </row>
    <row r="1387" spans="1:24" s="1" customFormat="1" ht="37.049999999999997" customHeight="1" x14ac:dyDescent="0.3">
      <c r="A1387" s="25" t="s">
        <v>1986</v>
      </c>
      <c r="B1387" s="25" t="s">
        <v>2124</v>
      </c>
      <c r="C1387" s="12" t="s">
        <v>2126</v>
      </c>
      <c r="D1387" s="87"/>
      <c r="E1387" s="67" t="str">
        <f>HYPERLINK("https://www.google.ru/search?q=C125RM-Y&amp;newwindow=1&amp;tbm=isch","Еще фото")</f>
        <v>Еще фото</v>
      </c>
      <c r="F1387" s="14"/>
      <c r="G1387" s="25" t="s">
        <v>2119</v>
      </c>
      <c r="H1387" s="25" t="s">
        <v>69</v>
      </c>
      <c r="I1387" s="25" t="s">
        <v>713</v>
      </c>
      <c r="J1387" s="15" t="s">
        <v>162</v>
      </c>
      <c r="K1387" s="16" t="s">
        <v>45</v>
      </c>
      <c r="L1387" s="84"/>
      <c r="M1387" s="15"/>
      <c r="N1387" s="15" t="s">
        <v>55</v>
      </c>
      <c r="O1387" s="15"/>
      <c r="P1387" s="16" t="s">
        <v>2068</v>
      </c>
      <c r="Q1387" s="17">
        <v>6299</v>
      </c>
      <c r="R1387" s="18">
        <v>52.41</v>
      </c>
      <c r="S1387" s="19">
        <v>3447.4354999999996</v>
      </c>
      <c r="T1387" s="20" t="s">
        <v>75</v>
      </c>
      <c r="U1387" s="21" t="s">
        <v>2043</v>
      </c>
      <c r="V1387" s="22" t="s">
        <v>2044</v>
      </c>
      <c r="W1387" s="23">
        <v>7</v>
      </c>
      <c r="X1387" s="24"/>
    </row>
    <row r="1388" spans="1:24" s="1" customFormat="1" ht="35" customHeight="1" x14ac:dyDescent="0.3">
      <c r="A1388" s="11" t="s">
        <v>1986</v>
      </c>
      <c r="B1388" s="11" t="s">
        <v>2127</v>
      </c>
      <c r="C1388" s="12" t="s">
        <v>2128</v>
      </c>
      <c r="D1388" s="85"/>
      <c r="E1388" s="67" t="str">
        <f>HYPERLINK("https://www.google.ru/search?q=C125RW-Y&amp;newwindow=1&amp;tbm=isch","Еще фото")</f>
        <v>Еще фото</v>
      </c>
      <c r="F1388" s="14"/>
      <c r="G1388" s="11" t="s">
        <v>2119</v>
      </c>
      <c r="H1388" s="11" t="s">
        <v>69</v>
      </c>
      <c r="I1388" s="15" t="s">
        <v>713</v>
      </c>
      <c r="J1388" s="15" t="s">
        <v>162</v>
      </c>
      <c r="K1388" s="16" t="s">
        <v>29</v>
      </c>
      <c r="L1388" s="83" t="s">
        <v>2129</v>
      </c>
      <c r="M1388" s="15"/>
      <c r="N1388" s="15" t="s">
        <v>55</v>
      </c>
      <c r="O1388" s="15"/>
      <c r="P1388" s="16" t="s">
        <v>2068</v>
      </c>
      <c r="Q1388" s="17">
        <v>6299</v>
      </c>
      <c r="R1388" s="18">
        <v>52.41</v>
      </c>
      <c r="S1388" s="19">
        <v>3447.4354999999996</v>
      </c>
      <c r="T1388" s="20" t="s">
        <v>75</v>
      </c>
      <c r="U1388" s="21" t="s">
        <v>1999</v>
      </c>
      <c r="V1388" s="22" t="s">
        <v>2050</v>
      </c>
      <c r="W1388" s="23">
        <v>6</v>
      </c>
      <c r="X1388" s="24"/>
    </row>
    <row r="1389" spans="1:24" s="1" customFormat="1" ht="35" customHeight="1" x14ac:dyDescent="0.3">
      <c r="A1389" s="25" t="s">
        <v>1986</v>
      </c>
      <c r="B1389" s="25" t="s">
        <v>2127</v>
      </c>
      <c r="C1389" s="12" t="s">
        <v>2128</v>
      </c>
      <c r="D1389" s="86"/>
      <c r="E1389" s="67" t="str">
        <f>HYPERLINK("https://www.google.ru/search?q=C125RW-Y&amp;newwindow=1&amp;tbm=isch","Еще фото")</f>
        <v>Еще фото</v>
      </c>
      <c r="F1389" s="14"/>
      <c r="G1389" s="25" t="s">
        <v>2119</v>
      </c>
      <c r="H1389" s="25" t="s">
        <v>69</v>
      </c>
      <c r="I1389" s="25" t="s">
        <v>713</v>
      </c>
      <c r="J1389" s="15" t="s">
        <v>162</v>
      </c>
      <c r="K1389" s="16" t="s">
        <v>29</v>
      </c>
      <c r="L1389" s="88"/>
      <c r="M1389" s="15"/>
      <c r="N1389" s="15" t="s">
        <v>55</v>
      </c>
      <c r="O1389" s="15"/>
      <c r="P1389" s="16" t="s">
        <v>2068</v>
      </c>
      <c r="Q1389" s="17">
        <v>6299</v>
      </c>
      <c r="R1389" s="18">
        <v>52.41</v>
      </c>
      <c r="S1389" s="19">
        <v>3447.4354999999996</v>
      </c>
      <c r="T1389" s="20" t="s">
        <v>75</v>
      </c>
      <c r="U1389" s="21" t="s">
        <v>2000</v>
      </c>
      <c r="V1389" s="22" t="s">
        <v>2056</v>
      </c>
      <c r="W1389" s="23">
        <v>18</v>
      </c>
      <c r="X1389" s="24"/>
    </row>
    <row r="1390" spans="1:24" s="1" customFormat="1" ht="37.049999999999997" customHeight="1" x14ac:dyDescent="0.3">
      <c r="A1390" s="25" t="s">
        <v>1986</v>
      </c>
      <c r="B1390" s="25" t="s">
        <v>2127</v>
      </c>
      <c r="C1390" s="12" t="s">
        <v>2128</v>
      </c>
      <c r="D1390" s="87"/>
      <c r="E1390" s="67" t="str">
        <f>HYPERLINK("https://www.google.ru/search?q=C125RW-Y&amp;newwindow=1&amp;tbm=isch","Еще фото")</f>
        <v>Еще фото</v>
      </c>
      <c r="F1390" s="14"/>
      <c r="G1390" s="25" t="s">
        <v>2119</v>
      </c>
      <c r="H1390" s="25" t="s">
        <v>69</v>
      </c>
      <c r="I1390" s="25" t="s">
        <v>713</v>
      </c>
      <c r="J1390" s="15" t="s">
        <v>162</v>
      </c>
      <c r="K1390" s="16" t="s">
        <v>29</v>
      </c>
      <c r="L1390" s="84"/>
      <c r="M1390" s="15"/>
      <c r="N1390" s="15" t="s">
        <v>55</v>
      </c>
      <c r="O1390" s="15"/>
      <c r="P1390" s="16" t="s">
        <v>2068</v>
      </c>
      <c r="Q1390" s="17">
        <v>6299</v>
      </c>
      <c r="R1390" s="18">
        <v>52.41</v>
      </c>
      <c r="S1390" s="19">
        <v>3447.4354999999996</v>
      </c>
      <c r="T1390" s="20" t="s">
        <v>75</v>
      </c>
      <c r="U1390" s="21" t="s">
        <v>2001</v>
      </c>
      <c r="V1390" s="22" t="s">
        <v>2051</v>
      </c>
      <c r="W1390" s="23">
        <v>12</v>
      </c>
      <c r="X1390" s="24"/>
    </row>
    <row r="1391" spans="1:24" s="1" customFormat="1" ht="108" customHeight="1" x14ac:dyDescent="0.3">
      <c r="A1391" s="11" t="s">
        <v>1986</v>
      </c>
      <c r="B1391" s="11" t="s">
        <v>2101</v>
      </c>
      <c r="C1391" s="12" t="s">
        <v>2130</v>
      </c>
      <c r="D1391" s="13"/>
      <c r="E1391" s="67" t="str">
        <f>HYPERLINK("https://www.google.ru/search?q=C1UUM-5&amp;newwindow=1&amp;tbm=isch","Еще фото")</f>
        <v>Еще фото</v>
      </c>
      <c r="F1391" s="14"/>
      <c r="G1391" s="11" t="s">
        <v>2131</v>
      </c>
      <c r="H1391" s="11" t="s">
        <v>69</v>
      </c>
      <c r="I1391" s="15" t="s">
        <v>713</v>
      </c>
      <c r="J1391" s="15" t="s">
        <v>162</v>
      </c>
      <c r="K1391" s="16" t="s">
        <v>45</v>
      </c>
      <c r="L1391" s="15" t="s">
        <v>2132</v>
      </c>
      <c r="M1391" s="15"/>
      <c r="N1391" s="15" t="s">
        <v>38</v>
      </c>
      <c r="O1391" s="15"/>
      <c r="P1391" s="16" t="s">
        <v>1998</v>
      </c>
      <c r="Q1391" s="17">
        <v>6799</v>
      </c>
      <c r="R1391" s="18">
        <v>52.38</v>
      </c>
      <c r="S1391" s="19">
        <v>3723.4354999999996</v>
      </c>
      <c r="T1391" s="20" t="s">
        <v>75</v>
      </c>
      <c r="U1391" s="21" t="s">
        <v>2000</v>
      </c>
      <c r="V1391" s="22" t="s">
        <v>2042</v>
      </c>
      <c r="W1391" s="23">
        <v>6</v>
      </c>
      <c r="X1391" s="24"/>
    </row>
    <row r="1392" spans="1:24" s="1" customFormat="1" ht="35" customHeight="1" x14ac:dyDescent="0.3">
      <c r="A1392" s="11" t="s">
        <v>1986</v>
      </c>
      <c r="B1392" s="11" t="s">
        <v>2101</v>
      </c>
      <c r="C1392" s="12" t="s">
        <v>2133</v>
      </c>
      <c r="D1392" s="85"/>
      <c r="E1392" s="67" t="str">
        <f>HYPERLINK("https://www.google.ru/search?q=C3UUW-0-1&amp;newwindow=1&amp;tbm=isch","Еще фото")</f>
        <v>Еще фото</v>
      </c>
      <c r="F1392" s="14"/>
      <c r="G1392" s="11" t="s">
        <v>2103</v>
      </c>
      <c r="H1392" s="11" t="s">
        <v>69</v>
      </c>
      <c r="I1392" s="15" t="s">
        <v>713</v>
      </c>
      <c r="J1392" s="15" t="s">
        <v>162</v>
      </c>
      <c r="K1392" s="16" t="s">
        <v>29</v>
      </c>
      <c r="L1392" s="83" t="s">
        <v>2111</v>
      </c>
      <c r="M1392" s="15"/>
      <c r="N1392" s="15" t="s">
        <v>173</v>
      </c>
      <c r="O1392" s="15"/>
      <c r="P1392" s="16" t="s">
        <v>2105</v>
      </c>
      <c r="Q1392" s="17">
        <v>4599</v>
      </c>
      <c r="R1392" s="18">
        <v>52.21</v>
      </c>
      <c r="S1392" s="19">
        <v>2527.4354999999996</v>
      </c>
      <c r="T1392" s="20" t="s">
        <v>75</v>
      </c>
      <c r="U1392" s="21" t="s">
        <v>1999</v>
      </c>
      <c r="V1392" s="22" t="s">
        <v>2050</v>
      </c>
      <c r="W1392" s="23">
        <v>2</v>
      </c>
      <c r="X1392" s="24"/>
    </row>
    <row r="1393" spans="1:24" s="1" customFormat="1" ht="35" customHeight="1" x14ac:dyDescent="0.3">
      <c r="A1393" s="25" t="s">
        <v>1986</v>
      </c>
      <c r="B1393" s="25" t="s">
        <v>2101</v>
      </c>
      <c r="C1393" s="12" t="s">
        <v>2133</v>
      </c>
      <c r="D1393" s="86"/>
      <c r="E1393" s="67" t="str">
        <f>HYPERLINK("https://www.google.ru/search?q=C3UUW-0-1&amp;newwindow=1&amp;tbm=isch","Еще фото")</f>
        <v>Еще фото</v>
      </c>
      <c r="F1393" s="14"/>
      <c r="G1393" s="25" t="s">
        <v>2103</v>
      </c>
      <c r="H1393" s="25" t="s">
        <v>69</v>
      </c>
      <c r="I1393" s="25" t="s">
        <v>713</v>
      </c>
      <c r="J1393" s="15" t="s">
        <v>162</v>
      </c>
      <c r="K1393" s="16" t="s">
        <v>29</v>
      </c>
      <c r="L1393" s="88"/>
      <c r="M1393" s="15"/>
      <c r="N1393" s="15" t="s">
        <v>173</v>
      </c>
      <c r="O1393" s="15"/>
      <c r="P1393" s="16" t="s">
        <v>2105</v>
      </c>
      <c r="Q1393" s="17">
        <v>4599</v>
      </c>
      <c r="R1393" s="18">
        <v>52.21</v>
      </c>
      <c r="S1393" s="19">
        <v>2527.4354999999996</v>
      </c>
      <c r="T1393" s="20" t="s">
        <v>75</v>
      </c>
      <c r="U1393" s="21" t="s">
        <v>2000</v>
      </c>
      <c r="V1393" s="22" t="s">
        <v>2056</v>
      </c>
      <c r="W1393" s="23">
        <v>10</v>
      </c>
      <c r="X1393" s="24"/>
    </row>
    <row r="1394" spans="1:24" s="1" customFormat="1" ht="37.049999999999997" customHeight="1" x14ac:dyDescent="0.3">
      <c r="A1394" s="25" t="s">
        <v>1986</v>
      </c>
      <c r="B1394" s="25" t="s">
        <v>2101</v>
      </c>
      <c r="C1394" s="12" t="s">
        <v>2133</v>
      </c>
      <c r="D1394" s="87"/>
      <c r="E1394" s="67" t="str">
        <f>HYPERLINK("https://www.google.ru/search?q=C3UUW-0-1&amp;newwindow=1&amp;tbm=isch","Еще фото")</f>
        <v>Еще фото</v>
      </c>
      <c r="F1394" s="14"/>
      <c r="G1394" s="25" t="s">
        <v>2103</v>
      </c>
      <c r="H1394" s="25" t="s">
        <v>69</v>
      </c>
      <c r="I1394" s="25" t="s">
        <v>713</v>
      </c>
      <c r="J1394" s="15" t="s">
        <v>162</v>
      </c>
      <c r="K1394" s="16" t="s">
        <v>29</v>
      </c>
      <c r="L1394" s="84"/>
      <c r="M1394" s="15"/>
      <c r="N1394" s="15" t="s">
        <v>173</v>
      </c>
      <c r="O1394" s="15"/>
      <c r="P1394" s="16" t="s">
        <v>2105</v>
      </c>
      <c r="Q1394" s="17">
        <v>4599</v>
      </c>
      <c r="R1394" s="18">
        <v>52.21</v>
      </c>
      <c r="S1394" s="19">
        <v>2527.4354999999996</v>
      </c>
      <c r="T1394" s="20" t="s">
        <v>75</v>
      </c>
      <c r="U1394" s="21" t="s">
        <v>2001</v>
      </c>
      <c r="V1394" s="22" t="s">
        <v>2051</v>
      </c>
      <c r="W1394" s="23">
        <v>30</v>
      </c>
      <c r="X1394" s="24"/>
    </row>
    <row r="1395" spans="1:24" s="1" customFormat="1" ht="52.05" customHeight="1" x14ac:dyDescent="0.3">
      <c r="A1395" s="11" t="s">
        <v>1986</v>
      </c>
      <c r="B1395" s="11" t="s">
        <v>2045</v>
      </c>
      <c r="C1395" s="12" t="s">
        <v>2134</v>
      </c>
      <c r="D1395" s="81"/>
      <c r="E1395" s="67" t="str">
        <f>HYPERLINK("https://www.google.ru/search?q=C2UUW-5-1&amp;newwindow=1&amp;tbm=isch","Еще фото")</f>
        <v>Еще фото</v>
      </c>
      <c r="F1395" s="14"/>
      <c r="G1395" s="11" t="s">
        <v>2047</v>
      </c>
      <c r="H1395" s="11" t="s">
        <v>69</v>
      </c>
      <c r="I1395" s="15" t="s">
        <v>713</v>
      </c>
      <c r="J1395" s="15" t="s">
        <v>28</v>
      </c>
      <c r="K1395" s="16" t="s">
        <v>29</v>
      </c>
      <c r="L1395" s="83" t="s">
        <v>2048</v>
      </c>
      <c r="M1395" s="15"/>
      <c r="N1395" s="15" t="s">
        <v>38</v>
      </c>
      <c r="O1395" s="15"/>
      <c r="P1395" s="16" t="s">
        <v>2049</v>
      </c>
      <c r="Q1395" s="17">
        <v>2999</v>
      </c>
      <c r="R1395" s="18">
        <v>49.72</v>
      </c>
      <c r="S1395" s="19">
        <v>1733.9354999999998</v>
      </c>
      <c r="T1395" s="20" t="s">
        <v>75</v>
      </c>
      <c r="U1395" s="21" t="s">
        <v>1999</v>
      </c>
      <c r="V1395" s="22" t="s">
        <v>2050</v>
      </c>
      <c r="W1395" s="23">
        <v>2</v>
      </c>
      <c r="X1395" s="24"/>
    </row>
    <row r="1396" spans="1:24" s="1" customFormat="1" ht="61.05" customHeight="1" x14ac:dyDescent="0.3">
      <c r="A1396" s="25" t="s">
        <v>1986</v>
      </c>
      <c r="B1396" s="25" t="s">
        <v>2045</v>
      </c>
      <c r="C1396" s="12" t="s">
        <v>2134</v>
      </c>
      <c r="D1396" s="82"/>
      <c r="E1396" s="67" t="str">
        <f>HYPERLINK("https://www.google.ru/search?q=C2UUW-5-1&amp;newwindow=1&amp;tbm=isch","Еще фото")</f>
        <v>Еще фото</v>
      </c>
      <c r="F1396" s="14"/>
      <c r="G1396" s="25" t="s">
        <v>2047</v>
      </c>
      <c r="H1396" s="25" t="s">
        <v>69</v>
      </c>
      <c r="I1396" s="25" t="s">
        <v>713</v>
      </c>
      <c r="J1396" s="15" t="s">
        <v>28</v>
      </c>
      <c r="K1396" s="16" t="s">
        <v>29</v>
      </c>
      <c r="L1396" s="84"/>
      <c r="M1396" s="15"/>
      <c r="N1396" s="15" t="s">
        <v>38</v>
      </c>
      <c r="O1396" s="15"/>
      <c r="P1396" s="16" t="s">
        <v>2049</v>
      </c>
      <c r="Q1396" s="17">
        <v>2999</v>
      </c>
      <c r="R1396" s="18">
        <v>49.72</v>
      </c>
      <c r="S1396" s="19">
        <v>1733.9354999999998</v>
      </c>
      <c r="T1396" s="20" t="s">
        <v>75</v>
      </c>
      <c r="U1396" s="21" t="s">
        <v>2000</v>
      </c>
      <c r="V1396" s="22" t="s">
        <v>2056</v>
      </c>
      <c r="W1396" s="23">
        <v>4</v>
      </c>
      <c r="X1396" s="24"/>
    </row>
    <row r="1397" spans="1:24" s="1" customFormat="1" ht="35" customHeight="1" x14ac:dyDescent="0.3">
      <c r="A1397" s="11" t="s">
        <v>1986</v>
      </c>
      <c r="B1397" s="11" t="s">
        <v>2045</v>
      </c>
      <c r="C1397" s="12" t="s">
        <v>2135</v>
      </c>
      <c r="D1397" s="85"/>
      <c r="E1397" s="67" t="str">
        <f>HYPERLINK("https://www.google.ru/search?q=C2UUW-S3&amp;newwindow=1&amp;tbm=isch","Еще фото")</f>
        <v>Еще фото</v>
      </c>
      <c r="F1397" s="14"/>
      <c r="G1397" s="11" t="s">
        <v>2047</v>
      </c>
      <c r="H1397" s="11" t="s">
        <v>69</v>
      </c>
      <c r="I1397" s="15" t="s">
        <v>713</v>
      </c>
      <c r="J1397" s="15" t="s">
        <v>162</v>
      </c>
      <c r="K1397" s="16" t="s">
        <v>29</v>
      </c>
      <c r="L1397" s="83" t="s">
        <v>2136</v>
      </c>
      <c r="M1397" s="15"/>
      <c r="N1397" s="15" t="s">
        <v>122</v>
      </c>
      <c r="O1397" s="15"/>
      <c r="P1397" s="16" t="s">
        <v>2068</v>
      </c>
      <c r="Q1397" s="17">
        <v>2999</v>
      </c>
      <c r="R1397" s="18">
        <v>49.72</v>
      </c>
      <c r="S1397" s="19">
        <v>1733.9354999999998</v>
      </c>
      <c r="T1397" s="20" t="s">
        <v>75</v>
      </c>
      <c r="U1397" s="21" t="s">
        <v>1999</v>
      </c>
      <c r="V1397" s="22" t="s">
        <v>2050</v>
      </c>
      <c r="W1397" s="23">
        <v>2</v>
      </c>
      <c r="X1397" s="24"/>
    </row>
    <row r="1398" spans="1:24" s="1" customFormat="1" ht="35" customHeight="1" x14ac:dyDescent="0.3">
      <c r="A1398" s="25" t="s">
        <v>1986</v>
      </c>
      <c r="B1398" s="25" t="s">
        <v>2045</v>
      </c>
      <c r="C1398" s="12" t="s">
        <v>2135</v>
      </c>
      <c r="D1398" s="86"/>
      <c r="E1398" s="67" t="str">
        <f>HYPERLINK("https://www.google.ru/search?q=C2UUW-S3&amp;newwindow=1&amp;tbm=isch","Еще фото")</f>
        <v>Еще фото</v>
      </c>
      <c r="F1398" s="14"/>
      <c r="G1398" s="25" t="s">
        <v>2047</v>
      </c>
      <c r="H1398" s="25" t="s">
        <v>69</v>
      </c>
      <c r="I1398" s="25" t="s">
        <v>713</v>
      </c>
      <c r="J1398" s="15" t="s">
        <v>162</v>
      </c>
      <c r="K1398" s="16" t="s">
        <v>29</v>
      </c>
      <c r="L1398" s="88"/>
      <c r="M1398" s="15"/>
      <c r="N1398" s="15" t="s">
        <v>122</v>
      </c>
      <c r="O1398" s="15"/>
      <c r="P1398" s="16" t="s">
        <v>2068</v>
      </c>
      <c r="Q1398" s="17">
        <v>2999</v>
      </c>
      <c r="R1398" s="18">
        <v>49.72</v>
      </c>
      <c r="S1398" s="19">
        <v>1733.9354999999998</v>
      </c>
      <c r="T1398" s="20" t="s">
        <v>75</v>
      </c>
      <c r="U1398" s="21" t="s">
        <v>2000</v>
      </c>
      <c r="V1398" s="22" t="s">
        <v>2056</v>
      </c>
      <c r="W1398" s="23">
        <v>6</v>
      </c>
      <c r="X1398" s="24"/>
    </row>
    <row r="1399" spans="1:24" s="1" customFormat="1" ht="37.049999999999997" customHeight="1" x14ac:dyDescent="0.3">
      <c r="A1399" s="25" t="s">
        <v>1986</v>
      </c>
      <c r="B1399" s="25" t="s">
        <v>2045</v>
      </c>
      <c r="C1399" s="12" t="s">
        <v>2135</v>
      </c>
      <c r="D1399" s="87"/>
      <c r="E1399" s="67" t="str">
        <f>HYPERLINK("https://www.google.ru/search?q=C2UUW-S3&amp;newwindow=1&amp;tbm=isch","Еще фото")</f>
        <v>Еще фото</v>
      </c>
      <c r="F1399" s="14"/>
      <c r="G1399" s="25" t="s">
        <v>2047</v>
      </c>
      <c r="H1399" s="25" t="s">
        <v>69</v>
      </c>
      <c r="I1399" s="25" t="s">
        <v>713</v>
      </c>
      <c r="J1399" s="15" t="s">
        <v>162</v>
      </c>
      <c r="K1399" s="16" t="s">
        <v>29</v>
      </c>
      <c r="L1399" s="84"/>
      <c r="M1399" s="15"/>
      <c r="N1399" s="15" t="s">
        <v>122</v>
      </c>
      <c r="O1399" s="15"/>
      <c r="P1399" s="16" t="s">
        <v>2068</v>
      </c>
      <c r="Q1399" s="17">
        <v>2999</v>
      </c>
      <c r="R1399" s="18">
        <v>49.72</v>
      </c>
      <c r="S1399" s="19">
        <v>1733.9354999999998</v>
      </c>
      <c r="T1399" s="20" t="s">
        <v>75</v>
      </c>
      <c r="U1399" s="21" t="s">
        <v>2001</v>
      </c>
      <c r="V1399" s="22" t="s">
        <v>2051</v>
      </c>
      <c r="W1399" s="23">
        <v>3</v>
      </c>
      <c r="X1399" s="24"/>
    </row>
    <row r="1400" spans="1:24" s="1" customFormat="1" ht="35" customHeight="1" x14ac:dyDescent="0.3">
      <c r="A1400" s="11" t="s">
        <v>1986</v>
      </c>
      <c r="B1400" s="11" t="s">
        <v>2045</v>
      </c>
      <c r="C1400" s="12" t="s">
        <v>2137</v>
      </c>
      <c r="D1400" s="85"/>
      <c r="E1400" s="67" t="str">
        <f>HYPERLINK("https://www.google.ru/search?q=C0UUM-0-1&amp;newwindow=1&amp;tbm=isch","Еще фото")</f>
        <v>Еще фото</v>
      </c>
      <c r="F1400" s="14"/>
      <c r="G1400" s="11" t="s">
        <v>2138</v>
      </c>
      <c r="H1400" s="11" t="s">
        <v>69</v>
      </c>
      <c r="I1400" s="15" t="s">
        <v>713</v>
      </c>
      <c r="J1400" s="15" t="s">
        <v>162</v>
      </c>
      <c r="K1400" s="16" t="s">
        <v>45</v>
      </c>
      <c r="L1400" s="83" t="s">
        <v>2139</v>
      </c>
      <c r="M1400" s="15"/>
      <c r="N1400" s="15" t="s">
        <v>173</v>
      </c>
      <c r="O1400" s="15"/>
      <c r="P1400" s="16" t="s">
        <v>2055</v>
      </c>
      <c r="Q1400" s="17">
        <v>2799</v>
      </c>
      <c r="R1400" s="18">
        <v>49.7</v>
      </c>
      <c r="S1400" s="19">
        <v>1618.9354999999998</v>
      </c>
      <c r="T1400" s="20" t="s">
        <v>75</v>
      </c>
      <c r="U1400" s="21" t="s">
        <v>2000</v>
      </c>
      <c r="V1400" s="22" t="s">
        <v>2042</v>
      </c>
      <c r="W1400" s="23">
        <v>19</v>
      </c>
      <c r="X1400" s="24"/>
    </row>
    <row r="1401" spans="1:24" s="1" customFormat="1" ht="35" customHeight="1" x14ac:dyDescent="0.3">
      <c r="A1401" s="25" t="s">
        <v>1986</v>
      </c>
      <c r="B1401" s="25" t="s">
        <v>2045</v>
      </c>
      <c r="C1401" s="12" t="s">
        <v>2137</v>
      </c>
      <c r="D1401" s="86"/>
      <c r="E1401" s="67" t="str">
        <f>HYPERLINK("https://www.google.ru/search?q=C0UUM-0-1&amp;newwindow=1&amp;tbm=isch","Еще фото")</f>
        <v>Еще фото</v>
      </c>
      <c r="F1401" s="14"/>
      <c r="G1401" s="25" t="s">
        <v>2138</v>
      </c>
      <c r="H1401" s="25" t="s">
        <v>69</v>
      </c>
      <c r="I1401" s="25" t="s">
        <v>713</v>
      </c>
      <c r="J1401" s="15" t="s">
        <v>162</v>
      </c>
      <c r="K1401" s="16" t="s">
        <v>45</v>
      </c>
      <c r="L1401" s="88"/>
      <c r="M1401" s="15"/>
      <c r="N1401" s="15" t="s">
        <v>173</v>
      </c>
      <c r="O1401" s="15"/>
      <c r="P1401" s="16" t="s">
        <v>2055</v>
      </c>
      <c r="Q1401" s="17">
        <v>2799</v>
      </c>
      <c r="R1401" s="18">
        <v>49.7</v>
      </c>
      <c r="S1401" s="19">
        <v>1618.9354999999998</v>
      </c>
      <c r="T1401" s="20" t="s">
        <v>75</v>
      </c>
      <c r="U1401" s="21" t="s">
        <v>2001</v>
      </c>
      <c r="V1401" s="22" t="s">
        <v>35</v>
      </c>
      <c r="W1401" s="23">
        <v>15</v>
      </c>
      <c r="X1401" s="24"/>
    </row>
    <row r="1402" spans="1:24" s="1" customFormat="1" ht="37.049999999999997" customHeight="1" x14ac:dyDescent="0.3">
      <c r="A1402" s="25" t="s">
        <v>1986</v>
      </c>
      <c r="B1402" s="25" t="s">
        <v>2045</v>
      </c>
      <c r="C1402" s="12" t="s">
        <v>2137</v>
      </c>
      <c r="D1402" s="87"/>
      <c r="E1402" s="67" t="str">
        <f>HYPERLINK("https://www.google.ru/search?q=C0UUM-0-1&amp;newwindow=1&amp;tbm=isch","Еще фото")</f>
        <v>Еще фото</v>
      </c>
      <c r="F1402" s="14"/>
      <c r="G1402" s="25" t="s">
        <v>2138</v>
      </c>
      <c r="H1402" s="25" t="s">
        <v>69</v>
      </c>
      <c r="I1402" s="25" t="s">
        <v>713</v>
      </c>
      <c r="J1402" s="15" t="s">
        <v>162</v>
      </c>
      <c r="K1402" s="16" t="s">
        <v>45</v>
      </c>
      <c r="L1402" s="84"/>
      <c r="M1402" s="15"/>
      <c r="N1402" s="15" t="s">
        <v>173</v>
      </c>
      <c r="O1402" s="15"/>
      <c r="P1402" s="16" t="s">
        <v>2055</v>
      </c>
      <c r="Q1402" s="17">
        <v>2799</v>
      </c>
      <c r="R1402" s="18">
        <v>49.7</v>
      </c>
      <c r="S1402" s="19">
        <v>1618.9354999999998</v>
      </c>
      <c r="T1402" s="20" t="s">
        <v>75</v>
      </c>
      <c r="U1402" s="21" t="s">
        <v>2043</v>
      </c>
      <c r="V1402" s="22" t="s">
        <v>2044</v>
      </c>
      <c r="W1402" s="23">
        <v>8</v>
      </c>
      <c r="X1402" s="24"/>
    </row>
    <row r="1403" spans="1:24" s="1" customFormat="1" ht="52.05" customHeight="1" x14ac:dyDescent="0.3">
      <c r="A1403" s="11" t="s">
        <v>1986</v>
      </c>
      <c r="B1403" s="11" t="s">
        <v>2037</v>
      </c>
      <c r="C1403" s="12" t="s">
        <v>2140</v>
      </c>
      <c r="D1403" s="81"/>
      <c r="E1403" s="67" t="str">
        <f>HYPERLINK("https://www.google.ru/search?q=C225W-20&amp;newwindow=1&amp;tbm=isch","Еще фото")</f>
        <v>Еще фото</v>
      </c>
      <c r="F1403" s="14"/>
      <c r="G1403" s="11" t="s">
        <v>2039</v>
      </c>
      <c r="H1403" s="11" t="s">
        <v>69</v>
      </c>
      <c r="I1403" s="15" t="s">
        <v>713</v>
      </c>
      <c r="J1403" s="15" t="s">
        <v>1990</v>
      </c>
      <c r="K1403" s="16" t="s">
        <v>29</v>
      </c>
      <c r="L1403" s="83" t="s">
        <v>2040</v>
      </c>
      <c r="M1403" s="15"/>
      <c r="N1403" s="15" t="s">
        <v>218</v>
      </c>
      <c r="O1403" s="15"/>
      <c r="P1403" s="16" t="s">
        <v>2041</v>
      </c>
      <c r="Q1403" s="17">
        <v>6309</v>
      </c>
      <c r="R1403" s="18">
        <v>49</v>
      </c>
      <c r="S1403" s="19">
        <v>3700.4354999999996</v>
      </c>
      <c r="T1403" s="20" t="s">
        <v>75</v>
      </c>
      <c r="U1403" s="21" t="s">
        <v>2000</v>
      </c>
      <c r="V1403" s="22" t="s">
        <v>2056</v>
      </c>
      <c r="W1403" s="23">
        <v>3</v>
      </c>
      <c r="X1403" s="24"/>
    </row>
    <row r="1404" spans="1:24" s="1" customFormat="1" ht="61.05" customHeight="1" x14ac:dyDescent="0.3">
      <c r="A1404" s="25" t="s">
        <v>1986</v>
      </c>
      <c r="B1404" s="25" t="s">
        <v>2037</v>
      </c>
      <c r="C1404" s="12" t="s">
        <v>2140</v>
      </c>
      <c r="D1404" s="82"/>
      <c r="E1404" s="67" t="str">
        <f>HYPERLINK("https://www.google.ru/search?q=C225W-20&amp;newwindow=1&amp;tbm=isch","Еще фото")</f>
        <v>Еще фото</v>
      </c>
      <c r="F1404" s="14"/>
      <c r="G1404" s="25" t="s">
        <v>2039</v>
      </c>
      <c r="H1404" s="25" t="s">
        <v>69</v>
      </c>
      <c r="I1404" s="25" t="s">
        <v>713</v>
      </c>
      <c r="J1404" s="15" t="s">
        <v>1990</v>
      </c>
      <c r="K1404" s="16" t="s">
        <v>29</v>
      </c>
      <c r="L1404" s="84"/>
      <c r="M1404" s="15"/>
      <c r="N1404" s="15" t="s">
        <v>218</v>
      </c>
      <c r="O1404" s="15"/>
      <c r="P1404" s="16" t="s">
        <v>2041</v>
      </c>
      <c r="Q1404" s="17">
        <v>6309</v>
      </c>
      <c r="R1404" s="18">
        <v>49</v>
      </c>
      <c r="S1404" s="19">
        <v>3700.4354999999996</v>
      </c>
      <c r="T1404" s="20" t="s">
        <v>75</v>
      </c>
      <c r="U1404" s="21" t="s">
        <v>2001</v>
      </c>
      <c r="V1404" s="22" t="s">
        <v>2051</v>
      </c>
      <c r="W1404" s="23">
        <v>1</v>
      </c>
      <c r="X1404" s="24"/>
    </row>
    <row r="1405" spans="1:24" s="1" customFormat="1" ht="52.05" customHeight="1" x14ac:dyDescent="0.3">
      <c r="A1405" s="11" t="s">
        <v>1986</v>
      </c>
      <c r="B1405" s="11" t="s">
        <v>2045</v>
      </c>
      <c r="C1405" s="12" t="s">
        <v>2141</v>
      </c>
      <c r="D1405" s="81"/>
      <c r="E1405" s="67" t="str">
        <f>HYPERLINK("https://www.google.ru/search?q=C1UUW-5&amp;newwindow=1&amp;tbm=isch","Еще фото")</f>
        <v>Еще фото</v>
      </c>
      <c r="F1405" s="14"/>
      <c r="G1405" s="11" t="s">
        <v>2059</v>
      </c>
      <c r="H1405" s="11" t="s">
        <v>69</v>
      </c>
      <c r="I1405" s="15" t="s">
        <v>713</v>
      </c>
      <c r="J1405" s="15" t="s">
        <v>28</v>
      </c>
      <c r="K1405" s="16" t="s">
        <v>29</v>
      </c>
      <c r="L1405" s="83" t="s">
        <v>2142</v>
      </c>
      <c r="M1405" s="15"/>
      <c r="N1405" s="15" t="s">
        <v>38</v>
      </c>
      <c r="O1405" s="15" t="s">
        <v>400</v>
      </c>
      <c r="P1405" s="16" t="s">
        <v>1998</v>
      </c>
      <c r="Q1405" s="17">
        <v>6799</v>
      </c>
      <c r="R1405" s="18">
        <v>49</v>
      </c>
      <c r="S1405" s="19">
        <v>3987.9354999999996</v>
      </c>
      <c r="T1405" s="20" t="s">
        <v>75</v>
      </c>
      <c r="U1405" s="21" t="s">
        <v>2000</v>
      </c>
      <c r="V1405" s="22" t="s">
        <v>2056</v>
      </c>
      <c r="W1405" s="23">
        <v>13</v>
      </c>
      <c r="X1405" s="24"/>
    </row>
    <row r="1406" spans="1:24" s="1" customFormat="1" ht="61.05" customHeight="1" x14ac:dyDescent="0.3">
      <c r="A1406" s="25" t="s">
        <v>1986</v>
      </c>
      <c r="B1406" s="25" t="s">
        <v>2045</v>
      </c>
      <c r="C1406" s="12" t="s">
        <v>2141</v>
      </c>
      <c r="D1406" s="82"/>
      <c r="E1406" s="67" t="str">
        <f>HYPERLINK("https://www.google.ru/search?q=C1UUW-5&amp;newwindow=1&amp;tbm=isch","Еще фото")</f>
        <v>Еще фото</v>
      </c>
      <c r="F1406" s="14"/>
      <c r="G1406" s="25" t="s">
        <v>2059</v>
      </c>
      <c r="H1406" s="25" t="s">
        <v>69</v>
      </c>
      <c r="I1406" s="25" t="s">
        <v>713</v>
      </c>
      <c r="J1406" s="15" t="s">
        <v>28</v>
      </c>
      <c r="K1406" s="16" t="s">
        <v>29</v>
      </c>
      <c r="L1406" s="84"/>
      <c r="M1406" s="15"/>
      <c r="N1406" s="15" t="s">
        <v>38</v>
      </c>
      <c r="O1406" s="15" t="s">
        <v>400</v>
      </c>
      <c r="P1406" s="16" t="s">
        <v>1998</v>
      </c>
      <c r="Q1406" s="17">
        <v>6799</v>
      </c>
      <c r="R1406" s="18">
        <v>49</v>
      </c>
      <c r="S1406" s="19">
        <v>3987.9354999999996</v>
      </c>
      <c r="T1406" s="20" t="s">
        <v>75</v>
      </c>
      <c r="U1406" s="21" t="s">
        <v>2001</v>
      </c>
      <c r="V1406" s="22" t="s">
        <v>2051</v>
      </c>
      <c r="W1406" s="23">
        <v>4</v>
      </c>
      <c r="X1406" s="24"/>
    </row>
    <row r="1407" spans="1:24" s="1" customFormat="1" ht="35" customHeight="1" x14ac:dyDescent="0.3">
      <c r="A1407" s="11" t="s">
        <v>1986</v>
      </c>
      <c r="B1407" s="11" t="s">
        <v>2143</v>
      </c>
      <c r="C1407" s="12" t="s">
        <v>2144</v>
      </c>
      <c r="D1407" s="85"/>
      <c r="E1407" s="67" t="str">
        <f>HYPERLINK("https://www.google.ru/search?q=C1UUW-S3&amp;newwindow=1&amp;tbm=isch","Еще фото")</f>
        <v>Еще фото</v>
      </c>
      <c r="F1407" s="14"/>
      <c r="G1407" s="11" t="s">
        <v>2145</v>
      </c>
      <c r="H1407" s="11" t="s">
        <v>69</v>
      </c>
      <c r="I1407" s="15" t="s">
        <v>713</v>
      </c>
      <c r="J1407" s="15" t="s">
        <v>162</v>
      </c>
      <c r="K1407" s="16" t="s">
        <v>29</v>
      </c>
      <c r="L1407" s="83" t="s">
        <v>2146</v>
      </c>
      <c r="M1407" s="15"/>
      <c r="N1407" s="15" t="s">
        <v>31</v>
      </c>
      <c r="O1407" s="15"/>
      <c r="P1407" s="16" t="s">
        <v>1998</v>
      </c>
      <c r="Q1407" s="17">
        <v>6799</v>
      </c>
      <c r="R1407" s="18">
        <v>49</v>
      </c>
      <c r="S1407" s="19">
        <v>3987.9354999999996</v>
      </c>
      <c r="T1407" s="20" t="s">
        <v>75</v>
      </c>
      <c r="U1407" s="21" t="s">
        <v>1999</v>
      </c>
      <c r="V1407" s="22" t="s">
        <v>2050</v>
      </c>
      <c r="W1407" s="23">
        <v>1</v>
      </c>
      <c r="X1407" s="24"/>
    </row>
    <row r="1408" spans="1:24" s="1" customFormat="1" ht="35" customHeight="1" x14ac:dyDescent="0.3">
      <c r="A1408" s="25" t="s">
        <v>1986</v>
      </c>
      <c r="B1408" s="25" t="s">
        <v>2143</v>
      </c>
      <c r="C1408" s="12" t="s">
        <v>2144</v>
      </c>
      <c r="D1408" s="86"/>
      <c r="E1408" s="67" t="str">
        <f>HYPERLINK("https://www.google.ru/search?q=C1UUW-S3&amp;newwindow=1&amp;tbm=isch","Еще фото")</f>
        <v>Еще фото</v>
      </c>
      <c r="F1408" s="14"/>
      <c r="G1408" s="25" t="s">
        <v>2145</v>
      </c>
      <c r="H1408" s="25" t="s">
        <v>69</v>
      </c>
      <c r="I1408" s="25" t="s">
        <v>713</v>
      </c>
      <c r="J1408" s="15" t="s">
        <v>162</v>
      </c>
      <c r="K1408" s="16" t="s">
        <v>29</v>
      </c>
      <c r="L1408" s="88"/>
      <c r="M1408" s="15"/>
      <c r="N1408" s="15" t="s">
        <v>31</v>
      </c>
      <c r="O1408" s="15"/>
      <c r="P1408" s="16" t="s">
        <v>1998</v>
      </c>
      <c r="Q1408" s="17">
        <v>6799</v>
      </c>
      <c r="R1408" s="18">
        <v>49</v>
      </c>
      <c r="S1408" s="19">
        <v>3987.9354999999996</v>
      </c>
      <c r="T1408" s="20" t="s">
        <v>75</v>
      </c>
      <c r="U1408" s="21" t="s">
        <v>2000</v>
      </c>
      <c r="V1408" s="22" t="s">
        <v>2056</v>
      </c>
      <c r="W1408" s="23">
        <v>8</v>
      </c>
      <c r="X1408" s="24"/>
    </row>
    <row r="1409" spans="1:24" s="1" customFormat="1" ht="37.049999999999997" customHeight="1" x14ac:dyDescent="0.3">
      <c r="A1409" s="25" t="s">
        <v>1986</v>
      </c>
      <c r="B1409" s="25" t="s">
        <v>2143</v>
      </c>
      <c r="C1409" s="12" t="s">
        <v>2144</v>
      </c>
      <c r="D1409" s="87"/>
      <c r="E1409" s="67" t="str">
        <f>HYPERLINK("https://www.google.ru/search?q=C1UUW-S3&amp;newwindow=1&amp;tbm=isch","Еще фото")</f>
        <v>Еще фото</v>
      </c>
      <c r="F1409" s="14"/>
      <c r="G1409" s="25" t="s">
        <v>2145</v>
      </c>
      <c r="H1409" s="25" t="s">
        <v>69</v>
      </c>
      <c r="I1409" s="25" t="s">
        <v>713</v>
      </c>
      <c r="J1409" s="15" t="s">
        <v>162</v>
      </c>
      <c r="K1409" s="16" t="s">
        <v>29</v>
      </c>
      <c r="L1409" s="84"/>
      <c r="M1409" s="15"/>
      <c r="N1409" s="15" t="s">
        <v>31</v>
      </c>
      <c r="O1409" s="15"/>
      <c r="P1409" s="16" t="s">
        <v>1998</v>
      </c>
      <c r="Q1409" s="17">
        <v>6799</v>
      </c>
      <c r="R1409" s="18">
        <v>49</v>
      </c>
      <c r="S1409" s="19">
        <v>3987.9354999999996</v>
      </c>
      <c r="T1409" s="20" t="s">
        <v>75</v>
      </c>
      <c r="U1409" s="21" t="s">
        <v>2001</v>
      </c>
      <c r="V1409" s="22" t="s">
        <v>2051</v>
      </c>
      <c r="W1409" s="23">
        <v>2</v>
      </c>
      <c r="X1409" s="24"/>
    </row>
    <row r="1410" spans="1:24" s="1" customFormat="1" ht="52.05" customHeight="1" x14ac:dyDescent="0.3">
      <c r="A1410" s="11" t="s">
        <v>1986</v>
      </c>
      <c r="B1410" s="11" t="s">
        <v>2057</v>
      </c>
      <c r="C1410" s="12" t="s">
        <v>2147</v>
      </c>
      <c r="D1410" s="81"/>
      <c r="E1410" s="67" t="str">
        <f>HYPERLINK("https://www.google.ru/search?q=C1UUM-0-1&amp;newwindow=1&amp;tbm=isch","Еще фото")</f>
        <v>Еще фото</v>
      </c>
      <c r="F1410" s="14"/>
      <c r="G1410" s="11" t="s">
        <v>2059</v>
      </c>
      <c r="H1410" s="11" t="s">
        <v>69</v>
      </c>
      <c r="I1410" s="15" t="s">
        <v>713</v>
      </c>
      <c r="J1410" s="15" t="s">
        <v>162</v>
      </c>
      <c r="K1410" s="16" t="s">
        <v>45</v>
      </c>
      <c r="L1410" s="83" t="s">
        <v>2132</v>
      </c>
      <c r="M1410" s="15"/>
      <c r="N1410" s="15" t="s">
        <v>173</v>
      </c>
      <c r="O1410" s="15"/>
      <c r="P1410" s="16" t="s">
        <v>1998</v>
      </c>
      <c r="Q1410" s="17">
        <v>6799</v>
      </c>
      <c r="R1410" s="18">
        <v>48.85</v>
      </c>
      <c r="S1410" s="19">
        <v>3999.4354999999996</v>
      </c>
      <c r="T1410" s="20" t="s">
        <v>75</v>
      </c>
      <c r="U1410" s="21" t="s">
        <v>2000</v>
      </c>
      <c r="V1410" s="22" t="s">
        <v>2042</v>
      </c>
      <c r="W1410" s="23">
        <v>7</v>
      </c>
      <c r="X1410" s="24"/>
    </row>
    <row r="1411" spans="1:24" s="1" customFormat="1" ht="61.05" customHeight="1" x14ac:dyDescent="0.3">
      <c r="A1411" s="25" t="s">
        <v>1986</v>
      </c>
      <c r="B1411" s="25" t="s">
        <v>2057</v>
      </c>
      <c r="C1411" s="12" t="s">
        <v>2147</v>
      </c>
      <c r="D1411" s="82"/>
      <c r="E1411" s="67" t="str">
        <f>HYPERLINK("https://www.google.ru/search?q=C1UUM-0-1&amp;newwindow=1&amp;tbm=isch","Еще фото")</f>
        <v>Еще фото</v>
      </c>
      <c r="F1411" s="14"/>
      <c r="G1411" s="25" t="s">
        <v>2059</v>
      </c>
      <c r="H1411" s="25" t="s">
        <v>69</v>
      </c>
      <c r="I1411" s="25" t="s">
        <v>713</v>
      </c>
      <c r="J1411" s="15" t="s">
        <v>162</v>
      </c>
      <c r="K1411" s="16" t="s">
        <v>45</v>
      </c>
      <c r="L1411" s="84"/>
      <c r="M1411" s="15"/>
      <c r="N1411" s="15" t="s">
        <v>173</v>
      </c>
      <c r="O1411" s="15"/>
      <c r="P1411" s="16" t="s">
        <v>1998</v>
      </c>
      <c r="Q1411" s="17">
        <v>6799</v>
      </c>
      <c r="R1411" s="18">
        <v>48.85</v>
      </c>
      <c r="S1411" s="19">
        <v>3999.4354999999996</v>
      </c>
      <c r="T1411" s="20" t="s">
        <v>75</v>
      </c>
      <c r="U1411" s="21" t="s">
        <v>2001</v>
      </c>
      <c r="V1411" s="22" t="s">
        <v>35</v>
      </c>
      <c r="W1411" s="23">
        <v>8</v>
      </c>
      <c r="X1411" s="24"/>
    </row>
    <row r="1412" spans="1:24" s="1" customFormat="1" ht="35" customHeight="1" x14ac:dyDescent="0.3">
      <c r="A1412" s="11" t="s">
        <v>1986</v>
      </c>
      <c r="B1412" s="11" t="s">
        <v>2045</v>
      </c>
      <c r="C1412" s="12" t="s">
        <v>2148</v>
      </c>
      <c r="D1412" s="85"/>
      <c r="E1412" s="67" t="str">
        <f>HYPERLINK("https://www.google.ru/search?q=C0UUW-0-1&amp;newwindow=1&amp;tbm=isch","Еще фото")</f>
        <v>Еще фото</v>
      </c>
      <c r="F1412" s="14"/>
      <c r="G1412" s="11" t="s">
        <v>2053</v>
      </c>
      <c r="H1412" s="11" t="s">
        <v>69</v>
      </c>
      <c r="I1412" s="15" t="s">
        <v>713</v>
      </c>
      <c r="J1412" s="15" t="s">
        <v>162</v>
      </c>
      <c r="K1412" s="16" t="s">
        <v>29</v>
      </c>
      <c r="L1412" s="83" t="s">
        <v>2054</v>
      </c>
      <c r="M1412" s="15"/>
      <c r="N1412" s="15" t="s">
        <v>173</v>
      </c>
      <c r="O1412" s="15"/>
      <c r="P1412" s="16" t="s">
        <v>2055</v>
      </c>
      <c r="Q1412" s="17">
        <v>2799</v>
      </c>
      <c r="R1412" s="18">
        <v>48.63</v>
      </c>
      <c r="S1412" s="19">
        <v>1653.4354999999998</v>
      </c>
      <c r="T1412" s="20" t="s">
        <v>75</v>
      </c>
      <c r="U1412" s="21" t="s">
        <v>1999</v>
      </c>
      <c r="V1412" s="22" t="s">
        <v>2050</v>
      </c>
      <c r="W1412" s="23">
        <v>5</v>
      </c>
      <c r="X1412" s="24"/>
    </row>
    <row r="1413" spans="1:24" s="1" customFormat="1" ht="35" customHeight="1" x14ac:dyDescent="0.3">
      <c r="A1413" s="25" t="s">
        <v>1986</v>
      </c>
      <c r="B1413" s="25" t="s">
        <v>2045</v>
      </c>
      <c r="C1413" s="12" t="s">
        <v>2148</v>
      </c>
      <c r="D1413" s="86"/>
      <c r="E1413" s="67" t="str">
        <f>HYPERLINK("https://www.google.ru/search?q=C0UUW-0-1&amp;newwindow=1&amp;tbm=isch","Еще фото")</f>
        <v>Еще фото</v>
      </c>
      <c r="F1413" s="14"/>
      <c r="G1413" s="25" t="s">
        <v>2053</v>
      </c>
      <c r="H1413" s="25" t="s">
        <v>69</v>
      </c>
      <c r="I1413" s="25" t="s">
        <v>713</v>
      </c>
      <c r="J1413" s="15" t="s">
        <v>162</v>
      </c>
      <c r="K1413" s="16" t="s">
        <v>29</v>
      </c>
      <c r="L1413" s="88"/>
      <c r="M1413" s="15"/>
      <c r="N1413" s="15" t="s">
        <v>173</v>
      </c>
      <c r="O1413" s="15"/>
      <c r="P1413" s="16" t="s">
        <v>2055</v>
      </c>
      <c r="Q1413" s="17">
        <v>2799</v>
      </c>
      <c r="R1413" s="18">
        <v>48.63</v>
      </c>
      <c r="S1413" s="19">
        <v>1653.4354999999998</v>
      </c>
      <c r="T1413" s="20" t="s">
        <v>75</v>
      </c>
      <c r="U1413" s="21" t="s">
        <v>2000</v>
      </c>
      <c r="V1413" s="22" t="s">
        <v>2056</v>
      </c>
      <c r="W1413" s="23">
        <v>22</v>
      </c>
      <c r="X1413" s="24"/>
    </row>
    <row r="1414" spans="1:24" s="1" customFormat="1" ht="37.049999999999997" customHeight="1" x14ac:dyDescent="0.3">
      <c r="A1414" s="25" t="s">
        <v>1986</v>
      </c>
      <c r="B1414" s="25" t="s">
        <v>2045</v>
      </c>
      <c r="C1414" s="12" t="s">
        <v>2148</v>
      </c>
      <c r="D1414" s="87"/>
      <c r="E1414" s="67" t="str">
        <f>HYPERLINK("https://www.google.ru/search?q=C0UUW-0-1&amp;newwindow=1&amp;tbm=isch","Еще фото")</f>
        <v>Еще фото</v>
      </c>
      <c r="F1414" s="14"/>
      <c r="G1414" s="25" t="s">
        <v>2053</v>
      </c>
      <c r="H1414" s="25" t="s">
        <v>69</v>
      </c>
      <c r="I1414" s="25" t="s">
        <v>713</v>
      </c>
      <c r="J1414" s="15" t="s">
        <v>162</v>
      </c>
      <c r="K1414" s="16" t="s">
        <v>29</v>
      </c>
      <c r="L1414" s="84"/>
      <c r="M1414" s="15"/>
      <c r="N1414" s="15" t="s">
        <v>173</v>
      </c>
      <c r="O1414" s="15"/>
      <c r="P1414" s="16" t="s">
        <v>2055</v>
      </c>
      <c r="Q1414" s="17">
        <v>2799</v>
      </c>
      <c r="R1414" s="18">
        <v>48.63</v>
      </c>
      <c r="S1414" s="19">
        <v>1653.4354999999998</v>
      </c>
      <c r="T1414" s="20" t="s">
        <v>75</v>
      </c>
      <c r="U1414" s="21" t="s">
        <v>2001</v>
      </c>
      <c r="V1414" s="22" t="s">
        <v>2051</v>
      </c>
      <c r="W1414" s="23">
        <v>10</v>
      </c>
      <c r="X1414" s="24"/>
    </row>
    <row r="1415" spans="1:24" s="1" customFormat="1" ht="35" customHeight="1" x14ac:dyDescent="0.3">
      <c r="A1415" s="11" t="s">
        <v>1986</v>
      </c>
      <c r="B1415" s="11" t="s">
        <v>2045</v>
      </c>
      <c r="C1415" s="12" t="s">
        <v>2149</v>
      </c>
      <c r="D1415" s="85"/>
      <c r="E1415" s="67" t="str">
        <f>HYPERLINK("https://www.google.ru/search?q=C09UUM-5-1&amp;newwindow=1&amp;tbm=isch","Еще фото")</f>
        <v>Еще фото</v>
      </c>
      <c r="F1415" s="14"/>
      <c r="G1415" s="11" t="s">
        <v>2062</v>
      </c>
      <c r="H1415" s="11" t="s">
        <v>69</v>
      </c>
      <c r="I1415" s="15" t="s">
        <v>713</v>
      </c>
      <c r="J1415" s="15" t="s">
        <v>162</v>
      </c>
      <c r="K1415" s="16" t="s">
        <v>45</v>
      </c>
      <c r="L1415" s="83" t="s">
        <v>2150</v>
      </c>
      <c r="M1415" s="15"/>
      <c r="N1415" s="15" t="s">
        <v>38</v>
      </c>
      <c r="O1415" s="15"/>
      <c r="P1415" s="16" t="s">
        <v>2055</v>
      </c>
      <c r="Q1415" s="17">
        <v>2799</v>
      </c>
      <c r="R1415" s="18">
        <v>46.85</v>
      </c>
      <c r="S1415" s="19">
        <v>1710.9354999999998</v>
      </c>
      <c r="T1415" s="20" t="s">
        <v>75</v>
      </c>
      <c r="U1415" s="21" t="s">
        <v>2000</v>
      </c>
      <c r="V1415" s="22" t="s">
        <v>2042</v>
      </c>
      <c r="W1415" s="23">
        <v>15</v>
      </c>
      <c r="X1415" s="24"/>
    </row>
    <row r="1416" spans="1:24" s="1" customFormat="1" ht="35" customHeight="1" x14ac:dyDescent="0.3">
      <c r="A1416" s="25" t="s">
        <v>1986</v>
      </c>
      <c r="B1416" s="25" t="s">
        <v>2045</v>
      </c>
      <c r="C1416" s="12" t="s">
        <v>2149</v>
      </c>
      <c r="D1416" s="86"/>
      <c r="E1416" s="67" t="str">
        <f>HYPERLINK("https://www.google.ru/search?q=C09UUM-5-1&amp;newwindow=1&amp;tbm=isch","Еще фото")</f>
        <v>Еще фото</v>
      </c>
      <c r="F1416" s="14"/>
      <c r="G1416" s="25" t="s">
        <v>2062</v>
      </c>
      <c r="H1416" s="25" t="s">
        <v>69</v>
      </c>
      <c r="I1416" s="25" t="s">
        <v>713</v>
      </c>
      <c r="J1416" s="15" t="s">
        <v>162</v>
      </c>
      <c r="K1416" s="16" t="s">
        <v>45</v>
      </c>
      <c r="L1416" s="88"/>
      <c r="M1416" s="15"/>
      <c r="N1416" s="15" t="s">
        <v>38</v>
      </c>
      <c r="O1416" s="15"/>
      <c r="P1416" s="16" t="s">
        <v>2055</v>
      </c>
      <c r="Q1416" s="17">
        <v>2799</v>
      </c>
      <c r="R1416" s="18">
        <v>46.85</v>
      </c>
      <c r="S1416" s="19">
        <v>1710.9354999999998</v>
      </c>
      <c r="T1416" s="20" t="s">
        <v>75</v>
      </c>
      <c r="U1416" s="21" t="s">
        <v>2001</v>
      </c>
      <c r="V1416" s="22" t="s">
        <v>35</v>
      </c>
      <c r="W1416" s="23">
        <v>2</v>
      </c>
      <c r="X1416" s="24"/>
    </row>
    <row r="1417" spans="1:24" s="1" customFormat="1" ht="37.049999999999997" customHeight="1" x14ac:dyDescent="0.3">
      <c r="A1417" s="25" t="s">
        <v>1986</v>
      </c>
      <c r="B1417" s="25" t="s">
        <v>2045</v>
      </c>
      <c r="C1417" s="12" t="s">
        <v>2149</v>
      </c>
      <c r="D1417" s="87"/>
      <c r="E1417" s="67" t="str">
        <f>HYPERLINK("https://www.google.ru/search?q=C09UUM-5-1&amp;newwindow=1&amp;tbm=isch","Еще фото")</f>
        <v>Еще фото</v>
      </c>
      <c r="F1417" s="14"/>
      <c r="G1417" s="25" t="s">
        <v>2062</v>
      </c>
      <c r="H1417" s="25" t="s">
        <v>69</v>
      </c>
      <c r="I1417" s="25" t="s">
        <v>713</v>
      </c>
      <c r="J1417" s="15" t="s">
        <v>162</v>
      </c>
      <c r="K1417" s="16" t="s">
        <v>45</v>
      </c>
      <c r="L1417" s="84"/>
      <c r="M1417" s="15"/>
      <c r="N1417" s="15" t="s">
        <v>38</v>
      </c>
      <c r="O1417" s="15"/>
      <c r="P1417" s="16" t="s">
        <v>2055</v>
      </c>
      <c r="Q1417" s="17">
        <v>2799</v>
      </c>
      <c r="R1417" s="18">
        <v>46.85</v>
      </c>
      <c r="S1417" s="19">
        <v>1710.9354999999998</v>
      </c>
      <c r="T1417" s="20" t="s">
        <v>75</v>
      </c>
      <c r="U1417" s="21" t="s">
        <v>2043</v>
      </c>
      <c r="V1417" s="22" t="s">
        <v>2044</v>
      </c>
      <c r="W1417" s="23">
        <v>6</v>
      </c>
      <c r="X1417" s="24"/>
    </row>
    <row r="1418" spans="1:24" s="1" customFormat="1" ht="35" customHeight="1" x14ac:dyDescent="0.3">
      <c r="A1418" s="11" t="s">
        <v>1986</v>
      </c>
      <c r="B1418" s="11" t="s">
        <v>2045</v>
      </c>
      <c r="C1418" s="12" t="s">
        <v>2151</v>
      </c>
      <c r="D1418" s="85"/>
      <c r="E1418" s="67" t="str">
        <f>HYPERLINK("https://www.google.ru/search?q=C09UUW-0-1&amp;newwindow=1&amp;tbm=isch","Еще фото")</f>
        <v>Еще фото</v>
      </c>
      <c r="F1418" s="14"/>
      <c r="G1418" s="11" t="s">
        <v>2053</v>
      </c>
      <c r="H1418" s="11" t="s">
        <v>69</v>
      </c>
      <c r="I1418" s="15" t="s">
        <v>713</v>
      </c>
      <c r="J1418" s="15" t="s">
        <v>162</v>
      </c>
      <c r="K1418" s="16" t="s">
        <v>29</v>
      </c>
      <c r="L1418" s="83" t="s">
        <v>2067</v>
      </c>
      <c r="M1418" s="15"/>
      <c r="N1418" s="15" t="s">
        <v>173</v>
      </c>
      <c r="O1418" s="15"/>
      <c r="P1418" s="16" t="s">
        <v>2055</v>
      </c>
      <c r="Q1418" s="17">
        <v>2799</v>
      </c>
      <c r="R1418" s="18">
        <v>46.85</v>
      </c>
      <c r="S1418" s="19">
        <v>1710.9354999999998</v>
      </c>
      <c r="T1418" s="20" t="s">
        <v>75</v>
      </c>
      <c r="U1418" s="21" t="s">
        <v>1999</v>
      </c>
      <c r="V1418" s="22" t="s">
        <v>2050</v>
      </c>
      <c r="W1418" s="23">
        <v>3</v>
      </c>
      <c r="X1418" s="24"/>
    </row>
    <row r="1419" spans="1:24" s="1" customFormat="1" ht="35" customHeight="1" x14ac:dyDescent="0.3">
      <c r="A1419" s="25" t="s">
        <v>1986</v>
      </c>
      <c r="B1419" s="25" t="s">
        <v>2045</v>
      </c>
      <c r="C1419" s="12" t="s">
        <v>2151</v>
      </c>
      <c r="D1419" s="86"/>
      <c r="E1419" s="67" t="str">
        <f>HYPERLINK("https://www.google.ru/search?q=C09UUW-0-1&amp;newwindow=1&amp;tbm=isch","Еще фото")</f>
        <v>Еще фото</v>
      </c>
      <c r="F1419" s="14"/>
      <c r="G1419" s="25" t="s">
        <v>2053</v>
      </c>
      <c r="H1419" s="25" t="s">
        <v>69</v>
      </c>
      <c r="I1419" s="25" t="s">
        <v>713</v>
      </c>
      <c r="J1419" s="15" t="s">
        <v>162</v>
      </c>
      <c r="K1419" s="16" t="s">
        <v>29</v>
      </c>
      <c r="L1419" s="88"/>
      <c r="M1419" s="15"/>
      <c r="N1419" s="15" t="s">
        <v>173</v>
      </c>
      <c r="O1419" s="15"/>
      <c r="P1419" s="16" t="s">
        <v>2055</v>
      </c>
      <c r="Q1419" s="17">
        <v>2799</v>
      </c>
      <c r="R1419" s="18">
        <v>46.85</v>
      </c>
      <c r="S1419" s="19">
        <v>1710.9354999999998</v>
      </c>
      <c r="T1419" s="20" t="s">
        <v>75</v>
      </c>
      <c r="U1419" s="21" t="s">
        <v>2000</v>
      </c>
      <c r="V1419" s="22" t="s">
        <v>2056</v>
      </c>
      <c r="W1419" s="23">
        <v>12</v>
      </c>
      <c r="X1419" s="24"/>
    </row>
    <row r="1420" spans="1:24" s="1" customFormat="1" ht="37.049999999999997" customHeight="1" x14ac:dyDescent="0.3">
      <c r="A1420" s="25" t="s">
        <v>1986</v>
      </c>
      <c r="B1420" s="25" t="s">
        <v>2045</v>
      </c>
      <c r="C1420" s="12" t="s">
        <v>2151</v>
      </c>
      <c r="D1420" s="87"/>
      <c r="E1420" s="67" t="str">
        <f>HYPERLINK("https://www.google.ru/search?q=C09UUW-0-1&amp;newwindow=1&amp;tbm=isch","Еще фото")</f>
        <v>Еще фото</v>
      </c>
      <c r="F1420" s="14"/>
      <c r="G1420" s="25" t="s">
        <v>2053</v>
      </c>
      <c r="H1420" s="25" t="s">
        <v>69</v>
      </c>
      <c r="I1420" s="25" t="s">
        <v>713</v>
      </c>
      <c r="J1420" s="15" t="s">
        <v>162</v>
      </c>
      <c r="K1420" s="16" t="s">
        <v>29</v>
      </c>
      <c r="L1420" s="84"/>
      <c r="M1420" s="15"/>
      <c r="N1420" s="15" t="s">
        <v>173</v>
      </c>
      <c r="O1420" s="15"/>
      <c r="P1420" s="16" t="s">
        <v>2055</v>
      </c>
      <c r="Q1420" s="17">
        <v>2799</v>
      </c>
      <c r="R1420" s="18">
        <v>46.85</v>
      </c>
      <c r="S1420" s="19">
        <v>1710.9354999999998</v>
      </c>
      <c r="T1420" s="20" t="s">
        <v>75</v>
      </c>
      <c r="U1420" s="21" t="s">
        <v>2001</v>
      </c>
      <c r="V1420" s="22" t="s">
        <v>2051</v>
      </c>
      <c r="W1420" s="23">
        <v>11</v>
      </c>
      <c r="X1420" s="24"/>
    </row>
    <row r="1421" spans="1:24" s="1" customFormat="1" ht="35" customHeight="1" x14ac:dyDescent="0.3">
      <c r="A1421" s="11" t="s">
        <v>1986</v>
      </c>
      <c r="B1421" s="11" t="s">
        <v>2077</v>
      </c>
      <c r="C1421" s="12" t="s">
        <v>2152</v>
      </c>
      <c r="D1421" s="85"/>
      <c r="E1421" s="67" t="str">
        <f>HYPERLINK("https://www.google.ru/search?q=C005M-0&amp;newwindow=1&amp;tbm=isch","Еще фото")</f>
        <v>Еще фото</v>
      </c>
      <c r="F1421" s="14"/>
      <c r="G1421" s="11" t="s">
        <v>712</v>
      </c>
      <c r="H1421" s="11" t="s">
        <v>69</v>
      </c>
      <c r="I1421" s="15" t="s">
        <v>713</v>
      </c>
      <c r="J1421" s="15" t="s">
        <v>162</v>
      </c>
      <c r="K1421" s="16" t="s">
        <v>45</v>
      </c>
      <c r="L1421" s="83" t="s">
        <v>2153</v>
      </c>
      <c r="M1421" s="15"/>
      <c r="N1421" s="15" t="s">
        <v>173</v>
      </c>
      <c r="O1421" s="15"/>
      <c r="P1421" s="16" t="s">
        <v>2080</v>
      </c>
      <c r="Q1421" s="17">
        <v>2699</v>
      </c>
      <c r="R1421" s="18">
        <v>46.36</v>
      </c>
      <c r="S1421" s="19">
        <v>1664.9354999999998</v>
      </c>
      <c r="T1421" s="20" t="s">
        <v>75</v>
      </c>
      <c r="U1421" s="21" t="s">
        <v>2000</v>
      </c>
      <c r="V1421" s="22" t="s">
        <v>2042</v>
      </c>
      <c r="W1421" s="23">
        <v>7</v>
      </c>
      <c r="X1421" s="24"/>
    </row>
    <row r="1422" spans="1:24" s="1" customFormat="1" ht="35" customHeight="1" x14ac:dyDescent="0.3">
      <c r="A1422" s="25" t="s">
        <v>1986</v>
      </c>
      <c r="B1422" s="25" t="s">
        <v>2077</v>
      </c>
      <c r="C1422" s="12" t="s">
        <v>2152</v>
      </c>
      <c r="D1422" s="86"/>
      <c r="E1422" s="67" t="str">
        <f>HYPERLINK("https://www.google.ru/search?q=C005M-0&amp;newwindow=1&amp;tbm=isch","Еще фото")</f>
        <v>Еще фото</v>
      </c>
      <c r="F1422" s="14"/>
      <c r="G1422" s="25" t="s">
        <v>712</v>
      </c>
      <c r="H1422" s="25" t="s">
        <v>69</v>
      </c>
      <c r="I1422" s="25" t="s">
        <v>713</v>
      </c>
      <c r="J1422" s="15" t="s">
        <v>162</v>
      </c>
      <c r="K1422" s="16" t="s">
        <v>45</v>
      </c>
      <c r="L1422" s="88"/>
      <c r="M1422" s="15"/>
      <c r="N1422" s="15" t="s">
        <v>173</v>
      </c>
      <c r="O1422" s="15"/>
      <c r="P1422" s="16" t="s">
        <v>2080</v>
      </c>
      <c r="Q1422" s="17">
        <v>2699</v>
      </c>
      <c r="R1422" s="18">
        <v>46.36</v>
      </c>
      <c r="S1422" s="19">
        <v>1664.9354999999998</v>
      </c>
      <c r="T1422" s="20" t="s">
        <v>75</v>
      </c>
      <c r="U1422" s="21" t="s">
        <v>2001</v>
      </c>
      <c r="V1422" s="22" t="s">
        <v>35</v>
      </c>
      <c r="W1422" s="23">
        <v>6</v>
      </c>
      <c r="X1422" s="24"/>
    </row>
    <row r="1423" spans="1:24" s="1" customFormat="1" ht="37.049999999999997" customHeight="1" x14ac:dyDescent="0.3">
      <c r="A1423" s="25" t="s">
        <v>1986</v>
      </c>
      <c r="B1423" s="25" t="s">
        <v>2077</v>
      </c>
      <c r="C1423" s="12" t="s">
        <v>2152</v>
      </c>
      <c r="D1423" s="87"/>
      <c r="E1423" s="67" t="str">
        <f>HYPERLINK("https://www.google.ru/search?q=C005M-0&amp;newwindow=1&amp;tbm=isch","Еще фото")</f>
        <v>Еще фото</v>
      </c>
      <c r="F1423" s="14"/>
      <c r="G1423" s="25" t="s">
        <v>712</v>
      </c>
      <c r="H1423" s="25" t="s">
        <v>69</v>
      </c>
      <c r="I1423" s="25" t="s">
        <v>713</v>
      </c>
      <c r="J1423" s="15" t="s">
        <v>162</v>
      </c>
      <c r="K1423" s="16" t="s">
        <v>45</v>
      </c>
      <c r="L1423" s="84"/>
      <c r="M1423" s="15"/>
      <c r="N1423" s="15" t="s">
        <v>173</v>
      </c>
      <c r="O1423" s="15"/>
      <c r="P1423" s="16" t="s">
        <v>2080</v>
      </c>
      <c r="Q1423" s="17">
        <v>2699</v>
      </c>
      <c r="R1423" s="18">
        <v>46.36</v>
      </c>
      <c r="S1423" s="19">
        <v>1664.9354999999998</v>
      </c>
      <c r="T1423" s="20" t="s">
        <v>75</v>
      </c>
      <c r="U1423" s="21" t="s">
        <v>2043</v>
      </c>
      <c r="V1423" s="22" t="s">
        <v>2044</v>
      </c>
      <c r="W1423" s="23">
        <v>5</v>
      </c>
      <c r="X1423" s="24"/>
    </row>
    <row r="1424" spans="1:24" s="1" customFormat="1" ht="35" customHeight="1" x14ac:dyDescent="0.3">
      <c r="A1424" s="11" t="s">
        <v>1986</v>
      </c>
      <c r="B1424" s="11" t="s">
        <v>2106</v>
      </c>
      <c r="C1424" s="12" t="s">
        <v>2154</v>
      </c>
      <c r="D1424" s="85"/>
      <c r="E1424" s="67" t="str">
        <f>HYPERLINK("https://www.google.ru/search?q=C105M-5&amp;newwindow=1&amp;tbm=isch","Еще фото")</f>
        <v>Еще фото</v>
      </c>
      <c r="F1424" s="14"/>
      <c r="G1424" s="11" t="s">
        <v>712</v>
      </c>
      <c r="H1424" s="11" t="s">
        <v>69</v>
      </c>
      <c r="I1424" s="15" t="s">
        <v>713</v>
      </c>
      <c r="J1424" s="15" t="s">
        <v>162</v>
      </c>
      <c r="K1424" s="16" t="s">
        <v>45</v>
      </c>
      <c r="L1424" s="83" t="s">
        <v>2155</v>
      </c>
      <c r="M1424" s="15"/>
      <c r="N1424" s="15" t="s">
        <v>38</v>
      </c>
      <c r="O1424" s="15"/>
      <c r="P1424" s="16" t="s">
        <v>2109</v>
      </c>
      <c r="Q1424" s="17">
        <v>2999</v>
      </c>
      <c r="R1424" s="18">
        <v>46.06</v>
      </c>
      <c r="S1424" s="19">
        <v>1860.4354999999998</v>
      </c>
      <c r="T1424" s="20" t="s">
        <v>75</v>
      </c>
      <c r="U1424" s="21" t="s">
        <v>2000</v>
      </c>
      <c r="V1424" s="22" t="s">
        <v>2042</v>
      </c>
      <c r="W1424" s="23">
        <v>18</v>
      </c>
      <c r="X1424" s="24"/>
    </row>
    <row r="1425" spans="1:24" s="1" customFormat="1" ht="35" customHeight="1" x14ac:dyDescent="0.3">
      <c r="A1425" s="25" t="s">
        <v>1986</v>
      </c>
      <c r="B1425" s="25" t="s">
        <v>2106</v>
      </c>
      <c r="C1425" s="12" t="s">
        <v>2154</v>
      </c>
      <c r="D1425" s="86"/>
      <c r="E1425" s="67" t="str">
        <f>HYPERLINK("https://www.google.ru/search?q=C105M-5&amp;newwindow=1&amp;tbm=isch","Еще фото")</f>
        <v>Еще фото</v>
      </c>
      <c r="F1425" s="14"/>
      <c r="G1425" s="25" t="s">
        <v>712</v>
      </c>
      <c r="H1425" s="25" t="s">
        <v>69</v>
      </c>
      <c r="I1425" s="25" t="s">
        <v>713</v>
      </c>
      <c r="J1425" s="15" t="s">
        <v>162</v>
      </c>
      <c r="K1425" s="16" t="s">
        <v>45</v>
      </c>
      <c r="L1425" s="88"/>
      <c r="M1425" s="15"/>
      <c r="N1425" s="15" t="s">
        <v>38</v>
      </c>
      <c r="O1425" s="15"/>
      <c r="P1425" s="16" t="s">
        <v>2109</v>
      </c>
      <c r="Q1425" s="17">
        <v>2999</v>
      </c>
      <c r="R1425" s="18">
        <v>46.06</v>
      </c>
      <c r="S1425" s="19">
        <v>1860.4354999999998</v>
      </c>
      <c r="T1425" s="20" t="s">
        <v>75</v>
      </c>
      <c r="U1425" s="21" t="s">
        <v>2001</v>
      </c>
      <c r="V1425" s="22" t="s">
        <v>35</v>
      </c>
      <c r="W1425" s="23">
        <v>6</v>
      </c>
      <c r="X1425" s="24"/>
    </row>
    <row r="1426" spans="1:24" s="1" customFormat="1" ht="37.049999999999997" customHeight="1" x14ac:dyDescent="0.3">
      <c r="A1426" s="25" t="s">
        <v>1986</v>
      </c>
      <c r="B1426" s="25" t="s">
        <v>2106</v>
      </c>
      <c r="C1426" s="12" t="s">
        <v>2154</v>
      </c>
      <c r="D1426" s="87"/>
      <c r="E1426" s="67" t="str">
        <f>HYPERLINK("https://www.google.ru/search?q=C105M-5&amp;newwindow=1&amp;tbm=isch","Еще фото")</f>
        <v>Еще фото</v>
      </c>
      <c r="F1426" s="14"/>
      <c r="G1426" s="25" t="s">
        <v>712</v>
      </c>
      <c r="H1426" s="25" t="s">
        <v>69</v>
      </c>
      <c r="I1426" s="25" t="s">
        <v>713</v>
      </c>
      <c r="J1426" s="15" t="s">
        <v>162</v>
      </c>
      <c r="K1426" s="16" t="s">
        <v>45</v>
      </c>
      <c r="L1426" s="84"/>
      <c r="M1426" s="15"/>
      <c r="N1426" s="15" t="s">
        <v>38</v>
      </c>
      <c r="O1426" s="15"/>
      <c r="P1426" s="16" t="s">
        <v>2109</v>
      </c>
      <c r="Q1426" s="17">
        <v>2999</v>
      </c>
      <c r="R1426" s="18">
        <v>46.06</v>
      </c>
      <c r="S1426" s="19">
        <v>1860.4354999999998</v>
      </c>
      <c r="T1426" s="20" t="s">
        <v>75</v>
      </c>
      <c r="U1426" s="21" t="s">
        <v>2043</v>
      </c>
      <c r="V1426" s="22" t="s">
        <v>2044</v>
      </c>
      <c r="W1426" s="23">
        <v>2</v>
      </c>
      <c r="X1426" s="24"/>
    </row>
    <row r="1427" spans="1:24" s="1" customFormat="1" ht="35" customHeight="1" x14ac:dyDescent="0.3">
      <c r="A1427" s="11" t="s">
        <v>1986</v>
      </c>
      <c r="B1427" s="11" t="s">
        <v>2156</v>
      </c>
      <c r="C1427" s="12" t="s">
        <v>2157</v>
      </c>
      <c r="D1427" s="85"/>
      <c r="E1427" s="67" t="str">
        <f>HYPERLINK("https://www.google.ru/search?q=C105RM-5&amp;newwindow=1&amp;tbm=isch","Еще фото")</f>
        <v>Еще фото</v>
      </c>
      <c r="F1427" s="14"/>
      <c r="G1427" s="11" t="s">
        <v>712</v>
      </c>
      <c r="H1427" s="11" t="s">
        <v>69</v>
      </c>
      <c r="I1427" s="15" t="s">
        <v>713</v>
      </c>
      <c r="J1427" s="15" t="s">
        <v>162</v>
      </c>
      <c r="K1427" s="16" t="s">
        <v>45</v>
      </c>
      <c r="L1427" s="83"/>
      <c r="M1427" s="15"/>
      <c r="N1427" s="15" t="s">
        <v>38</v>
      </c>
      <c r="O1427" s="15"/>
      <c r="P1427" s="16" t="s">
        <v>2109</v>
      </c>
      <c r="Q1427" s="17">
        <v>2999</v>
      </c>
      <c r="R1427" s="18">
        <v>46.06</v>
      </c>
      <c r="S1427" s="19">
        <v>1860.4354999999998</v>
      </c>
      <c r="T1427" s="20" t="s">
        <v>75</v>
      </c>
      <c r="U1427" s="21" t="s">
        <v>2000</v>
      </c>
      <c r="V1427" s="22" t="s">
        <v>2042</v>
      </c>
      <c r="W1427" s="23">
        <v>15</v>
      </c>
      <c r="X1427" s="24"/>
    </row>
    <row r="1428" spans="1:24" s="1" customFormat="1" ht="35" customHeight="1" x14ac:dyDescent="0.3">
      <c r="A1428" s="25" t="s">
        <v>1986</v>
      </c>
      <c r="B1428" s="25" t="s">
        <v>2156</v>
      </c>
      <c r="C1428" s="12" t="s">
        <v>2157</v>
      </c>
      <c r="D1428" s="86"/>
      <c r="E1428" s="67" t="str">
        <f>HYPERLINK("https://www.google.ru/search?q=C105RM-5&amp;newwindow=1&amp;tbm=isch","Еще фото")</f>
        <v>Еще фото</v>
      </c>
      <c r="F1428" s="14"/>
      <c r="G1428" s="25" t="s">
        <v>712</v>
      </c>
      <c r="H1428" s="25" t="s">
        <v>69</v>
      </c>
      <c r="I1428" s="25" t="s">
        <v>713</v>
      </c>
      <c r="J1428" s="15" t="s">
        <v>162</v>
      </c>
      <c r="K1428" s="16" t="s">
        <v>45</v>
      </c>
      <c r="L1428" s="88"/>
      <c r="M1428" s="15"/>
      <c r="N1428" s="15" t="s">
        <v>38</v>
      </c>
      <c r="O1428" s="15"/>
      <c r="P1428" s="16" t="s">
        <v>2109</v>
      </c>
      <c r="Q1428" s="17">
        <v>2999</v>
      </c>
      <c r="R1428" s="18">
        <v>46.06</v>
      </c>
      <c r="S1428" s="19">
        <v>1860.4354999999998</v>
      </c>
      <c r="T1428" s="20" t="s">
        <v>75</v>
      </c>
      <c r="U1428" s="21" t="s">
        <v>2001</v>
      </c>
      <c r="V1428" s="22" t="s">
        <v>35</v>
      </c>
      <c r="W1428" s="23">
        <v>17</v>
      </c>
      <c r="X1428" s="24"/>
    </row>
    <row r="1429" spans="1:24" s="1" customFormat="1" ht="37.049999999999997" customHeight="1" x14ac:dyDescent="0.3">
      <c r="A1429" s="25" t="s">
        <v>1986</v>
      </c>
      <c r="B1429" s="25" t="s">
        <v>2156</v>
      </c>
      <c r="C1429" s="12" t="s">
        <v>2157</v>
      </c>
      <c r="D1429" s="87"/>
      <c r="E1429" s="67" t="str">
        <f>HYPERLINK("https://www.google.ru/search?q=C105RM-5&amp;newwindow=1&amp;tbm=isch","Еще фото")</f>
        <v>Еще фото</v>
      </c>
      <c r="F1429" s="14"/>
      <c r="G1429" s="25" t="s">
        <v>712</v>
      </c>
      <c r="H1429" s="25" t="s">
        <v>69</v>
      </c>
      <c r="I1429" s="25" t="s">
        <v>713</v>
      </c>
      <c r="J1429" s="15" t="s">
        <v>162</v>
      </c>
      <c r="K1429" s="16" t="s">
        <v>45</v>
      </c>
      <c r="L1429" s="84"/>
      <c r="M1429" s="15"/>
      <c r="N1429" s="15" t="s">
        <v>38</v>
      </c>
      <c r="O1429" s="15"/>
      <c r="P1429" s="16" t="s">
        <v>2109</v>
      </c>
      <c r="Q1429" s="17">
        <v>2999</v>
      </c>
      <c r="R1429" s="18">
        <v>46.06</v>
      </c>
      <c r="S1429" s="19">
        <v>1860.4354999999998</v>
      </c>
      <c r="T1429" s="20" t="s">
        <v>75</v>
      </c>
      <c r="U1429" s="21" t="s">
        <v>2043</v>
      </c>
      <c r="V1429" s="22" t="s">
        <v>2044</v>
      </c>
      <c r="W1429" s="23">
        <v>7</v>
      </c>
      <c r="X1429" s="24"/>
    </row>
    <row r="1430" spans="1:24" s="1" customFormat="1" ht="35" customHeight="1" x14ac:dyDescent="0.3">
      <c r="A1430" s="11" t="s">
        <v>1986</v>
      </c>
      <c r="B1430" s="11" t="s">
        <v>2158</v>
      </c>
      <c r="C1430" s="12" t="s">
        <v>2159</v>
      </c>
      <c r="D1430" s="85"/>
      <c r="E1430" s="67" t="str">
        <f>HYPERLINK("https://www.google.ru/search?q=C105RW-Y&amp;newwindow=1&amp;tbm=isch","Еще фото")</f>
        <v>Еще фото</v>
      </c>
      <c r="F1430" s="14"/>
      <c r="G1430" s="11" t="s">
        <v>712</v>
      </c>
      <c r="H1430" s="11" t="s">
        <v>69</v>
      </c>
      <c r="I1430" s="15" t="s">
        <v>713</v>
      </c>
      <c r="J1430" s="15" t="s">
        <v>162</v>
      </c>
      <c r="K1430" s="16" t="s">
        <v>29</v>
      </c>
      <c r="L1430" s="83" t="s">
        <v>2160</v>
      </c>
      <c r="M1430" s="15"/>
      <c r="N1430" s="15" t="s">
        <v>55</v>
      </c>
      <c r="O1430" s="15"/>
      <c r="P1430" s="16" t="s">
        <v>2109</v>
      </c>
      <c r="Q1430" s="17">
        <v>2999</v>
      </c>
      <c r="R1430" s="18">
        <v>46.06</v>
      </c>
      <c r="S1430" s="19">
        <v>1860.4354999999998</v>
      </c>
      <c r="T1430" s="20" t="s">
        <v>75</v>
      </c>
      <c r="U1430" s="21" t="s">
        <v>1999</v>
      </c>
      <c r="V1430" s="22" t="s">
        <v>2050</v>
      </c>
      <c r="W1430" s="23">
        <v>11</v>
      </c>
      <c r="X1430" s="24"/>
    </row>
    <row r="1431" spans="1:24" s="1" customFormat="1" ht="35" customHeight="1" x14ac:dyDescent="0.3">
      <c r="A1431" s="25" t="s">
        <v>1986</v>
      </c>
      <c r="B1431" s="25" t="s">
        <v>2158</v>
      </c>
      <c r="C1431" s="12" t="s">
        <v>2159</v>
      </c>
      <c r="D1431" s="86"/>
      <c r="E1431" s="67" t="str">
        <f>HYPERLINK("https://www.google.ru/search?q=C105RW-Y&amp;newwindow=1&amp;tbm=isch","Еще фото")</f>
        <v>Еще фото</v>
      </c>
      <c r="F1431" s="14"/>
      <c r="G1431" s="25" t="s">
        <v>712</v>
      </c>
      <c r="H1431" s="25" t="s">
        <v>69</v>
      </c>
      <c r="I1431" s="25" t="s">
        <v>713</v>
      </c>
      <c r="J1431" s="15" t="s">
        <v>162</v>
      </c>
      <c r="K1431" s="16" t="s">
        <v>29</v>
      </c>
      <c r="L1431" s="88"/>
      <c r="M1431" s="15"/>
      <c r="N1431" s="15" t="s">
        <v>55</v>
      </c>
      <c r="O1431" s="15"/>
      <c r="P1431" s="16" t="s">
        <v>2109</v>
      </c>
      <c r="Q1431" s="17">
        <v>2999</v>
      </c>
      <c r="R1431" s="18">
        <v>46.06</v>
      </c>
      <c r="S1431" s="19">
        <v>1860.4354999999998</v>
      </c>
      <c r="T1431" s="20" t="s">
        <v>75</v>
      </c>
      <c r="U1431" s="21" t="s">
        <v>2000</v>
      </c>
      <c r="V1431" s="22" t="s">
        <v>2056</v>
      </c>
      <c r="W1431" s="23">
        <v>23</v>
      </c>
      <c r="X1431" s="24"/>
    </row>
    <row r="1432" spans="1:24" s="1" customFormat="1" ht="37.049999999999997" customHeight="1" x14ac:dyDescent="0.3">
      <c r="A1432" s="25" t="s">
        <v>1986</v>
      </c>
      <c r="B1432" s="25" t="s">
        <v>2158</v>
      </c>
      <c r="C1432" s="12" t="s">
        <v>2159</v>
      </c>
      <c r="D1432" s="87"/>
      <c r="E1432" s="67" t="str">
        <f>HYPERLINK("https://www.google.ru/search?q=C105RW-Y&amp;newwindow=1&amp;tbm=isch","Еще фото")</f>
        <v>Еще фото</v>
      </c>
      <c r="F1432" s="14"/>
      <c r="G1432" s="25" t="s">
        <v>712</v>
      </c>
      <c r="H1432" s="25" t="s">
        <v>69</v>
      </c>
      <c r="I1432" s="25" t="s">
        <v>713</v>
      </c>
      <c r="J1432" s="15" t="s">
        <v>162</v>
      </c>
      <c r="K1432" s="16" t="s">
        <v>29</v>
      </c>
      <c r="L1432" s="84"/>
      <c r="M1432" s="15"/>
      <c r="N1432" s="15" t="s">
        <v>55</v>
      </c>
      <c r="O1432" s="15"/>
      <c r="P1432" s="16" t="s">
        <v>2109</v>
      </c>
      <c r="Q1432" s="17">
        <v>2999</v>
      </c>
      <c r="R1432" s="18">
        <v>46.06</v>
      </c>
      <c r="S1432" s="19">
        <v>1860.4354999999998</v>
      </c>
      <c r="T1432" s="20" t="s">
        <v>75</v>
      </c>
      <c r="U1432" s="21" t="s">
        <v>2001</v>
      </c>
      <c r="V1432" s="22" t="s">
        <v>2051</v>
      </c>
      <c r="W1432" s="23">
        <v>11</v>
      </c>
      <c r="X1432" s="24"/>
    </row>
    <row r="1433" spans="1:24" s="1" customFormat="1" ht="35" customHeight="1" x14ac:dyDescent="0.3">
      <c r="A1433" s="11" t="s">
        <v>1986</v>
      </c>
      <c r="B1433" s="11" t="s">
        <v>2106</v>
      </c>
      <c r="C1433" s="12" t="s">
        <v>2161</v>
      </c>
      <c r="D1433" s="85"/>
      <c r="E1433" s="67" t="str">
        <f>HYPERLINK("https://www.google.ru/search?q=C105W-0&amp;newwindow=1&amp;tbm=isch","Еще фото")</f>
        <v>Еще фото</v>
      </c>
      <c r="F1433" s="14"/>
      <c r="G1433" s="11" t="s">
        <v>712</v>
      </c>
      <c r="H1433" s="11" t="s">
        <v>69</v>
      </c>
      <c r="I1433" s="15" t="s">
        <v>713</v>
      </c>
      <c r="J1433" s="15" t="s">
        <v>162</v>
      </c>
      <c r="K1433" s="16" t="s">
        <v>29</v>
      </c>
      <c r="L1433" s="83" t="s">
        <v>2108</v>
      </c>
      <c r="M1433" s="15"/>
      <c r="N1433" s="15" t="s">
        <v>173</v>
      </c>
      <c r="O1433" s="15"/>
      <c r="P1433" s="16" t="s">
        <v>2109</v>
      </c>
      <c r="Q1433" s="17">
        <v>2999</v>
      </c>
      <c r="R1433" s="18">
        <v>46.06</v>
      </c>
      <c r="S1433" s="19">
        <v>1860.4354999999998</v>
      </c>
      <c r="T1433" s="20" t="s">
        <v>75</v>
      </c>
      <c r="U1433" s="21" t="s">
        <v>1999</v>
      </c>
      <c r="V1433" s="22" t="s">
        <v>2050</v>
      </c>
      <c r="W1433" s="23">
        <v>18</v>
      </c>
      <c r="X1433" s="24"/>
    </row>
    <row r="1434" spans="1:24" s="1" customFormat="1" ht="35" customHeight="1" x14ac:dyDescent="0.3">
      <c r="A1434" s="25" t="s">
        <v>1986</v>
      </c>
      <c r="B1434" s="25" t="s">
        <v>2106</v>
      </c>
      <c r="C1434" s="12" t="s">
        <v>2161</v>
      </c>
      <c r="D1434" s="86"/>
      <c r="E1434" s="67" t="str">
        <f>HYPERLINK("https://www.google.ru/search?q=C105W-0&amp;newwindow=1&amp;tbm=isch","Еще фото")</f>
        <v>Еще фото</v>
      </c>
      <c r="F1434" s="14"/>
      <c r="G1434" s="25" t="s">
        <v>712</v>
      </c>
      <c r="H1434" s="25" t="s">
        <v>69</v>
      </c>
      <c r="I1434" s="25" t="s">
        <v>713</v>
      </c>
      <c r="J1434" s="15" t="s">
        <v>162</v>
      </c>
      <c r="K1434" s="16" t="s">
        <v>29</v>
      </c>
      <c r="L1434" s="88"/>
      <c r="M1434" s="15"/>
      <c r="N1434" s="15" t="s">
        <v>173</v>
      </c>
      <c r="O1434" s="15"/>
      <c r="P1434" s="16" t="s">
        <v>2109</v>
      </c>
      <c r="Q1434" s="17">
        <v>2999</v>
      </c>
      <c r="R1434" s="18">
        <v>46.06</v>
      </c>
      <c r="S1434" s="19">
        <v>1860.4354999999998</v>
      </c>
      <c r="T1434" s="20" t="s">
        <v>75</v>
      </c>
      <c r="U1434" s="21" t="s">
        <v>2000</v>
      </c>
      <c r="V1434" s="22" t="s">
        <v>2056</v>
      </c>
      <c r="W1434" s="23">
        <v>27</v>
      </c>
      <c r="X1434" s="24"/>
    </row>
    <row r="1435" spans="1:24" s="1" customFormat="1" ht="37.049999999999997" customHeight="1" x14ac:dyDescent="0.3">
      <c r="A1435" s="25" t="s">
        <v>1986</v>
      </c>
      <c r="B1435" s="25" t="s">
        <v>2106</v>
      </c>
      <c r="C1435" s="12" t="s">
        <v>2161</v>
      </c>
      <c r="D1435" s="87"/>
      <c r="E1435" s="67" t="str">
        <f>HYPERLINK("https://www.google.ru/search?q=C105W-0&amp;newwindow=1&amp;tbm=isch","Еще фото")</f>
        <v>Еще фото</v>
      </c>
      <c r="F1435" s="14"/>
      <c r="G1435" s="25" t="s">
        <v>712</v>
      </c>
      <c r="H1435" s="25" t="s">
        <v>69</v>
      </c>
      <c r="I1435" s="25" t="s">
        <v>713</v>
      </c>
      <c r="J1435" s="15" t="s">
        <v>162</v>
      </c>
      <c r="K1435" s="16" t="s">
        <v>29</v>
      </c>
      <c r="L1435" s="84"/>
      <c r="M1435" s="15"/>
      <c r="N1435" s="15" t="s">
        <v>173</v>
      </c>
      <c r="O1435" s="15"/>
      <c r="P1435" s="16" t="s">
        <v>2109</v>
      </c>
      <c r="Q1435" s="17">
        <v>2999</v>
      </c>
      <c r="R1435" s="18">
        <v>46.06</v>
      </c>
      <c r="S1435" s="19">
        <v>1860.4354999999998</v>
      </c>
      <c r="T1435" s="20" t="s">
        <v>75</v>
      </c>
      <c r="U1435" s="21" t="s">
        <v>2001</v>
      </c>
      <c r="V1435" s="22" t="s">
        <v>2051</v>
      </c>
      <c r="W1435" s="23">
        <v>8</v>
      </c>
      <c r="X1435" s="24"/>
    </row>
    <row r="1436" spans="1:24" s="1" customFormat="1" ht="35" customHeight="1" x14ac:dyDescent="0.3">
      <c r="A1436" s="11" t="s">
        <v>1986</v>
      </c>
      <c r="B1436" s="11" t="s">
        <v>2106</v>
      </c>
      <c r="C1436" s="12" t="s">
        <v>2162</v>
      </c>
      <c r="D1436" s="85"/>
      <c r="E1436" s="67" t="str">
        <f>HYPERLINK("https://www.google.ru/search?q=C105W-5&amp;newwindow=1&amp;tbm=isch","Еще фото")</f>
        <v>Еще фото</v>
      </c>
      <c r="F1436" s="14"/>
      <c r="G1436" s="11" t="s">
        <v>712</v>
      </c>
      <c r="H1436" s="11" t="s">
        <v>69</v>
      </c>
      <c r="I1436" s="15" t="s">
        <v>713</v>
      </c>
      <c r="J1436" s="15" t="s">
        <v>162</v>
      </c>
      <c r="K1436" s="16" t="s">
        <v>29</v>
      </c>
      <c r="L1436" s="83" t="s">
        <v>2108</v>
      </c>
      <c r="M1436" s="15"/>
      <c r="N1436" s="15" t="s">
        <v>38</v>
      </c>
      <c r="O1436" s="15"/>
      <c r="P1436" s="16" t="s">
        <v>2109</v>
      </c>
      <c r="Q1436" s="17">
        <v>2999</v>
      </c>
      <c r="R1436" s="18">
        <v>46.06</v>
      </c>
      <c r="S1436" s="19">
        <v>1860.4354999999998</v>
      </c>
      <c r="T1436" s="20" t="s">
        <v>75</v>
      </c>
      <c r="U1436" s="21" t="s">
        <v>1999</v>
      </c>
      <c r="V1436" s="22" t="s">
        <v>2050</v>
      </c>
      <c r="W1436" s="23">
        <v>8</v>
      </c>
      <c r="X1436" s="24"/>
    </row>
    <row r="1437" spans="1:24" s="1" customFormat="1" ht="35" customHeight="1" x14ac:dyDescent="0.3">
      <c r="A1437" s="25" t="s">
        <v>1986</v>
      </c>
      <c r="B1437" s="25" t="s">
        <v>2106</v>
      </c>
      <c r="C1437" s="12" t="s">
        <v>2162</v>
      </c>
      <c r="D1437" s="86"/>
      <c r="E1437" s="67" t="str">
        <f>HYPERLINK("https://www.google.ru/search?q=C105W-5&amp;newwindow=1&amp;tbm=isch","Еще фото")</f>
        <v>Еще фото</v>
      </c>
      <c r="F1437" s="14"/>
      <c r="G1437" s="25" t="s">
        <v>712</v>
      </c>
      <c r="H1437" s="25" t="s">
        <v>69</v>
      </c>
      <c r="I1437" s="25" t="s">
        <v>713</v>
      </c>
      <c r="J1437" s="15" t="s">
        <v>162</v>
      </c>
      <c r="K1437" s="16" t="s">
        <v>29</v>
      </c>
      <c r="L1437" s="88"/>
      <c r="M1437" s="15"/>
      <c r="N1437" s="15" t="s">
        <v>38</v>
      </c>
      <c r="O1437" s="15"/>
      <c r="P1437" s="16" t="s">
        <v>2109</v>
      </c>
      <c r="Q1437" s="17">
        <v>2999</v>
      </c>
      <c r="R1437" s="18">
        <v>46.06</v>
      </c>
      <c r="S1437" s="19">
        <v>1860.4354999999998</v>
      </c>
      <c r="T1437" s="20" t="s">
        <v>75</v>
      </c>
      <c r="U1437" s="21" t="s">
        <v>2000</v>
      </c>
      <c r="V1437" s="22" t="s">
        <v>2056</v>
      </c>
      <c r="W1437" s="23">
        <v>5</v>
      </c>
      <c r="X1437" s="24"/>
    </row>
    <row r="1438" spans="1:24" s="1" customFormat="1" ht="37.049999999999997" customHeight="1" x14ac:dyDescent="0.3">
      <c r="A1438" s="25" t="s">
        <v>1986</v>
      </c>
      <c r="B1438" s="25" t="s">
        <v>2106</v>
      </c>
      <c r="C1438" s="12" t="s">
        <v>2162</v>
      </c>
      <c r="D1438" s="87"/>
      <c r="E1438" s="67" t="str">
        <f>HYPERLINK("https://www.google.ru/search?q=C105W-5&amp;newwindow=1&amp;tbm=isch","Еще фото")</f>
        <v>Еще фото</v>
      </c>
      <c r="F1438" s="14"/>
      <c r="G1438" s="25" t="s">
        <v>712</v>
      </c>
      <c r="H1438" s="25" t="s">
        <v>69</v>
      </c>
      <c r="I1438" s="25" t="s">
        <v>713</v>
      </c>
      <c r="J1438" s="15" t="s">
        <v>162</v>
      </c>
      <c r="K1438" s="16" t="s">
        <v>29</v>
      </c>
      <c r="L1438" s="84"/>
      <c r="M1438" s="15"/>
      <c r="N1438" s="15" t="s">
        <v>38</v>
      </c>
      <c r="O1438" s="15"/>
      <c r="P1438" s="16" t="s">
        <v>2109</v>
      </c>
      <c r="Q1438" s="17">
        <v>2999</v>
      </c>
      <c r="R1438" s="18">
        <v>46.06</v>
      </c>
      <c r="S1438" s="19">
        <v>1860.4354999999998</v>
      </c>
      <c r="T1438" s="20" t="s">
        <v>75</v>
      </c>
      <c r="U1438" s="21" t="s">
        <v>2001</v>
      </c>
      <c r="V1438" s="22" t="s">
        <v>2051</v>
      </c>
      <c r="W1438" s="23">
        <v>1</v>
      </c>
      <c r="X1438" s="24"/>
    </row>
    <row r="1439" spans="1:24" s="1" customFormat="1" ht="35" customHeight="1" x14ac:dyDescent="0.3">
      <c r="A1439" s="11" t="s">
        <v>1986</v>
      </c>
      <c r="B1439" s="11" t="s">
        <v>2045</v>
      </c>
      <c r="C1439" s="12" t="s">
        <v>2163</v>
      </c>
      <c r="D1439" s="85"/>
      <c r="E1439" s="67" t="str">
        <f>HYPERLINK("https://www.google.ru/search?q=C0UUM-5-1&amp;newwindow=1&amp;tbm=isch","Еще фото")</f>
        <v>Еще фото</v>
      </c>
      <c r="F1439" s="14"/>
      <c r="G1439" s="11" t="s">
        <v>2138</v>
      </c>
      <c r="H1439" s="11" t="s">
        <v>69</v>
      </c>
      <c r="I1439" s="15" t="s">
        <v>713</v>
      </c>
      <c r="J1439" s="15" t="s">
        <v>28</v>
      </c>
      <c r="K1439" s="16" t="s">
        <v>45</v>
      </c>
      <c r="L1439" s="83" t="s">
        <v>2095</v>
      </c>
      <c r="M1439" s="15"/>
      <c r="N1439" s="15" t="s">
        <v>38</v>
      </c>
      <c r="O1439" s="15"/>
      <c r="P1439" s="16" t="s">
        <v>2055</v>
      </c>
      <c r="Q1439" s="17">
        <v>2699</v>
      </c>
      <c r="R1439" s="18">
        <v>46</v>
      </c>
      <c r="S1439" s="19">
        <v>1676.079</v>
      </c>
      <c r="T1439" s="20" t="s">
        <v>75</v>
      </c>
      <c r="U1439" s="21" t="s">
        <v>2000</v>
      </c>
      <c r="V1439" s="22" t="s">
        <v>2042</v>
      </c>
      <c r="W1439" s="23">
        <v>19</v>
      </c>
      <c r="X1439" s="24"/>
    </row>
    <row r="1440" spans="1:24" s="1" customFormat="1" ht="35" customHeight="1" x14ac:dyDescent="0.3">
      <c r="A1440" s="25" t="s">
        <v>1986</v>
      </c>
      <c r="B1440" s="25" t="s">
        <v>2045</v>
      </c>
      <c r="C1440" s="12" t="s">
        <v>2163</v>
      </c>
      <c r="D1440" s="86"/>
      <c r="E1440" s="67" t="str">
        <f>HYPERLINK("https://www.google.ru/search?q=C0UUM-5-1&amp;newwindow=1&amp;tbm=isch","Еще фото")</f>
        <v>Еще фото</v>
      </c>
      <c r="F1440" s="14"/>
      <c r="G1440" s="25" t="s">
        <v>2138</v>
      </c>
      <c r="H1440" s="25" t="s">
        <v>69</v>
      </c>
      <c r="I1440" s="25" t="s">
        <v>713</v>
      </c>
      <c r="J1440" s="15" t="s">
        <v>28</v>
      </c>
      <c r="K1440" s="16" t="s">
        <v>45</v>
      </c>
      <c r="L1440" s="88"/>
      <c r="M1440" s="15"/>
      <c r="N1440" s="15" t="s">
        <v>38</v>
      </c>
      <c r="O1440" s="15"/>
      <c r="P1440" s="16" t="s">
        <v>2055</v>
      </c>
      <c r="Q1440" s="17">
        <v>2699</v>
      </c>
      <c r="R1440" s="18">
        <v>46</v>
      </c>
      <c r="S1440" s="19">
        <v>1676.079</v>
      </c>
      <c r="T1440" s="20" t="s">
        <v>75</v>
      </c>
      <c r="U1440" s="21" t="s">
        <v>2001</v>
      </c>
      <c r="V1440" s="22" t="s">
        <v>35</v>
      </c>
      <c r="W1440" s="23">
        <v>16</v>
      </c>
      <c r="X1440" s="24"/>
    </row>
    <row r="1441" spans="1:24" s="1" customFormat="1" ht="37.049999999999997" customHeight="1" x14ac:dyDescent="0.3">
      <c r="A1441" s="25" t="s">
        <v>1986</v>
      </c>
      <c r="B1441" s="25" t="s">
        <v>2045</v>
      </c>
      <c r="C1441" s="12" t="s">
        <v>2163</v>
      </c>
      <c r="D1441" s="87"/>
      <c r="E1441" s="67" t="str">
        <f>HYPERLINK("https://www.google.ru/search?q=C0UUM-5-1&amp;newwindow=1&amp;tbm=isch","Еще фото")</f>
        <v>Еще фото</v>
      </c>
      <c r="F1441" s="14"/>
      <c r="G1441" s="25" t="s">
        <v>2138</v>
      </c>
      <c r="H1441" s="25" t="s">
        <v>69</v>
      </c>
      <c r="I1441" s="25" t="s">
        <v>713</v>
      </c>
      <c r="J1441" s="15" t="s">
        <v>28</v>
      </c>
      <c r="K1441" s="16" t="s">
        <v>45</v>
      </c>
      <c r="L1441" s="84"/>
      <c r="M1441" s="15"/>
      <c r="N1441" s="15" t="s">
        <v>38</v>
      </c>
      <c r="O1441" s="15"/>
      <c r="P1441" s="16" t="s">
        <v>2055</v>
      </c>
      <c r="Q1441" s="17">
        <v>2699</v>
      </c>
      <c r="R1441" s="18">
        <v>46</v>
      </c>
      <c r="S1441" s="19">
        <v>1676.079</v>
      </c>
      <c r="T1441" s="20" t="s">
        <v>75</v>
      </c>
      <c r="U1441" s="21" t="s">
        <v>2043</v>
      </c>
      <c r="V1441" s="22" t="s">
        <v>2044</v>
      </c>
      <c r="W1441" s="23">
        <v>10</v>
      </c>
      <c r="X1441" s="24"/>
    </row>
    <row r="1442" spans="1:24" s="1" customFormat="1" ht="108" customHeight="1" x14ac:dyDescent="0.3">
      <c r="A1442" s="11" t="s">
        <v>1986</v>
      </c>
      <c r="B1442" s="11" t="s">
        <v>2045</v>
      </c>
      <c r="C1442" s="12" t="s">
        <v>2164</v>
      </c>
      <c r="D1442" s="13"/>
      <c r="E1442" s="67" t="str">
        <f>HYPERLINK("https://www.google.ru/search?q=C0UUW-5&amp;newwindow=1&amp;tbm=isch","Еще фото")</f>
        <v>Еще фото</v>
      </c>
      <c r="F1442" s="14"/>
      <c r="G1442" s="11" t="s">
        <v>2094</v>
      </c>
      <c r="H1442" s="11" t="s">
        <v>69</v>
      </c>
      <c r="I1442" s="15" t="s">
        <v>713</v>
      </c>
      <c r="J1442" s="15" t="s">
        <v>28</v>
      </c>
      <c r="K1442" s="16" t="s">
        <v>29</v>
      </c>
      <c r="L1442" s="15" t="s">
        <v>2095</v>
      </c>
      <c r="M1442" s="15"/>
      <c r="N1442" s="15" t="s">
        <v>38</v>
      </c>
      <c r="O1442" s="15" t="s">
        <v>400</v>
      </c>
      <c r="P1442" s="16" t="s">
        <v>2055</v>
      </c>
      <c r="Q1442" s="17">
        <v>2699</v>
      </c>
      <c r="R1442" s="18">
        <v>46</v>
      </c>
      <c r="S1442" s="19">
        <v>1676.079</v>
      </c>
      <c r="T1442" s="20" t="s">
        <v>75</v>
      </c>
      <c r="U1442" s="21" t="s">
        <v>2001</v>
      </c>
      <c r="V1442" s="22" t="s">
        <v>2051</v>
      </c>
      <c r="W1442" s="23">
        <v>10</v>
      </c>
      <c r="X1442" s="24"/>
    </row>
    <row r="1443" spans="1:24" s="1" customFormat="1" ht="108" customHeight="1" x14ac:dyDescent="0.3">
      <c r="A1443" s="11" t="s">
        <v>1986</v>
      </c>
      <c r="B1443" s="11" t="s">
        <v>2101</v>
      </c>
      <c r="C1443" s="12" t="s">
        <v>2165</v>
      </c>
      <c r="D1443" s="13"/>
      <c r="E1443" s="67" t="str">
        <f>HYPERLINK("https://www.google.ru/search?q=C3UUM-0&amp;newwindow=1&amp;tbm=isch","Еще фото")</f>
        <v>Еще фото</v>
      </c>
      <c r="F1443" s="14"/>
      <c r="G1443" s="11" t="s">
        <v>2103</v>
      </c>
      <c r="H1443" s="11" t="s">
        <v>69</v>
      </c>
      <c r="I1443" s="15" t="s">
        <v>713</v>
      </c>
      <c r="J1443" s="15" t="s">
        <v>162</v>
      </c>
      <c r="K1443" s="16" t="s">
        <v>45</v>
      </c>
      <c r="L1443" s="15" t="s">
        <v>2104</v>
      </c>
      <c r="M1443" s="15"/>
      <c r="N1443" s="15" t="s">
        <v>173</v>
      </c>
      <c r="O1443" s="15"/>
      <c r="P1443" s="16" t="s">
        <v>2105</v>
      </c>
      <c r="Q1443" s="17">
        <v>4599</v>
      </c>
      <c r="R1443" s="18">
        <v>46</v>
      </c>
      <c r="S1443" s="19">
        <v>2855.9789999999998</v>
      </c>
      <c r="T1443" s="20" t="s">
        <v>75</v>
      </c>
      <c r="U1443" s="21" t="s">
        <v>2000</v>
      </c>
      <c r="V1443" s="22" t="s">
        <v>2042</v>
      </c>
      <c r="W1443" s="23">
        <v>6</v>
      </c>
      <c r="X1443" s="24"/>
    </row>
    <row r="1444" spans="1:24" s="1" customFormat="1" ht="108" customHeight="1" x14ac:dyDescent="0.3">
      <c r="A1444" s="11" t="s">
        <v>1986</v>
      </c>
      <c r="B1444" s="11" t="s">
        <v>2045</v>
      </c>
      <c r="C1444" s="12" t="s">
        <v>2166</v>
      </c>
      <c r="D1444" s="13"/>
      <c r="E1444" s="67" t="str">
        <f>HYPERLINK("https://www.google.ru/search?q=C004W-P&amp;newwindow=1&amp;tbm=isch","Еще фото")</f>
        <v>Еще фото</v>
      </c>
      <c r="F1444" s="14"/>
      <c r="G1444" s="11" t="s">
        <v>2167</v>
      </c>
      <c r="H1444" s="11" t="s">
        <v>69</v>
      </c>
      <c r="I1444" s="15" t="s">
        <v>713</v>
      </c>
      <c r="J1444" s="15" t="s">
        <v>162</v>
      </c>
      <c r="K1444" s="16" t="s">
        <v>29</v>
      </c>
      <c r="L1444" s="15" t="s">
        <v>2168</v>
      </c>
      <c r="M1444" s="15"/>
      <c r="N1444" s="15" t="s">
        <v>413</v>
      </c>
      <c r="O1444" s="15"/>
      <c r="P1444" s="16" t="s">
        <v>2169</v>
      </c>
      <c r="Q1444" s="17">
        <v>2629</v>
      </c>
      <c r="R1444" s="18">
        <v>45.69</v>
      </c>
      <c r="S1444" s="19">
        <v>1641.9354999999998</v>
      </c>
      <c r="T1444" s="20" t="s">
        <v>75</v>
      </c>
      <c r="U1444" s="21" t="s">
        <v>1999</v>
      </c>
      <c r="V1444" s="22" t="s">
        <v>2050</v>
      </c>
      <c r="W1444" s="23">
        <v>1</v>
      </c>
      <c r="X1444" s="24"/>
    </row>
    <row r="1445" spans="1:24" s="1" customFormat="1" ht="108" customHeight="1" x14ac:dyDescent="0.3">
      <c r="A1445" s="11" t="s">
        <v>1986</v>
      </c>
      <c r="B1445" s="11" t="s">
        <v>2037</v>
      </c>
      <c r="C1445" s="12" t="s">
        <v>2170</v>
      </c>
      <c r="D1445" s="13"/>
      <c r="E1445" s="67" t="str">
        <f>HYPERLINK("https://www.google.ru/search?q=C225M-5Y&amp;newwindow=1&amp;tbm=isch","Еще фото")</f>
        <v>Еще фото</v>
      </c>
      <c r="F1445" s="14"/>
      <c r="G1445" s="11" t="s">
        <v>2039</v>
      </c>
      <c r="H1445" s="11" t="s">
        <v>69</v>
      </c>
      <c r="I1445" s="15" t="s">
        <v>713</v>
      </c>
      <c r="J1445" s="15" t="s">
        <v>1990</v>
      </c>
      <c r="K1445" s="16" t="s">
        <v>45</v>
      </c>
      <c r="L1445" s="15" t="s">
        <v>2171</v>
      </c>
      <c r="M1445" s="15"/>
      <c r="N1445" s="15" t="s">
        <v>38</v>
      </c>
      <c r="O1445" s="15"/>
      <c r="P1445" s="16" t="s">
        <v>2041</v>
      </c>
      <c r="Q1445" s="17">
        <v>6309</v>
      </c>
      <c r="R1445" s="18">
        <v>45.19</v>
      </c>
      <c r="S1445" s="19">
        <v>3976.4354999999996</v>
      </c>
      <c r="T1445" s="20" t="s">
        <v>75</v>
      </c>
      <c r="U1445" s="21" t="s">
        <v>2000</v>
      </c>
      <c r="V1445" s="22" t="s">
        <v>2042</v>
      </c>
      <c r="W1445" s="23">
        <v>5</v>
      </c>
      <c r="X1445" s="24"/>
    </row>
    <row r="1446" spans="1:24" s="1" customFormat="1" ht="35" customHeight="1" x14ac:dyDescent="0.3">
      <c r="A1446" s="11" t="s">
        <v>1986</v>
      </c>
      <c r="B1446" s="11" t="s">
        <v>2172</v>
      </c>
      <c r="C1446" s="12" t="s">
        <v>2173</v>
      </c>
      <c r="D1446" s="85"/>
      <c r="E1446" s="67" t="str">
        <f>HYPERLINK("https://www.google.ru/search?q=C12EM-GY&amp;newwindow=1&amp;tbm=isch","Еще фото")</f>
        <v>Еще фото</v>
      </c>
      <c r="F1446" s="14"/>
      <c r="G1446" s="11" t="s">
        <v>712</v>
      </c>
      <c r="H1446" s="11" t="s">
        <v>69</v>
      </c>
      <c r="I1446" s="15" t="s">
        <v>713</v>
      </c>
      <c r="J1446" s="15" t="s">
        <v>162</v>
      </c>
      <c r="K1446" s="16" t="s">
        <v>45</v>
      </c>
      <c r="L1446" s="83" t="s">
        <v>2174</v>
      </c>
      <c r="M1446" s="15"/>
      <c r="N1446" s="15" t="s">
        <v>2175</v>
      </c>
      <c r="O1446" s="15"/>
      <c r="P1446" s="16" t="s">
        <v>2068</v>
      </c>
      <c r="Q1446" s="17">
        <v>6399</v>
      </c>
      <c r="R1446" s="18">
        <v>45.03</v>
      </c>
      <c r="S1446" s="19">
        <v>4045.4354999999996</v>
      </c>
      <c r="T1446" s="20" t="s">
        <v>75</v>
      </c>
      <c r="U1446" s="21" t="s">
        <v>2000</v>
      </c>
      <c r="V1446" s="22" t="s">
        <v>2042</v>
      </c>
      <c r="W1446" s="23">
        <v>20</v>
      </c>
      <c r="X1446" s="24"/>
    </row>
    <row r="1447" spans="1:24" s="1" customFormat="1" ht="35" customHeight="1" x14ac:dyDescent="0.3">
      <c r="A1447" s="25" t="s">
        <v>1986</v>
      </c>
      <c r="B1447" s="25" t="s">
        <v>2172</v>
      </c>
      <c r="C1447" s="12" t="s">
        <v>2173</v>
      </c>
      <c r="D1447" s="86"/>
      <c r="E1447" s="67" t="str">
        <f>HYPERLINK("https://www.google.ru/search?q=C12EM-GY&amp;newwindow=1&amp;tbm=isch","Еще фото")</f>
        <v>Еще фото</v>
      </c>
      <c r="F1447" s="14"/>
      <c r="G1447" s="25" t="s">
        <v>712</v>
      </c>
      <c r="H1447" s="25" t="s">
        <v>69</v>
      </c>
      <c r="I1447" s="25" t="s">
        <v>713</v>
      </c>
      <c r="J1447" s="15" t="s">
        <v>162</v>
      </c>
      <c r="K1447" s="16" t="s">
        <v>45</v>
      </c>
      <c r="L1447" s="88"/>
      <c r="M1447" s="15"/>
      <c r="N1447" s="15" t="s">
        <v>2175</v>
      </c>
      <c r="O1447" s="15"/>
      <c r="P1447" s="16" t="s">
        <v>2068</v>
      </c>
      <c r="Q1447" s="17">
        <v>6399</v>
      </c>
      <c r="R1447" s="18">
        <v>45.03</v>
      </c>
      <c r="S1447" s="19">
        <v>4045.4354999999996</v>
      </c>
      <c r="T1447" s="20" t="s">
        <v>75</v>
      </c>
      <c r="U1447" s="21" t="s">
        <v>2001</v>
      </c>
      <c r="V1447" s="22" t="s">
        <v>35</v>
      </c>
      <c r="W1447" s="23">
        <v>20</v>
      </c>
      <c r="X1447" s="24"/>
    </row>
    <row r="1448" spans="1:24" s="1" customFormat="1" ht="37.049999999999997" customHeight="1" x14ac:dyDescent="0.3">
      <c r="A1448" s="25" t="s">
        <v>1986</v>
      </c>
      <c r="B1448" s="25" t="s">
        <v>2172</v>
      </c>
      <c r="C1448" s="12" t="s">
        <v>2173</v>
      </c>
      <c r="D1448" s="87"/>
      <c r="E1448" s="67" t="str">
        <f>HYPERLINK("https://www.google.ru/search?q=C12EM-GY&amp;newwindow=1&amp;tbm=isch","Еще фото")</f>
        <v>Еще фото</v>
      </c>
      <c r="F1448" s="14"/>
      <c r="G1448" s="25" t="s">
        <v>712</v>
      </c>
      <c r="H1448" s="25" t="s">
        <v>69</v>
      </c>
      <c r="I1448" s="25" t="s">
        <v>713</v>
      </c>
      <c r="J1448" s="15" t="s">
        <v>162</v>
      </c>
      <c r="K1448" s="16" t="s">
        <v>45</v>
      </c>
      <c r="L1448" s="84"/>
      <c r="M1448" s="15"/>
      <c r="N1448" s="15" t="s">
        <v>2175</v>
      </c>
      <c r="O1448" s="15"/>
      <c r="P1448" s="16" t="s">
        <v>2068</v>
      </c>
      <c r="Q1448" s="17">
        <v>6399</v>
      </c>
      <c r="R1448" s="18">
        <v>45.03</v>
      </c>
      <c r="S1448" s="19">
        <v>4045.4354999999996</v>
      </c>
      <c r="T1448" s="20" t="s">
        <v>75</v>
      </c>
      <c r="U1448" s="21" t="s">
        <v>2043</v>
      </c>
      <c r="V1448" s="22" t="s">
        <v>2044</v>
      </c>
      <c r="W1448" s="23">
        <v>11</v>
      </c>
      <c r="X1448" s="24"/>
    </row>
    <row r="1449" spans="1:24" s="1" customFormat="1" ht="35" customHeight="1" x14ac:dyDescent="0.3">
      <c r="A1449" s="11" t="s">
        <v>1986</v>
      </c>
      <c r="B1449" s="11" t="s">
        <v>2172</v>
      </c>
      <c r="C1449" s="12" t="s">
        <v>2176</v>
      </c>
      <c r="D1449" s="85"/>
      <c r="E1449" s="67" t="str">
        <f>HYPERLINK("https://www.google.ru/search?q=C12EM-RY&amp;newwindow=1&amp;tbm=isch","Еще фото")</f>
        <v>Еще фото</v>
      </c>
      <c r="F1449" s="14"/>
      <c r="G1449" s="11" t="s">
        <v>712</v>
      </c>
      <c r="H1449" s="11" t="s">
        <v>69</v>
      </c>
      <c r="I1449" s="15" t="s">
        <v>713</v>
      </c>
      <c r="J1449" s="15" t="s">
        <v>162</v>
      </c>
      <c r="K1449" s="16" t="s">
        <v>45</v>
      </c>
      <c r="L1449" s="83" t="s">
        <v>2174</v>
      </c>
      <c r="M1449" s="15"/>
      <c r="N1449" s="15" t="s">
        <v>2177</v>
      </c>
      <c r="O1449" s="15"/>
      <c r="P1449" s="16" t="s">
        <v>2068</v>
      </c>
      <c r="Q1449" s="17">
        <v>6399</v>
      </c>
      <c r="R1449" s="18">
        <v>45.03</v>
      </c>
      <c r="S1449" s="19">
        <v>4045.4354999999996</v>
      </c>
      <c r="T1449" s="20" t="s">
        <v>75</v>
      </c>
      <c r="U1449" s="21" t="s">
        <v>2000</v>
      </c>
      <c r="V1449" s="22" t="s">
        <v>2042</v>
      </c>
      <c r="W1449" s="23">
        <v>7</v>
      </c>
      <c r="X1449" s="24"/>
    </row>
    <row r="1450" spans="1:24" s="1" customFormat="1" ht="35" customHeight="1" x14ac:dyDescent="0.3">
      <c r="A1450" s="25" t="s">
        <v>1986</v>
      </c>
      <c r="B1450" s="25" t="s">
        <v>2172</v>
      </c>
      <c r="C1450" s="12" t="s">
        <v>2176</v>
      </c>
      <c r="D1450" s="86"/>
      <c r="E1450" s="67" t="str">
        <f>HYPERLINK("https://www.google.ru/search?q=C12EM-RY&amp;newwindow=1&amp;tbm=isch","Еще фото")</f>
        <v>Еще фото</v>
      </c>
      <c r="F1450" s="14"/>
      <c r="G1450" s="25" t="s">
        <v>712</v>
      </c>
      <c r="H1450" s="25" t="s">
        <v>69</v>
      </c>
      <c r="I1450" s="25" t="s">
        <v>713</v>
      </c>
      <c r="J1450" s="15" t="s">
        <v>162</v>
      </c>
      <c r="K1450" s="16" t="s">
        <v>45</v>
      </c>
      <c r="L1450" s="88"/>
      <c r="M1450" s="15"/>
      <c r="N1450" s="15" t="s">
        <v>2177</v>
      </c>
      <c r="O1450" s="15"/>
      <c r="P1450" s="16" t="s">
        <v>2068</v>
      </c>
      <c r="Q1450" s="17">
        <v>6399</v>
      </c>
      <c r="R1450" s="18">
        <v>45.03</v>
      </c>
      <c r="S1450" s="19">
        <v>4045.4354999999996</v>
      </c>
      <c r="T1450" s="20" t="s">
        <v>75</v>
      </c>
      <c r="U1450" s="21" t="s">
        <v>2001</v>
      </c>
      <c r="V1450" s="22" t="s">
        <v>35</v>
      </c>
      <c r="W1450" s="23">
        <v>7</v>
      </c>
      <c r="X1450" s="24"/>
    </row>
    <row r="1451" spans="1:24" s="1" customFormat="1" ht="37.049999999999997" customHeight="1" x14ac:dyDescent="0.3">
      <c r="A1451" s="25" t="s">
        <v>1986</v>
      </c>
      <c r="B1451" s="25" t="s">
        <v>2172</v>
      </c>
      <c r="C1451" s="12" t="s">
        <v>2176</v>
      </c>
      <c r="D1451" s="87"/>
      <c r="E1451" s="67" t="str">
        <f>HYPERLINK("https://www.google.ru/search?q=C12EM-RY&amp;newwindow=1&amp;tbm=isch","Еще фото")</f>
        <v>Еще фото</v>
      </c>
      <c r="F1451" s="14"/>
      <c r="G1451" s="25" t="s">
        <v>712</v>
      </c>
      <c r="H1451" s="25" t="s">
        <v>69</v>
      </c>
      <c r="I1451" s="25" t="s">
        <v>713</v>
      </c>
      <c r="J1451" s="15" t="s">
        <v>162</v>
      </c>
      <c r="K1451" s="16" t="s">
        <v>45</v>
      </c>
      <c r="L1451" s="84"/>
      <c r="M1451" s="15"/>
      <c r="N1451" s="15" t="s">
        <v>2177</v>
      </c>
      <c r="O1451" s="15"/>
      <c r="P1451" s="16" t="s">
        <v>2068</v>
      </c>
      <c r="Q1451" s="17">
        <v>6399</v>
      </c>
      <c r="R1451" s="18">
        <v>45.03</v>
      </c>
      <c r="S1451" s="19">
        <v>4045.4354999999996</v>
      </c>
      <c r="T1451" s="20" t="s">
        <v>75</v>
      </c>
      <c r="U1451" s="21" t="s">
        <v>2043</v>
      </c>
      <c r="V1451" s="22" t="s">
        <v>2044</v>
      </c>
      <c r="W1451" s="23">
        <v>2</v>
      </c>
      <c r="X1451" s="24"/>
    </row>
    <row r="1452" spans="1:24" s="1" customFormat="1" ht="52.05" customHeight="1" x14ac:dyDescent="0.3">
      <c r="A1452" s="11" t="s">
        <v>1986</v>
      </c>
      <c r="B1452" s="11" t="s">
        <v>2045</v>
      </c>
      <c r="C1452" s="12" t="s">
        <v>2178</v>
      </c>
      <c r="D1452" s="81"/>
      <c r="E1452" s="67" t="str">
        <f>HYPERLINK("https://www.google.ru/search?q=C1UUW-5-1&amp;newwindow=1&amp;tbm=isch","Еще фото")</f>
        <v>Еще фото</v>
      </c>
      <c r="F1452" s="14"/>
      <c r="G1452" s="11" t="s">
        <v>2059</v>
      </c>
      <c r="H1452" s="11" t="s">
        <v>69</v>
      </c>
      <c r="I1452" s="15" t="s">
        <v>713</v>
      </c>
      <c r="J1452" s="15" t="s">
        <v>28</v>
      </c>
      <c r="K1452" s="16" t="s">
        <v>29</v>
      </c>
      <c r="L1452" s="83" t="s">
        <v>2142</v>
      </c>
      <c r="M1452" s="15"/>
      <c r="N1452" s="15" t="s">
        <v>38</v>
      </c>
      <c r="O1452" s="15"/>
      <c r="P1452" s="16" t="s">
        <v>1998</v>
      </c>
      <c r="Q1452" s="17">
        <v>6799</v>
      </c>
      <c r="R1452" s="18">
        <v>45.02</v>
      </c>
      <c r="S1452" s="19">
        <v>4298.4354999999996</v>
      </c>
      <c r="T1452" s="20" t="s">
        <v>75</v>
      </c>
      <c r="U1452" s="21" t="s">
        <v>1999</v>
      </c>
      <c r="V1452" s="22" t="s">
        <v>2050</v>
      </c>
      <c r="W1452" s="23">
        <v>2</v>
      </c>
      <c r="X1452" s="24"/>
    </row>
    <row r="1453" spans="1:24" s="1" customFormat="1" ht="61.05" customHeight="1" x14ac:dyDescent="0.3">
      <c r="A1453" s="25" t="s">
        <v>1986</v>
      </c>
      <c r="B1453" s="25" t="s">
        <v>2045</v>
      </c>
      <c r="C1453" s="12" t="s">
        <v>2178</v>
      </c>
      <c r="D1453" s="82"/>
      <c r="E1453" s="67" t="str">
        <f>HYPERLINK("https://www.google.ru/search?q=C1UUW-5-1&amp;newwindow=1&amp;tbm=isch","Еще фото")</f>
        <v>Еще фото</v>
      </c>
      <c r="F1453" s="14"/>
      <c r="G1453" s="25" t="s">
        <v>2059</v>
      </c>
      <c r="H1453" s="25" t="s">
        <v>69</v>
      </c>
      <c r="I1453" s="25" t="s">
        <v>713</v>
      </c>
      <c r="J1453" s="15" t="s">
        <v>28</v>
      </c>
      <c r="K1453" s="16" t="s">
        <v>29</v>
      </c>
      <c r="L1453" s="84"/>
      <c r="M1453" s="15"/>
      <c r="N1453" s="15" t="s">
        <v>38</v>
      </c>
      <c r="O1453" s="15"/>
      <c r="P1453" s="16" t="s">
        <v>1998</v>
      </c>
      <c r="Q1453" s="17">
        <v>6799</v>
      </c>
      <c r="R1453" s="18">
        <v>45.02</v>
      </c>
      <c r="S1453" s="19">
        <v>4298.4354999999996</v>
      </c>
      <c r="T1453" s="20" t="s">
        <v>75</v>
      </c>
      <c r="U1453" s="21" t="s">
        <v>2001</v>
      </c>
      <c r="V1453" s="22" t="s">
        <v>2051</v>
      </c>
      <c r="W1453" s="23">
        <v>2</v>
      </c>
      <c r="X1453" s="24"/>
    </row>
    <row r="1454" spans="1:24" s="1" customFormat="1" ht="35" customHeight="1" x14ac:dyDescent="0.3">
      <c r="A1454" s="11" t="s">
        <v>1986</v>
      </c>
      <c r="B1454" s="11" t="s">
        <v>2179</v>
      </c>
      <c r="C1454" s="12" t="s">
        <v>2180</v>
      </c>
      <c r="D1454" s="85"/>
      <c r="E1454" s="67" t="str">
        <f>HYPERLINK("https://www.google.ru/search?q=C1UPM-G&amp;newwindow=1&amp;tbm=isch","Еще фото")</f>
        <v>Еще фото</v>
      </c>
      <c r="F1454" s="14"/>
      <c r="G1454" s="11" t="s">
        <v>712</v>
      </c>
      <c r="H1454" s="11" t="s">
        <v>69</v>
      </c>
      <c r="I1454" s="15" t="s">
        <v>713</v>
      </c>
      <c r="J1454" s="15" t="s">
        <v>162</v>
      </c>
      <c r="K1454" s="16" t="s">
        <v>45</v>
      </c>
      <c r="L1454" s="83" t="s">
        <v>2181</v>
      </c>
      <c r="M1454" s="15"/>
      <c r="N1454" s="15" t="s">
        <v>55</v>
      </c>
      <c r="O1454" s="15"/>
      <c r="P1454" s="16" t="s">
        <v>2182</v>
      </c>
      <c r="Q1454" s="17">
        <v>6999</v>
      </c>
      <c r="R1454" s="18">
        <v>45.02</v>
      </c>
      <c r="S1454" s="19">
        <v>4424.9354999999996</v>
      </c>
      <c r="T1454" s="20" t="s">
        <v>75</v>
      </c>
      <c r="U1454" s="21" t="s">
        <v>2000</v>
      </c>
      <c r="V1454" s="22" t="s">
        <v>2042</v>
      </c>
      <c r="W1454" s="23">
        <v>14</v>
      </c>
      <c r="X1454" s="24"/>
    </row>
    <row r="1455" spans="1:24" s="1" customFormat="1" ht="35" customHeight="1" x14ac:dyDescent="0.3">
      <c r="A1455" s="25" t="s">
        <v>1986</v>
      </c>
      <c r="B1455" s="25" t="s">
        <v>2179</v>
      </c>
      <c r="C1455" s="12" t="s">
        <v>2180</v>
      </c>
      <c r="D1455" s="86"/>
      <c r="E1455" s="67" t="str">
        <f>HYPERLINK("https://www.google.ru/search?q=C1UPM-G&amp;newwindow=1&amp;tbm=isch","Еще фото")</f>
        <v>Еще фото</v>
      </c>
      <c r="F1455" s="14"/>
      <c r="G1455" s="25" t="s">
        <v>712</v>
      </c>
      <c r="H1455" s="25" t="s">
        <v>69</v>
      </c>
      <c r="I1455" s="25" t="s">
        <v>713</v>
      </c>
      <c r="J1455" s="15" t="s">
        <v>162</v>
      </c>
      <c r="K1455" s="16" t="s">
        <v>45</v>
      </c>
      <c r="L1455" s="88"/>
      <c r="M1455" s="15"/>
      <c r="N1455" s="15" t="s">
        <v>55</v>
      </c>
      <c r="O1455" s="15"/>
      <c r="P1455" s="16" t="s">
        <v>2182</v>
      </c>
      <c r="Q1455" s="17">
        <v>6999</v>
      </c>
      <c r="R1455" s="18">
        <v>45.02</v>
      </c>
      <c r="S1455" s="19">
        <v>4424.9354999999996</v>
      </c>
      <c r="T1455" s="20" t="s">
        <v>75</v>
      </c>
      <c r="U1455" s="21" t="s">
        <v>2001</v>
      </c>
      <c r="V1455" s="22" t="s">
        <v>35</v>
      </c>
      <c r="W1455" s="23">
        <v>7</v>
      </c>
      <c r="X1455" s="24"/>
    </row>
    <row r="1456" spans="1:24" s="1" customFormat="1" ht="37.049999999999997" customHeight="1" x14ac:dyDescent="0.3">
      <c r="A1456" s="25" t="s">
        <v>1986</v>
      </c>
      <c r="B1456" s="25" t="s">
        <v>2179</v>
      </c>
      <c r="C1456" s="12" t="s">
        <v>2180</v>
      </c>
      <c r="D1456" s="87"/>
      <c r="E1456" s="67" t="str">
        <f>HYPERLINK("https://www.google.ru/search?q=C1UPM-G&amp;newwindow=1&amp;tbm=isch","Еще фото")</f>
        <v>Еще фото</v>
      </c>
      <c r="F1456" s="14"/>
      <c r="G1456" s="25" t="s">
        <v>712</v>
      </c>
      <c r="H1456" s="25" t="s">
        <v>69</v>
      </c>
      <c r="I1456" s="25" t="s">
        <v>713</v>
      </c>
      <c r="J1456" s="15" t="s">
        <v>162</v>
      </c>
      <c r="K1456" s="16" t="s">
        <v>45</v>
      </c>
      <c r="L1456" s="84"/>
      <c r="M1456" s="15"/>
      <c r="N1456" s="15" t="s">
        <v>55</v>
      </c>
      <c r="O1456" s="15"/>
      <c r="P1456" s="16" t="s">
        <v>2182</v>
      </c>
      <c r="Q1456" s="17">
        <v>6999</v>
      </c>
      <c r="R1456" s="18">
        <v>45.02</v>
      </c>
      <c r="S1456" s="19">
        <v>4424.9354999999996</v>
      </c>
      <c r="T1456" s="20" t="s">
        <v>75</v>
      </c>
      <c r="U1456" s="21" t="s">
        <v>2043</v>
      </c>
      <c r="V1456" s="22" t="s">
        <v>2044</v>
      </c>
      <c r="W1456" s="23">
        <v>5</v>
      </c>
      <c r="X1456" s="24"/>
    </row>
    <row r="1457" spans="1:24" s="1" customFormat="1" ht="35" customHeight="1" x14ac:dyDescent="0.3">
      <c r="A1457" s="11" t="s">
        <v>1986</v>
      </c>
      <c r="B1457" s="11" t="s">
        <v>2101</v>
      </c>
      <c r="C1457" s="12" t="s">
        <v>2183</v>
      </c>
      <c r="D1457" s="85"/>
      <c r="E1457" s="67" t="str">
        <f>HYPERLINK("https://www.google.ru/search?q=C3UUM-S3&amp;newwindow=1&amp;tbm=isch","Еще фото")</f>
        <v>Еще фото</v>
      </c>
      <c r="F1457" s="14"/>
      <c r="G1457" s="11" t="s">
        <v>2103</v>
      </c>
      <c r="H1457" s="11" t="s">
        <v>69</v>
      </c>
      <c r="I1457" s="15" t="s">
        <v>713</v>
      </c>
      <c r="J1457" s="15" t="s">
        <v>162</v>
      </c>
      <c r="K1457" s="16" t="s">
        <v>45</v>
      </c>
      <c r="L1457" s="83" t="s">
        <v>2184</v>
      </c>
      <c r="M1457" s="15"/>
      <c r="N1457" s="15" t="s">
        <v>122</v>
      </c>
      <c r="O1457" s="15"/>
      <c r="P1457" s="16" t="s">
        <v>2068</v>
      </c>
      <c r="Q1457" s="17">
        <v>4599</v>
      </c>
      <c r="R1457" s="18">
        <v>43</v>
      </c>
      <c r="S1457" s="19">
        <v>3014.6444999999994</v>
      </c>
      <c r="T1457" s="20" t="s">
        <v>75</v>
      </c>
      <c r="U1457" s="21" t="s">
        <v>2000</v>
      </c>
      <c r="V1457" s="22" t="s">
        <v>2042</v>
      </c>
      <c r="W1457" s="23">
        <v>5</v>
      </c>
      <c r="X1457" s="24"/>
    </row>
    <row r="1458" spans="1:24" s="1" customFormat="1" ht="35" customHeight="1" x14ac:dyDescent="0.3">
      <c r="A1458" s="25" t="s">
        <v>1986</v>
      </c>
      <c r="B1458" s="25" t="s">
        <v>2101</v>
      </c>
      <c r="C1458" s="12" t="s">
        <v>2183</v>
      </c>
      <c r="D1458" s="86"/>
      <c r="E1458" s="67" t="str">
        <f>HYPERLINK("https://www.google.ru/search?q=C3UUM-S3&amp;newwindow=1&amp;tbm=isch","Еще фото")</f>
        <v>Еще фото</v>
      </c>
      <c r="F1458" s="14"/>
      <c r="G1458" s="25" t="s">
        <v>2103</v>
      </c>
      <c r="H1458" s="25" t="s">
        <v>69</v>
      </c>
      <c r="I1458" s="25" t="s">
        <v>713</v>
      </c>
      <c r="J1458" s="15" t="s">
        <v>162</v>
      </c>
      <c r="K1458" s="16" t="s">
        <v>45</v>
      </c>
      <c r="L1458" s="88"/>
      <c r="M1458" s="15"/>
      <c r="N1458" s="15" t="s">
        <v>122</v>
      </c>
      <c r="O1458" s="15"/>
      <c r="P1458" s="16" t="s">
        <v>2068</v>
      </c>
      <c r="Q1458" s="17">
        <v>4599</v>
      </c>
      <c r="R1458" s="18">
        <v>43</v>
      </c>
      <c r="S1458" s="19">
        <v>3014.6444999999994</v>
      </c>
      <c r="T1458" s="20" t="s">
        <v>75</v>
      </c>
      <c r="U1458" s="21" t="s">
        <v>2001</v>
      </c>
      <c r="V1458" s="22" t="s">
        <v>35</v>
      </c>
      <c r="W1458" s="23">
        <v>5</v>
      </c>
      <c r="X1458" s="24"/>
    </row>
    <row r="1459" spans="1:24" s="1" customFormat="1" ht="37.049999999999997" customHeight="1" x14ac:dyDescent="0.3">
      <c r="A1459" s="25" t="s">
        <v>1986</v>
      </c>
      <c r="B1459" s="25" t="s">
        <v>2101</v>
      </c>
      <c r="C1459" s="12" t="s">
        <v>2183</v>
      </c>
      <c r="D1459" s="87"/>
      <c r="E1459" s="67" t="str">
        <f>HYPERLINK("https://www.google.ru/search?q=C3UUM-S3&amp;newwindow=1&amp;tbm=isch","Еще фото")</f>
        <v>Еще фото</v>
      </c>
      <c r="F1459" s="14"/>
      <c r="G1459" s="25" t="s">
        <v>2103</v>
      </c>
      <c r="H1459" s="25" t="s">
        <v>69</v>
      </c>
      <c r="I1459" s="25" t="s">
        <v>713</v>
      </c>
      <c r="J1459" s="15" t="s">
        <v>162</v>
      </c>
      <c r="K1459" s="16" t="s">
        <v>45</v>
      </c>
      <c r="L1459" s="84"/>
      <c r="M1459" s="15"/>
      <c r="N1459" s="15" t="s">
        <v>122</v>
      </c>
      <c r="O1459" s="15"/>
      <c r="P1459" s="16" t="s">
        <v>2068</v>
      </c>
      <c r="Q1459" s="17">
        <v>4599</v>
      </c>
      <c r="R1459" s="18">
        <v>43</v>
      </c>
      <c r="S1459" s="19">
        <v>3014.6444999999994</v>
      </c>
      <c r="T1459" s="20" t="s">
        <v>75</v>
      </c>
      <c r="U1459" s="21" t="s">
        <v>2043</v>
      </c>
      <c r="V1459" s="22" t="s">
        <v>2044</v>
      </c>
      <c r="W1459" s="23">
        <v>1</v>
      </c>
      <c r="X1459" s="24"/>
    </row>
    <row r="1460" spans="1:24" s="1" customFormat="1" ht="35" customHeight="1" x14ac:dyDescent="0.3">
      <c r="A1460" s="11" t="s">
        <v>1986</v>
      </c>
      <c r="B1460" s="11" t="s">
        <v>2101</v>
      </c>
      <c r="C1460" s="12" t="s">
        <v>2185</v>
      </c>
      <c r="D1460" s="85"/>
      <c r="E1460" s="67" t="str">
        <f>HYPERLINK("https://www.google.ru/search?q=C3UUW-5-1&amp;newwindow=1&amp;tbm=isch","Еще фото")</f>
        <v>Еще фото</v>
      </c>
      <c r="F1460" s="14"/>
      <c r="G1460" s="11" t="s">
        <v>2186</v>
      </c>
      <c r="H1460" s="11" t="s">
        <v>69</v>
      </c>
      <c r="I1460" s="15" t="s">
        <v>713</v>
      </c>
      <c r="J1460" s="15" t="s">
        <v>162</v>
      </c>
      <c r="K1460" s="16" t="s">
        <v>71</v>
      </c>
      <c r="L1460" s="83" t="s">
        <v>2187</v>
      </c>
      <c r="M1460" s="15"/>
      <c r="N1460" s="15" t="s">
        <v>38</v>
      </c>
      <c r="O1460" s="15"/>
      <c r="P1460" s="16" t="s">
        <v>2105</v>
      </c>
      <c r="Q1460" s="17">
        <v>4599</v>
      </c>
      <c r="R1460" s="18">
        <v>43</v>
      </c>
      <c r="S1460" s="19">
        <v>3014.6444999999994</v>
      </c>
      <c r="T1460" s="20" t="s">
        <v>75</v>
      </c>
      <c r="U1460" s="21" t="s">
        <v>1999</v>
      </c>
      <c r="V1460" s="22" t="s">
        <v>2050</v>
      </c>
      <c r="W1460" s="23">
        <v>7</v>
      </c>
      <c r="X1460" s="24"/>
    </row>
    <row r="1461" spans="1:24" s="1" customFormat="1" ht="35" customHeight="1" x14ac:dyDescent="0.3">
      <c r="A1461" s="25" t="s">
        <v>1986</v>
      </c>
      <c r="B1461" s="25" t="s">
        <v>2101</v>
      </c>
      <c r="C1461" s="12" t="s">
        <v>2185</v>
      </c>
      <c r="D1461" s="86"/>
      <c r="E1461" s="67" t="str">
        <f>HYPERLINK("https://www.google.ru/search?q=C3UUW-5-1&amp;newwindow=1&amp;tbm=isch","Еще фото")</f>
        <v>Еще фото</v>
      </c>
      <c r="F1461" s="14"/>
      <c r="G1461" s="25" t="s">
        <v>2186</v>
      </c>
      <c r="H1461" s="25" t="s">
        <v>69</v>
      </c>
      <c r="I1461" s="25" t="s">
        <v>713</v>
      </c>
      <c r="J1461" s="15" t="s">
        <v>162</v>
      </c>
      <c r="K1461" s="16" t="s">
        <v>71</v>
      </c>
      <c r="L1461" s="88"/>
      <c r="M1461" s="15"/>
      <c r="N1461" s="15" t="s">
        <v>38</v>
      </c>
      <c r="O1461" s="15"/>
      <c r="P1461" s="16" t="s">
        <v>2105</v>
      </c>
      <c r="Q1461" s="17">
        <v>4599</v>
      </c>
      <c r="R1461" s="18">
        <v>43</v>
      </c>
      <c r="S1461" s="19">
        <v>3014.6444999999994</v>
      </c>
      <c r="T1461" s="20" t="s">
        <v>75</v>
      </c>
      <c r="U1461" s="21" t="s">
        <v>2000</v>
      </c>
      <c r="V1461" s="22" t="s">
        <v>732</v>
      </c>
      <c r="W1461" s="23">
        <v>15</v>
      </c>
      <c r="X1461" s="24"/>
    </row>
    <row r="1462" spans="1:24" s="1" customFormat="1" ht="37.049999999999997" customHeight="1" x14ac:dyDescent="0.3">
      <c r="A1462" s="25" t="s">
        <v>1986</v>
      </c>
      <c r="B1462" s="25" t="s">
        <v>2101</v>
      </c>
      <c r="C1462" s="12" t="s">
        <v>2185</v>
      </c>
      <c r="D1462" s="87"/>
      <c r="E1462" s="67" t="str">
        <f>HYPERLINK("https://www.google.ru/search?q=C3UUW-5-1&amp;newwindow=1&amp;tbm=isch","Еще фото")</f>
        <v>Еще фото</v>
      </c>
      <c r="F1462" s="14"/>
      <c r="G1462" s="25" t="s">
        <v>2186</v>
      </c>
      <c r="H1462" s="25" t="s">
        <v>69</v>
      </c>
      <c r="I1462" s="25" t="s">
        <v>713</v>
      </c>
      <c r="J1462" s="15" t="s">
        <v>162</v>
      </c>
      <c r="K1462" s="16" t="s">
        <v>71</v>
      </c>
      <c r="L1462" s="84"/>
      <c r="M1462" s="15"/>
      <c r="N1462" s="15" t="s">
        <v>38</v>
      </c>
      <c r="O1462" s="15"/>
      <c r="P1462" s="16" t="s">
        <v>2105</v>
      </c>
      <c r="Q1462" s="17">
        <v>4599</v>
      </c>
      <c r="R1462" s="18">
        <v>43</v>
      </c>
      <c r="S1462" s="19">
        <v>3014.6444999999994</v>
      </c>
      <c r="T1462" s="20" t="s">
        <v>75</v>
      </c>
      <c r="U1462" s="21" t="s">
        <v>2001</v>
      </c>
      <c r="V1462" s="22" t="s">
        <v>2051</v>
      </c>
      <c r="W1462" s="23">
        <v>14</v>
      </c>
      <c r="X1462" s="24"/>
    </row>
    <row r="1463" spans="1:24" s="1" customFormat="1" ht="35" customHeight="1" x14ac:dyDescent="0.3">
      <c r="A1463" s="11" t="s">
        <v>1986</v>
      </c>
      <c r="B1463" s="11" t="s">
        <v>2101</v>
      </c>
      <c r="C1463" s="12" t="s">
        <v>2188</v>
      </c>
      <c r="D1463" s="85"/>
      <c r="E1463" s="67" t="str">
        <f>HYPERLINK("https://www.google.ru/search?q=C3UUW-S3&amp;newwindow=1&amp;tbm=isch","Еще фото")</f>
        <v>Еще фото</v>
      </c>
      <c r="F1463" s="14"/>
      <c r="G1463" s="11" t="s">
        <v>2103</v>
      </c>
      <c r="H1463" s="11" t="s">
        <v>69</v>
      </c>
      <c r="I1463" s="15" t="s">
        <v>713</v>
      </c>
      <c r="J1463" s="15" t="s">
        <v>162</v>
      </c>
      <c r="K1463" s="16" t="s">
        <v>29</v>
      </c>
      <c r="L1463" s="83" t="s">
        <v>2189</v>
      </c>
      <c r="M1463" s="15"/>
      <c r="N1463" s="15" t="s">
        <v>122</v>
      </c>
      <c r="O1463" s="15"/>
      <c r="P1463" s="16" t="s">
        <v>2068</v>
      </c>
      <c r="Q1463" s="17">
        <v>4599</v>
      </c>
      <c r="R1463" s="18">
        <v>43</v>
      </c>
      <c r="S1463" s="19">
        <v>3014.6444999999994</v>
      </c>
      <c r="T1463" s="20" t="s">
        <v>75</v>
      </c>
      <c r="U1463" s="21" t="s">
        <v>1999</v>
      </c>
      <c r="V1463" s="22" t="s">
        <v>2050</v>
      </c>
      <c r="W1463" s="23">
        <v>3</v>
      </c>
      <c r="X1463" s="24"/>
    </row>
    <row r="1464" spans="1:24" s="1" customFormat="1" ht="35" customHeight="1" x14ac:dyDescent="0.3">
      <c r="A1464" s="25" t="s">
        <v>1986</v>
      </c>
      <c r="B1464" s="25" t="s">
        <v>2101</v>
      </c>
      <c r="C1464" s="12" t="s">
        <v>2188</v>
      </c>
      <c r="D1464" s="86"/>
      <c r="E1464" s="67" t="str">
        <f>HYPERLINK("https://www.google.ru/search?q=C3UUW-S3&amp;newwindow=1&amp;tbm=isch","Еще фото")</f>
        <v>Еще фото</v>
      </c>
      <c r="F1464" s="14"/>
      <c r="G1464" s="25" t="s">
        <v>2103</v>
      </c>
      <c r="H1464" s="25" t="s">
        <v>69</v>
      </c>
      <c r="I1464" s="25" t="s">
        <v>713</v>
      </c>
      <c r="J1464" s="15" t="s">
        <v>162</v>
      </c>
      <c r="K1464" s="16" t="s">
        <v>29</v>
      </c>
      <c r="L1464" s="88"/>
      <c r="M1464" s="15"/>
      <c r="N1464" s="15" t="s">
        <v>122</v>
      </c>
      <c r="O1464" s="15"/>
      <c r="P1464" s="16" t="s">
        <v>2068</v>
      </c>
      <c r="Q1464" s="17">
        <v>4599</v>
      </c>
      <c r="R1464" s="18">
        <v>43</v>
      </c>
      <c r="S1464" s="19">
        <v>3014.6444999999994</v>
      </c>
      <c r="T1464" s="20" t="s">
        <v>75</v>
      </c>
      <c r="U1464" s="21" t="s">
        <v>2000</v>
      </c>
      <c r="V1464" s="22" t="s">
        <v>2056</v>
      </c>
      <c r="W1464" s="23">
        <v>11</v>
      </c>
      <c r="X1464" s="24"/>
    </row>
    <row r="1465" spans="1:24" s="1" customFormat="1" ht="37.049999999999997" customHeight="1" x14ac:dyDescent="0.3">
      <c r="A1465" s="25" t="s">
        <v>1986</v>
      </c>
      <c r="B1465" s="25" t="s">
        <v>2101</v>
      </c>
      <c r="C1465" s="12" t="s">
        <v>2188</v>
      </c>
      <c r="D1465" s="87"/>
      <c r="E1465" s="67" t="str">
        <f>HYPERLINK("https://www.google.ru/search?q=C3UUW-S3&amp;newwindow=1&amp;tbm=isch","Еще фото")</f>
        <v>Еще фото</v>
      </c>
      <c r="F1465" s="14"/>
      <c r="G1465" s="25" t="s">
        <v>2103</v>
      </c>
      <c r="H1465" s="25" t="s">
        <v>69</v>
      </c>
      <c r="I1465" s="25" t="s">
        <v>713</v>
      </c>
      <c r="J1465" s="15" t="s">
        <v>162</v>
      </c>
      <c r="K1465" s="16" t="s">
        <v>29</v>
      </c>
      <c r="L1465" s="84"/>
      <c r="M1465" s="15"/>
      <c r="N1465" s="15" t="s">
        <v>122</v>
      </c>
      <c r="O1465" s="15"/>
      <c r="P1465" s="16" t="s">
        <v>2068</v>
      </c>
      <c r="Q1465" s="17">
        <v>4599</v>
      </c>
      <c r="R1465" s="18">
        <v>43</v>
      </c>
      <c r="S1465" s="19">
        <v>3014.6444999999994</v>
      </c>
      <c r="T1465" s="20" t="s">
        <v>75</v>
      </c>
      <c r="U1465" s="21" t="s">
        <v>2001</v>
      </c>
      <c r="V1465" s="22" t="s">
        <v>2051</v>
      </c>
      <c r="W1465" s="23">
        <v>8</v>
      </c>
      <c r="X1465" s="24"/>
    </row>
    <row r="1466" spans="1:24" s="1" customFormat="1" ht="35" customHeight="1" x14ac:dyDescent="0.3">
      <c r="A1466" s="11" t="s">
        <v>1986</v>
      </c>
      <c r="B1466" s="11" t="s">
        <v>2077</v>
      </c>
      <c r="C1466" s="12" t="s">
        <v>2190</v>
      </c>
      <c r="D1466" s="85"/>
      <c r="E1466" s="67" t="str">
        <f>HYPERLINK("https://www.google.ru/search?q=C005M-3&amp;newwindow=1&amp;tbm=isch","Еще фото")</f>
        <v>Еще фото</v>
      </c>
      <c r="F1466" s="14"/>
      <c r="G1466" s="11" t="s">
        <v>712</v>
      </c>
      <c r="H1466" s="11" t="s">
        <v>69</v>
      </c>
      <c r="I1466" s="15" t="s">
        <v>713</v>
      </c>
      <c r="J1466" s="15" t="s">
        <v>162</v>
      </c>
      <c r="K1466" s="16" t="s">
        <v>45</v>
      </c>
      <c r="L1466" s="83" t="s">
        <v>2153</v>
      </c>
      <c r="M1466" s="15"/>
      <c r="N1466" s="15" t="s">
        <v>31</v>
      </c>
      <c r="O1466" s="15"/>
      <c r="P1466" s="16" t="s">
        <v>2080</v>
      </c>
      <c r="Q1466" s="17">
        <v>2699</v>
      </c>
      <c r="R1466" s="18">
        <v>40</v>
      </c>
      <c r="S1466" s="19">
        <v>1862.31</v>
      </c>
      <c r="T1466" s="20" t="s">
        <v>75</v>
      </c>
      <c r="U1466" s="21" t="s">
        <v>2000</v>
      </c>
      <c r="V1466" s="22" t="s">
        <v>2042</v>
      </c>
      <c r="W1466" s="23">
        <v>12</v>
      </c>
      <c r="X1466" s="24"/>
    </row>
    <row r="1467" spans="1:24" s="1" customFormat="1" ht="35" customHeight="1" x14ac:dyDescent="0.3">
      <c r="A1467" s="25" t="s">
        <v>1986</v>
      </c>
      <c r="B1467" s="25" t="s">
        <v>2077</v>
      </c>
      <c r="C1467" s="12" t="s">
        <v>2190</v>
      </c>
      <c r="D1467" s="86"/>
      <c r="E1467" s="67" t="str">
        <f>HYPERLINK("https://www.google.ru/search?q=C005M-3&amp;newwindow=1&amp;tbm=isch","Еще фото")</f>
        <v>Еще фото</v>
      </c>
      <c r="F1467" s="14"/>
      <c r="G1467" s="25" t="s">
        <v>712</v>
      </c>
      <c r="H1467" s="25" t="s">
        <v>69</v>
      </c>
      <c r="I1467" s="25" t="s">
        <v>713</v>
      </c>
      <c r="J1467" s="15" t="s">
        <v>162</v>
      </c>
      <c r="K1467" s="16" t="s">
        <v>45</v>
      </c>
      <c r="L1467" s="88"/>
      <c r="M1467" s="15"/>
      <c r="N1467" s="15" t="s">
        <v>31</v>
      </c>
      <c r="O1467" s="15"/>
      <c r="P1467" s="16" t="s">
        <v>2080</v>
      </c>
      <c r="Q1467" s="17">
        <v>2699</v>
      </c>
      <c r="R1467" s="18">
        <v>40</v>
      </c>
      <c r="S1467" s="19">
        <v>1862.31</v>
      </c>
      <c r="T1467" s="20" t="s">
        <v>75</v>
      </c>
      <c r="U1467" s="21" t="s">
        <v>2001</v>
      </c>
      <c r="V1467" s="22" t="s">
        <v>35</v>
      </c>
      <c r="W1467" s="23">
        <v>16</v>
      </c>
      <c r="X1467" s="24"/>
    </row>
    <row r="1468" spans="1:24" s="1" customFormat="1" ht="37.049999999999997" customHeight="1" x14ac:dyDescent="0.3">
      <c r="A1468" s="25" t="s">
        <v>1986</v>
      </c>
      <c r="B1468" s="25" t="s">
        <v>2077</v>
      </c>
      <c r="C1468" s="12" t="s">
        <v>2190</v>
      </c>
      <c r="D1468" s="87"/>
      <c r="E1468" s="67" t="str">
        <f>HYPERLINK("https://www.google.ru/search?q=C005M-3&amp;newwindow=1&amp;tbm=isch","Еще фото")</f>
        <v>Еще фото</v>
      </c>
      <c r="F1468" s="14"/>
      <c r="G1468" s="25" t="s">
        <v>712</v>
      </c>
      <c r="H1468" s="25" t="s">
        <v>69</v>
      </c>
      <c r="I1468" s="25" t="s">
        <v>713</v>
      </c>
      <c r="J1468" s="15" t="s">
        <v>162</v>
      </c>
      <c r="K1468" s="16" t="s">
        <v>45</v>
      </c>
      <c r="L1468" s="84"/>
      <c r="M1468" s="15"/>
      <c r="N1468" s="15" t="s">
        <v>31</v>
      </c>
      <c r="O1468" s="15"/>
      <c r="P1468" s="16" t="s">
        <v>2080</v>
      </c>
      <c r="Q1468" s="17">
        <v>2699</v>
      </c>
      <c r="R1468" s="18">
        <v>40</v>
      </c>
      <c r="S1468" s="19">
        <v>1862.31</v>
      </c>
      <c r="T1468" s="20" t="s">
        <v>75</v>
      </c>
      <c r="U1468" s="21" t="s">
        <v>2043</v>
      </c>
      <c r="V1468" s="22" t="s">
        <v>2044</v>
      </c>
      <c r="W1468" s="23">
        <v>6</v>
      </c>
      <c r="X1468" s="24"/>
    </row>
    <row r="1469" spans="1:24" s="1" customFormat="1" ht="35" customHeight="1" x14ac:dyDescent="0.3">
      <c r="A1469" s="11" t="s">
        <v>1986</v>
      </c>
      <c r="B1469" s="11" t="s">
        <v>2077</v>
      </c>
      <c r="C1469" s="12" t="s">
        <v>2191</v>
      </c>
      <c r="D1469" s="85"/>
      <c r="E1469" s="67" t="str">
        <f>HYPERLINK("https://www.google.ru/search?q=C005M-5&amp;newwindow=1&amp;tbm=isch","Еще фото")</f>
        <v>Еще фото</v>
      </c>
      <c r="F1469" s="14"/>
      <c r="G1469" s="11" t="s">
        <v>712</v>
      </c>
      <c r="H1469" s="11" t="s">
        <v>69</v>
      </c>
      <c r="I1469" s="15" t="s">
        <v>713</v>
      </c>
      <c r="J1469" s="15" t="s">
        <v>162</v>
      </c>
      <c r="K1469" s="16" t="s">
        <v>45</v>
      </c>
      <c r="L1469" s="83" t="s">
        <v>2153</v>
      </c>
      <c r="M1469" s="15"/>
      <c r="N1469" s="15" t="s">
        <v>38</v>
      </c>
      <c r="O1469" s="15"/>
      <c r="P1469" s="16" t="s">
        <v>2080</v>
      </c>
      <c r="Q1469" s="17">
        <v>2699</v>
      </c>
      <c r="R1469" s="18">
        <v>40</v>
      </c>
      <c r="S1469" s="19">
        <v>1862.31</v>
      </c>
      <c r="T1469" s="20" t="s">
        <v>75</v>
      </c>
      <c r="U1469" s="21" t="s">
        <v>2000</v>
      </c>
      <c r="V1469" s="22" t="s">
        <v>2042</v>
      </c>
      <c r="W1469" s="23">
        <v>11</v>
      </c>
      <c r="X1469" s="24"/>
    </row>
    <row r="1470" spans="1:24" s="1" customFormat="1" ht="35" customHeight="1" x14ac:dyDescent="0.3">
      <c r="A1470" s="25" t="s">
        <v>1986</v>
      </c>
      <c r="B1470" s="25" t="s">
        <v>2077</v>
      </c>
      <c r="C1470" s="12" t="s">
        <v>2191</v>
      </c>
      <c r="D1470" s="86"/>
      <c r="E1470" s="67" t="str">
        <f>HYPERLINK("https://www.google.ru/search?q=C005M-5&amp;newwindow=1&amp;tbm=isch","Еще фото")</f>
        <v>Еще фото</v>
      </c>
      <c r="F1470" s="14"/>
      <c r="G1470" s="25" t="s">
        <v>712</v>
      </c>
      <c r="H1470" s="25" t="s">
        <v>69</v>
      </c>
      <c r="I1470" s="25" t="s">
        <v>713</v>
      </c>
      <c r="J1470" s="15" t="s">
        <v>162</v>
      </c>
      <c r="K1470" s="16" t="s">
        <v>45</v>
      </c>
      <c r="L1470" s="88"/>
      <c r="M1470" s="15"/>
      <c r="N1470" s="15" t="s">
        <v>38</v>
      </c>
      <c r="O1470" s="15"/>
      <c r="P1470" s="16" t="s">
        <v>2080</v>
      </c>
      <c r="Q1470" s="17">
        <v>2699</v>
      </c>
      <c r="R1470" s="18">
        <v>40</v>
      </c>
      <c r="S1470" s="19">
        <v>1862.31</v>
      </c>
      <c r="T1470" s="20" t="s">
        <v>75</v>
      </c>
      <c r="U1470" s="21" t="s">
        <v>2001</v>
      </c>
      <c r="V1470" s="22" t="s">
        <v>35</v>
      </c>
      <c r="W1470" s="23">
        <v>15</v>
      </c>
      <c r="X1470" s="24"/>
    </row>
    <row r="1471" spans="1:24" s="1" customFormat="1" ht="37.049999999999997" customHeight="1" x14ac:dyDescent="0.3">
      <c r="A1471" s="25" t="s">
        <v>1986</v>
      </c>
      <c r="B1471" s="25" t="s">
        <v>2077</v>
      </c>
      <c r="C1471" s="12" t="s">
        <v>2191</v>
      </c>
      <c r="D1471" s="87"/>
      <c r="E1471" s="67" t="str">
        <f>HYPERLINK("https://www.google.ru/search?q=C005M-5&amp;newwindow=1&amp;tbm=isch","Еще фото")</f>
        <v>Еще фото</v>
      </c>
      <c r="F1471" s="14"/>
      <c r="G1471" s="25" t="s">
        <v>712</v>
      </c>
      <c r="H1471" s="25" t="s">
        <v>69</v>
      </c>
      <c r="I1471" s="25" t="s">
        <v>713</v>
      </c>
      <c r="J1471" s="15" t="s">
        <v>162</v>
      </c>
      <c r="K1471" s="16" t="s">
        <v>45</v>
      </c>
      <c r="L1471" s="84"/>
      <c r="M1471" s="15"/>
      <c r="N1471" s="15" t="s">
        <v>38</v>
      </c>
      <c r="O1471" s="15"/>
      <c r="P1471" s="16" t="s">
        <v>2080</v>
      </c>
      <c r="Q1471" s="17">
        <v>2699</v>
      </c>
      <c r="R1471" s="18">
        <v>40</v>
      </c>
      <c r="S1471" s="19">
        <v>1862.31</v>
      </c>
      <c r="T1471" s="20" t="s">
        <v>75</v>
      </c>
      <c r="U1471" s="21" t="s">
        <v>2043</v>
      </c>
      <c r="V1471" s="22" t="s">
        <v>2044</v>
      </c>
      <c r="W1471" s="23">
        <v>5</v>
      </c>
      <c r="X1471" s="24"/>
    </row>
    <row r="1472" spans="1:24" s="1" customFormat="1" ht="35" customHeight="1" x14ac:dyDescent="0.3">
      <c r="A1472" s="11" t="s">
        <v>1986</v>
      </c>
      <c r="B1472" s="11" t="s">
        <v>2077</v>
      </c>
      <c r="C1472" s="12" t="s">
        <v>2192</v>
      </c>
      <c r="D1472" s="85"/>
      <c r="E1472" s="67" t="str">
        <f>HYPERLINK("https://www.google.ru/search?q=C005M-5Y&amp;newwindow=1&amp;tbm=isch","Еще фото")</f>
        <v>Еще фото</v>
      </c>
      <c r="F1472" s="14"/>
      <c r="G1472" s="11" t="s">
        <v>712</v>
      </c>
      <c r="H1472" s="11" t="s">
        <v>69</v>
      </c>
      <c r="I1472" s="15" t="s">
        <v>713</v>
      </c>
      <c r="J1472" s="15" t="s">
        <v>162</v>
      </c>
      <c r="K1472" s="16" t="s">
        <v>45</v>
      </c>
      <c r="L1472" s="83" t="s">
        <v>2153</v>
      </c>
      <c r="M1472" s="15"/>
      <c r="N1472" s="15" t="s">
        <v>2193</v>
      </c>
      <c r="O1472" s="15"/>
      <c r="P1472" s="16" t="s">
        <v>2080</v>
      </c>
      <c r="Q1472" s="17">
        <v>2699</v>
      </c>
      <c r="R1472" s="18">
        <v>40</v>
      </c>
      <c r="S1472" s="19">
        <v>1862.31</v>
      </c>
      <c r="T1472" s="20" t="s">
        <v>75</v>
      </c>
      <c r="U1472" s="21" t="s">
        <v>2000</v>
      </c>
      <c r="V1472" s="22" t="s">
        <v>2042</v>
      </c>
      <c r="W1472" s="23">
        <v>4</v>
      </c>
      <c r="X1472" s="24"/>
    </row>
    <row r="1473" spans="1:24" s="1" customFormat="1" ht="35" customHeight="1" x14ac:dyDescent="0.3">
      <c r="A1473" s="25" t="s">
        <v>1986</v>
      </c>
      <c r="B1473" s="25" t="s">
        <v>2077</v>
      </c>
      <c r="C1473" s="12" t="s">
        <v>2192</v>
      </c>
      <c r="D1473" s="86"/>
      <c r="E1473" s="67" t="str">
        <f>HYPERLINK("https://www.google.ru/search?q=C005M-5Y&amp;newwindow=1&amp;tbm=isch","Еще фото")</f>
        <v>Еще фото</v>
      </c>
      <c r="F1473" s="14"/>
      <c r="G1473" s="25" t="s">
        <v>712</v>
      </c>
      <c r="H1473" s="25" t="s">
        <v>69</v>
      </c>
      <c r="I1473" s="25" t="s">
        <v>713</v>
      </c>
      <c r="J1473" s="15" t="s">
        <v>162</v>
      </c>
      <c r="K1473" s="16" t="s">
        <v>45</v>
      </c>
      <c r="L1473" s="88"/>
      <c r="M1473" s="15"/>
      <c r="N1473" s="15" t="s">
        <v>2193</v>
      </c>
      <c r="O1473" s="15"/>
      <c r="P1473" s="16" t="s">
        <v>2080</v>
      </c>
      <c r="Q1473" s="17">
        <v>2699</v>
      </c>
      <c r="R1473" s="18">
        <v>40</v>
      </c>
      <c r="S1473" s="19">
        <v>1862.31</v>
      </c>
      <c r="T1473" s="20" t="s">
        <v>75</v>
      </c>
      <c r="U1473" s="21" t="s">
        <v>2001</v>
      </c>
      <c r="V1473" s="22" t="s">
        <v>35</v>
      </c>
      <c r="W1473" s="23">
        <v>1</v>
      </c>
      <c r="X1473" s="24"/>
    </row>
    <row r="1474" spans="1:24" s="1" customFormat="1" ht="37.049999999999997" customHeight="1" x14ac:dyDescent="0.3">
      <c r="A1474" s="25" t="s">
        <v>1986</v>
      </c>
      <c r="B1474" s="25" t="s">
        <v>2077</v>
      </c>
      <c r="C1474" s="12" t="s">
        <v>2192</v>
      </c>
      <c r="D1474" s="87"/>
      <c r="E1474" s="67" t="str">
        <f>HYPERLINK("https://www.google.ru/search?q=C005M-5Y&amp;newwindow=1&amp;tbm=isch","Еще фото")</f>
        <v>Еще фото</v>
      </c>
      <c r="F1474" s="14"/>
      <c r="G1474" s="25" t="s">
        <v>712</v>
      </c>
      <c r="H1474" s="25" t="s">
        <v>69</v>
      </c>
      <c r="I1474" s="25" t="s">
        <v>713</v>
      </c>
      <c r="J1474" s="15" t="s">
        <v>162</v>
      </c>
      <c r="K1474" s="16" t="s">
        <v>45</v>
      </c>
      <c r="L1474" s="84"/>
      <c r="M1474" s="15"/>
      <c r="N1474" s="15" t="s">
        <v>2193</v>
      </c>
      <c r="O1474" s="15"/>
      <c r="P1474" s="16" t="s">
        <v>2080</v>
      </c>
      <c r="Q1474" s="17">
        <v>2699</v>
      </c>
      <c r="R1474" s="18">
        <v>40</v>
      </c>
      <c r="S1474" s="19">
        <v>1862.31</v>
      </c>
      <c r="T1474" s="20" t="s">
        <v>75</v>
      </c>
      <c r="U1474" s="21" t="s">
        <v>2043</v>
      </c>
      <c r="V1474" s="22" t="s">
        <v>2044</v>
      </c>
      <c r="W1474" s="23">
        <v>2</v>
      </c>
      <c r="X1474" s="24"/>
    </row>
    <row r="1475" spans="1:24" s="1" customFormat="1" ht="52.05" customHeight="1" x14ac:dyDescent="0.3">
      <c r="A1475" s="11" t="s">
        <v>1986</v>
      </c>
      <c r="B1475" s="11" t="s">
        <v>2077</v>
      </c>
      <c r="C1475" s="12" t="s">
        <v>2194</v>
      </c>
      <c r="D1475" s="81"/>
      <c r="E1475" s="67" t="str">
        <f>HYPERLINK("https://www.google.ru/search?q=C005W-4&amp;newwindow=1&amp;tbm=isch","Еще фото")</f>
        <v>Еще фото</v>
      </c>
      <c r="F1475" s="14"/>
      <c r="G1475" s="11" t="s">
        <v>712</v>
      </c>
      <c r="H1475" s="11" t="s">
        <v>69</v>
      </c>
      <c r="I1475" s="15" t="s">
        <v>713</v>
      </c>
      <c r="J1475" s="15" t="s">
        <v>162</v>
      </c>
      <c r="K1475" s="16" t="s">
        <v>29</v>
      </c>
      <c r="L1475" s="83" t="s">
        <v>2079</v>
      </c>
      <c r="M1475" s="15"/>
      <c r="N1475" s="15" t="s">
        <v>212</v>
      </c>
      <c r="O1475" s="15"/>
      <c r="P1475" s="16" t="s">
        <v>2080</v>
      </c>
      <c r="Q1475" s="17">
        <v>2699</v>
      </c>
      <c r="R1475" s="18">
        <v>40</v>
      </c>
      <c r="S1475" s="19">
        <v>1862.31</v>
      </c>
      <c r="T1475" s="20" t="s">
        <v>75</v>
      </c>
      <c r="U1475" s="21" t="s">
        <v>1999</v>
      </c>
      <c r="V1475" s="22" t="s">
        <v>2050</v>
      </c>
      <c r="W1475" s="23">
        <v>2</v>
      </c>
      <c r="X1475" s="24"/>
    </row>
    <row r="1476" spans="1:24" s="1" customFormat="1" ht="61.05" customHeight="1" x14ac:dyDescent="0.3">
      <c r="A1476" s="25" t="s">
        <v>1986</v>
      </c>
      <c r="B1476" s="25" t="s">
        <v>2077</v>
      </c>
      <c r="C1476" s="12" t="s">
        <v>2194</v>
      </c>
      <c r="D1476" s="82"/>
      <c r="E1476" s="67" t="str">
        <f>HYPERLINK("https://www.google.ru/search?q=C005W-4&amp;newwindow=1&amp;tbm=isch","Еще фото")</f>
        <v>Еще фото</v>
      </c>
      <c r="F1476" s="14"/>
      <c r="G1476" s="25" t="s">
        <v>712</v>
      </c>
      <c r="H1476" s="25" t="s">
        <v>69</v>
      </c>
      <c r="I1476" s="25" t="s">
        <v>713</v>
      </c>
      <c r="J1476" s="15" t="s">
        <v>162</v>
      </c>
      <c r="K1476" s="16" t="s">
        <v>29</v>
      </c>
      <c r="L1476" s="84"/>
      <c r="M1476" s="15"/>
      <c r="N1476" s="15" t="s">
        <v>212</v>
      </c>
      <c r="O1476" s="15"/>
      <c r="P1476" s="16" t="s">
        <v>2080</v>
      </c>
      <c r="Q1476" s="17">
        <v>2699</v>
      </c>
      <c r="R1476" s="18">
        <v>40</v>
      </c>
      <c r="S1476" s="19">
        <v>1862.31</v>
      </c>
      <c r="T1476" s="20" t="s">
        <v>75</v>
      </c>
      <c r="U1476" s="21" t="s">
        <v>2000</v>
      </c>
      <c r="V1476" s="22" t="s">
        <v>2056</v>
      </c>
      <c r="W1476" s="23">
        <v>3</v>
      </c>
      <c r="X1476" s="24"/>
    </row>
    <row r="1477" spans="1:24" s="1" customFormat="1" ht="108" customHeight="1" x14ac:dyDescent="0.3">
      <c r="A1477" s="11" t="s">
        <v>1986</v>
      </c>
      <c r="B1477" s="11" t="s">
        <v>2057</v>
      </c>
      <c r="C1477" s="12" t="s">
        <v>2195</v>
      </c>
      <c r="D1477" s="13"/>
      <c r="E1477" s="67" t="str">
        <f>HYPERLINK("https://www.google.ru/search?q=C053W-2&amp;newwindow=1&amp;tbm=isch","Еще фото")</f>
        <v>Еще фото</v>
      </c>
      <c r="F1477" s="14"/>
      <c r="G1477" s="11" t="s">
        <v>2196</v>
      </c>
      <c r="H1477" s="11" t="s">
        <v>69</v>
      </c>
      <c r="I1477" s="15" t="s">
        <v>713</v>
      </c>
      <c r="J1477" s="15" t="s">
        <v>28</v>
      </c>
      <c r="K1477" s="16" t="s">
        <v>29</v>
      </c>
      <c r="L1477" s="15" t="s">
        <v>2197</v>
      </c>
      <c r="M1477" s="15"/>
      <c r="N1477" s="15" t="s">
        <v>38</v>
      </c>
      <c r="O1477" s="15"/>
      <c r="P1477" s="16" t="s">
        <v>2198</v>
      </c>
      <c r="Q1477" s="17">
        <v>2999</v>
      </c>
      <c r="R1477" s="18">
        <v>40</v>
      </c>
      <c r="S1477" s="19">
        <v>2069.31</v>
      </c>
      <c r="T1477" s="20" t="s">
        <v>75</v>
      </c>
      <c r="U1477" s="21" t="s">
        <v>2000</v>
      </c>
      <c r="V1477" s="22" t="s">
        <v>2056</v>
      </c>
      <c r="W1477" s="23">
        <v>7</v>
      </c>
      <c r="X1477" s="24"/>
    </row>
    <row r="1478" spans="1:24" s="1" customFormat="1" ht="52.05" customHeight="1" x14ac:dyDescent="0.3">
      <c r="A1478" s="11" t="s">
        <v>1986</v>
      </c>
      <c r="B1478" s="11" t="s">
        <v>2057</v>
      </c>
      <c r="C1478" s="12" t="s">
        <v>2199</v>
      </c>
      <c r="D1478" s="81"/>
      <c r="E1478" s="67" t="str">
        <f>HYPERLINK("https://www.google.ru/search?q=C053W-G2&amp;newwindow=1&amp;tbm=isch","Еще фото")</f>
        <v>Еще фото</v>
      </c>
      <c r="F1478" s="14"/>
      <c r="G1478" s="11" t="s">
        <v>2196</v>
      </c>
      <c r="H1478" s="11" t="s">
        <v>69</v>
      </c>
      <c r="I1478" s="15" t="s">
        <v>713</v>
      </c>
      <c r="J1478" s="15" t="s">
        <v>162</v>
      </c>
      <c r="K1478" s="16" t="s">
        <v>29</v>
      </c>
      <c r="L1478" s="83" t="s">
        <v>2200</v>
      </c>
      <c r="M1478" s="15"/>
      <c r="N1478" s="15" t="s">
        <v>55</v>
      </c>
      <c r="O1478" s="15"/>
      <c r="P1478" s="16" t="s">
        <v>2198</v>
      </c>
      <c r="Q1478" s="17">
        <v>2999</v>
      </c>
      <c r="R1478" s="18">
        <v>40</v>
      </c>
      <c r="S1478" s="19">
        <v>2069.31</v>
      </c>
      <c r="T1478" s="20" t="s">
        <v>75</v>
      </c>
      <c r="U1478" s="21" t="s">
        <v>2000</v>
      </c>
      <c r="V1478" s="22" t="s">
        <v>2056</v>
      </c>
      <c r="W1478" s="23">
        <v>5</v>
      </c>
      <c r="X1478" s="24"/>
    </row>
    <row r="1479" spans="1:24" s="1" customFormat="1" ht="61.05" customHeight="1" x14ac:dyDescent="0.3">
      <c r="A1479" s="25" t="s">
        <v>1986</v>
      </c>
      <c r="B1479" s="25" t="s">
        <v>2057</v>
      </c>
      <c r="C1479" s="12" t="s">
        <v>2199</v>
      </c>
      <c r="D1479" s="82"/>
      <c r="E1479" s="67" t="str">
        <f>HYPERLINK("https://www.google.ru/search?q=C053W-G2&amp;newwindow=1&amp;tbm=isch","Еще фото")</f>
        <v>Еще фото</v>
      </c>
      <c r="F1479" s="14"/>
      <c r="G1479" s="25" t="s">
        <v>2196</v>
      </c>
      <c r="H1479" s="25" t="s">
        <v>69</v>
      </c>
      <c r="I1479" s="25" t="s">
        <v>713</v>
      </c>
      <c r="J1479" s="15" t="s">
        <v>162</v>
      </c>
      <c r="K1479" s="16" t="s">
        <v>29</v>
      </c>
      <c r="L1479" s="84"/>
      <c r="M1479" s="15"/>
      <c r="N1479" s="15" t="s">
        <v>55</v>
      </c>
      <c r="O1479" s="15"/>
      <c r="P1479" s="16" t="s">
        <v>2198</v>
      </c>
      <c r="Q1479" s="17">
        <v>2999</v>
      </c>
      <c r="R1479" s="18">
        <v>40</v>
      </c>
      <c r="S1479" s="19">
        <v>2069.31</v>
      </c>
      <c r="T1479" s="20" t="s">
        <v>75</v>
      </c>
      <c r="U1479" s="21" t="s">
        <v>2001</v>
      </c>
      <c r="V1479" s="22" t="s">
        <v>2051</v>
      </c>
      <c r="W1479" s="23">
        <v>2</v>
      </c>
      <c r="X1479" s="24"/>
    </row>
    <row r="1480" spans="1:24" s="1" customFormat="1" ht="108" customHeight="1" x14ac:dyDescent="0.3">
      <c r="A1480" s="11" t="s">
        <v>1986</v>
      </c>
      <c r="B1480" s="11" t="s">
        <v>2201</v>
      </c>
      <c r="C1480" s="12" t="s">
        <v>2202</v>
      </c>
      <c r="D1480" s="13"/>
      <c r="E1480" s="67" t="str">
        <f>HYPERLINK("https://www.google.ru/search?q=C094M-0&amp;newwindow=1&amp;tbm=isch","Еще фото")</f>
        <v>Еще фото</v>
      </c>
      <c r="F1480" s="14"/>
      <c r="G1480" s="11" t="s">
        <v>2203</v>
      </c>
      <c r="H1480" s="11" t="s">
        <v>69</v>
      </c>
      <c r="I1480" s="15" t="s">
        <v>713</v>
      </c>
      <c r="J1480" s="15" t="s">
        <v>28</v>
      </c>
      <c r="K1480" s="16" t="s">
        <v>45</v>
      </c>
      <c r="L1480" s="15" t="s">
        <v>2204</v>
      </c>
      <c r="M1480" s="15"/>
      <c r="N1480" s="15" t="s">
        <v>173</v>
      </c>
      <c r="O1480" s="15"/>
      <c r="P1480" s="16" t="s">
        <v>2205</v>
      </c>
      <c r="Q1480" s="17">
        <v>2629</v>
      </c>
      <c r="R1480" s="18">
        <v>40</v>
      </c>
      <c r="S1480" s="19">
        <v>1814.01</v>
      </c>
      <c r="T1480" s="20" t="s">
        <v>75</v>
      </c>
      <c r="U1480" s="21" t="s">
        <v>2043</v>
      </c>
      <c r="V1480" s="22" t="s">
        <v>2044</v>
      </c>
      <c r="W1480" s="23">
        <v>2</v>
      </c>
      <c r="X1480" s="24"/>
    </row>
    <row r="1481" spans="1:24" s="1" customFormat="1" ht="108" customHeight="1" x14ac:dyDescent="0.3">
      <c r="A1481" s="11" t="s">
        <v>1986</v>
      </c>
      <c r="B1481" s="11" t="s">
        <v>2201</v>
      </c>
      <c r="C1481" s="12" t="s">
        <v>2206</v>
      </c>
      <c r="D1481" s="13"/>
      <c r="E1481" s="67" t="str">
        <f>HYPERLINK("https://www.google.ru/search?q=C094W-5&amp;newwindow=1&amp;tbm=isch","Еще фото")</f>
        <v>Еще фото</v>
      </c>
      <c r="F1481" s="14"/>
      <c r="G1481" s="11" t="s">
        <v>2207</v>
      </c>
      <c r="H1481" s="11" t="s">
        <v>69</v>
      </c>
      <c r="I1481" s="15" t="s">
        <v>713</v>
      </c>
      <c r="J1481" s="15" t="s">
        <v>28</v>
      </c>
      <c r="K1481" s="16" t="s">
        <v>29</v>
      </c>
      <c r="L1481" s="15" t="s">
        <v>2208</v>
      </c>
      <c r="M1481" s="15"/>
      <c r="N1481" s="15" t="s">
        <v>38</v>
      </c>
      <c r="O1481" s="15" t="s">
        <v>400</v>
      </c>
      <c r="P1481" s="16" t="s">
        <v>2205</v>
      </c>
      <c r="Q1481" s="17">
        <v>2629</v>
      </c>
      <c r="R1481" s="18">
        <v>40</v>
      </c>
      <c r="S1481" s="19">
        <v>1814.01</v>
      </c>
      <c r="T1481" s="20" t="s">
        <v>75</v>
      </c>
      <c r="U1481" s="21" t="s">
        <v>2000</v>
      </c>
      <c r="V1481" s="22" t="s">
        <v>2056</v>
      </c>
      <c r="W1481" s="23">
        <v>1</v>
      </c>
      <c r="X1481" s="24"/>
    </row>
    <row r="1482" spans="1:24" s="1" customFormat="1" ht="108" customHeight="1" x14ac:dyDescent="0.3">
      <c r="A1482" s="11" t="s">
        <v>1986</v>
      </c>
      <c r="B1482" s="11" t="s">
        <v>2045</v>
      </c>
      <c r="C1482" s="12" t="s">
        <v>2209</v>
      </c>
      <c r="D1482" s="13"/>
      <c r="E1482" s="67" t="str">
        <f>HYPERLINK("https://www.google.ru/search?q=C094W-P&amp;newwindow=1&amp;tbm=isch","Еще фото")</f>
        <v>Еще фото</v>
      </c>
      <c r="F1482" s="14"/>
      <c r="G1482" s="11" t="s">
        <v>2207</v>
      </c>
      <c r="H1482" s="11" t="s">
        <v>69</v>
      </c>
      <c r="I1482" s="15" t="s">
        <v>713</v>
      </c>
      <c r="J1482" s="15" t="s">
        <v>162</v>
      </c>
      <c r="K1482" s="16" t="s">
        <v>29</v>
      </c>
      <c r="L1482" s="15" t="s">
        <v>2210</v>
      </c>
      <c r="M1482" s="15"/>
      <c r="N1482" s="15" t="s">
        <v>413</v>
      </c>
      <c r="O1482" s="15"/>
      <c r="P1482" s="16" t="s">
        <v>2205</v>
      </c>
      <c r="Q1482" s="17">
        <v>2629</v>
      </c>
      <c r="R1482" s="18">
        <v>40</v>
      </c>
      <c r="S1482" s="19">
        <v>1814.01</v>
      </c>
      <c r="T1482" s="20" t="s">
        <v>75</v>
      </c>
      <c r="U1482" s="21" t="s">
        <v>1999</v>
      </c>
      <c r="V1482" s="22" t="s">
        <v>2050</v>
      </c>
      <c r="W1482" s="23">
        <v>1</v>
      </c>
      <c r="X1482" s="24"/>
    </row>
    <row r="1483" spans="1:24" s="1" customFormat="1" ht="108" customHeight="1" x14ac:dyDescent="0.3">
      <c r="A1483" s="11" t="s">
        <v>1986</v>
      </c>
      <c r="B1483" s="11" t="s">
        <v>2201</v>
      </c>
      <c r="C1483" s="12" t="s">
        <v>2211</v>
      </c>
      <c r="D1483" s="13"/>
      <c r="E1483" s="67" t="str">
        <f>HYPERLINK("https://www.google.ru/search?q=C094W-S&amp;newwindow=1&amp;tbm=isch","Еще фото")</f>
        <v>Еще фото</v>
      </c>
      <c r="F1483" s="14"/>
      <c r="G1483" s="11" t="s">
        <v>2212</v>
      </c>
      <c r="H1483" s="11" t="s">
        <v>69</v>
      </c>
      <c r="I1483" s="15" t="s">
        <v>713</v>
      </c>
      <c r="J1483" s="15" t="s">
        <v>28</v>
      </c>
      <c r="K1483" s="16" t="s">
        <v>29</v>
      </c>
      <c r="L1483" s="15" t="s">
        <v>2213</v>
      </c>
      <c r="M1483" s="15"/>
      <c r="N1483" s="15" t="s">
        <v>122</v>
      </c>
      <c r="O1483" s="15"/>
      <c r="P1483" s="16" t="s">
        <v>2169</v>
      </c>
      <c r="Q1483" s="17">
        <v>2629</v>
      </c>
      <c r="R1483" s="18">
        <v>40</v>
      </c>
      <c r="S1483" s="19">
        <v>1814.01</v>
      </c>
      <c r="T1483" s="20" t="s">
        <v>75</v>
      </c>
      <c r="U1483" s="21" t="s">
        <v>2000</v>
      </c>
      <c r="V1483" s="22" t="s">
        <v>2056</v>
      </c>
      <c r="W1483" s="23">
        <v>1</v>
      </c>
      <c r="X1483" s="24"/>
    </row>
    <row r="1484" spans="1:24" s="1" customFormat="1" ht="35" customHeight="1" x14ac:dyDescent="0.3">
      <c r="A1484" s="11" t="s">
        <v>1986</v>
      </c>
      <c r="B1484" s="11" t="s">
        <v>2082</v>
      </c>
      <c r="C1484" s="12" t="s">
        <v>2214</v>
      </c>
      <c r="D1484" s="85"/>
      <c r="E1484" s="67" t="str">
        <f>HYPERLINK("https://www.google.ru/search?q=C095M-5Y&amp;newwindow=1&amp;tbm=isch","Еще фото")</f>
        <v>Еще фото</v>
      </c>
      <c r="F1484" s="14"/>
      <c r="G1484" s="11" t="s">
        <v>712</v>
      </c>
      <c r="H1484" s="11" t="s">
        <v>69</v>
      </c>
      <c r="I1484" s="15" t="s">
        <v>713</v>
      </c>
      <c r="J1484" s="15" t="s">
        <v>162</v>
      </c>
      <c r="K1484" s="16" t="s">
        <v>45</v>
      </c>
      <c r="L1484" s="83" t="s">
        <v>2084</v>
      </c>
      <c r="M1484" s="15"/>
      <c r="N1484" s="15" t="s">
        <v>2193</v>
      </c>
      <c r="O1484" s="15"/>
      <c r="P1484" s="16" t="s">
        <v>2085</v>
      </c>
      <c r="Q1484" s="17">
        <v>2699</v>
      </c>
      <c r="R1484" s="18">
        <v>40</v>
      </c>
      <c r="S1484" s="19">
        <v>1862.31</v>
      </c>
      <c r="T1484" s="20" t="s">
        <v>75</v>
      </c>
      <c r="U1484" s="21" t="s">
        <v>2000</v>
      </c>
      <c r="V1484" s="22" t="s">
        <v>2042</v>
      </c>
      <c r="W1484" s="23">
        <v>6</v>
      </c>
      <c r="X1484" s="24"/>
    </row>
    <row r="1485" spans="1:24" s="1" customFormat="1" ht="35" customHeight="1" x14ac:dyDescent="0.3">
      <c r="A1485" s="25" t="s">
        <v>1986</v>
      </c>
      <c r="B1485" s="25" t="s">
        <v>2082</v>
      </c>
      <c r="C1485" s="12" t="s">
        <v>2214</v>
      </c>
      <c r="D1485" s="86"/>
      <c r="E1485" s="67" t="str">
        <f>HYPERLINK("https://www.google.ru/search?q=C095M-5Y&amp;newwindow=1&amp;tbm=isch","Еще фото")</f>
        <v>Еще фото</v>
      </c>
      <c r="F1485" s="14"/>
      <c r="G1485" s="25" t="s">
        <v>712</v>
      </c>
      <c r="H1485" s="25" t="s">
        <v>69</v>
      </c>
      <c r="I1485" s="25" t="s">
        <v>713</v>
      </c>
      <c r="J1485" s="15" t="s">
        <v>162</v>
      </c>
      <c r="K1485" s="16" t="s">
        <v>45</v>
      </c>
      <c r="L1485" s="88"/>
      <c r="M1485" s="15"/>
      <c r="N1485" s="15" t="s">
        <v>2193</v>
      </c>
      <c r="O1485" s="15"/>
      <c r="P1485" s="16" t="s">
        <v>2085</v>
      </c>
      <c r="Q1485" s="17">
        <v>2699</v>
      </c>
      <c r="R1485" s="18">
        <v>40</v>
      </c>
      <c r="S1485" s="19">
        <v>1862.31</v>
      </c>
      <c r="T1485" s="20" t="s">
        <v>75</v>
      </c>
      <c r="U1485" s="21" t="s">
        <v>2001</v>
      </c>
      <c r="V1485" s="22" t="s">
        <v>35</v>
      </c>
      <c r="W1485" s="23">
        <v>4</v>
      </c>
      <c r="X1485" s="24"/>
    </row>
    <row r="1486" spans="1:24" s="1" customFormat="1" ht="37.049999999999997" customHeight="1" x14ac:dyDescent="0.3">
      <c r="A1486" s="25" t="s">
        <v>1986</v>
      </c>
      <c r="B1486" s="25" t="s">
        <v>2082</v>
      </c>
      <c r="C1486" s="12" t="s">
        <v>2214</v>
      </c>
      <c r="D1486" s="87"/>
      <c r="E1486" s="67" t="str">
        <f>HYPERLINK("https://www.google.ru/search?q=C095M-5Y&amp;newwindow=1&amp;tbm=isch","Еще фото")</f>
        <v>Еще фото</v>
      </c>
      <c r="F1486" s="14"/>
      <c r="G1486" s="25" t="s">
        <v>712</v>
      </c>
      <c r="H1486" s="25" t="s">
        <v>69</v>
      </c>
      <c r="I1486" s="25" t="s">
        <v>713</v>
      </c>
      <c r="J1486" s="15" t="s">
        <v>162</v>
      </c>
      <c r="K1486" s="16" t="s">
        <v>45</v>
      </c>
      <c r="L1486" s="84"/>
      <c r="M1486" s="15"/>
      <c r="N1486" s="15" t="s">
        <v>2193</v>
      </c>
      <c r="O1486" s="15"/>
      <c r="P1486" s="16" t="s">
        <v>2085</v>
      </c>
      <c r="Q1486" s="17">
        <v>2699</v>
      </c>
      <c r="R1486" s="18">
        <v>40</v>
      </c>
      <c r="S1486" s="19">
        <v>1862.31</v>
      </c>
      <c r="T1486" s="20" t="s">
        <v>75</v>
      </c>
      <c r="U1486" s="21" t="s">
        <v>2043</v>
      </c>
      <c r="V1486" s="22" t="s">
        <v>2044</v>
      </c>
      <c r="W1486" s="23">
        <v>3</v>
      </c>
      <c r="X1486" s="24"/>
    </row>
    <row r="1487" spans="1:24" s="1" customFormat="1" ht="108" customHeight="1" x14ac:dyDescent="0.3">
      <c r="A1487" s="11" t="s">
        <v>1986</v>
      </c>
      <c r="B1487" s="11" t="s">
        <v>2082</v>
      </c>
      <c r="C1487" s="12" t="s">
        <v>2215</v>
      </c>
      <c r="D1487" s="13"/>
      <c r="E1487" s="67" t="str">
        <f>HYPERLINK("https://www.google.ru/search?q=C095W-I3&amp;newwindow=1&amp;tbm=isch","Еще фото")</f>
        <v>Еще фото</v>
      </c>
      <c r="F1487" s="14"/>
      <c r="G1487" s="11" t="s">
        <v>712</v>
      </c>
      <c r="H1487" s="11" t="s">
        <v>69</v>
      </c>
      <c r="I1487" s="15" t="s">
        <v>713</v>
      </c>
      <c r="J1487" s="15" t="s">
        <v>162</v>
      </c>
      <c r="K1487" s="16" t="s">
        <v>29</v>
      </c>
      <c r="L1487" s="15" t="s">
        <v>2089</v>
      </c>
      <c r="M1487" s="15"/>
      <c r="N1487" s="15" t="s">
        <v>31</v>
      </c>
      <c r="O1487" s="15"/>
      <c r="P1487" s="16" t="s">
        <v>2085</v>
      </c>
      <c r="Q1487" s="17">
        <v>2699</v>
      </c>
      <c r="R1487" s="18">
        <v>40</v>
      </c>
      <c r="S1487" s="19">
        <v>1862.31</v>
      </c>
      <c r="T1487" s="20" t="s">
        <v>75</v>
      </c>
      <c r="U1487" s="21" t="s">
        <v>1999</v>
      </c>
      <c r="V1487" s="22" t="s">
        <v>2050</v>
      </c>
      <c r="W1487" s="23">
        <v>1</v>
      </c>
      <c r="X1487" s="24"/>
    </row>
    <row r="1488" spans="1:24" s="1" customFormat="1" ht="108" customHeight="1" x14ac:dyDescent="0.3">
      <c r="A1488" s="11" t="s">
        <v>1986</v>
      </c>
      <c r="B1488" s="11" t="s">
        <v>2045</v>
      </c>
      <c r="C1488" s="12" t="s">
        <v>2216</v>
      </c>
      <c r="D1488" s="13"/>
      <c r="E1488" s="67" t="str">
        <f>HYPERLINK("https://www.google.ru/search?q=C09UUM-5&amp;newwindow=1&amp;tbm=isch","Еще фото")</f>
        <v>Еще фото</v>
      </c>
      <c r="F1488" s="14"/>
      <c r="G1488" s="11" t="s">
        <v>2062</v>
      </c>
      <c r="H1488" s="11" t="s">
        <v>69</v>
      </c>
      <c r="I1488" s="15" t="s">
        <v>713</v>
      </c>
      <c r="J1488" s="15" t="s">
        <v>162</v>
      </c>
      <c r="K1488" s="16" t="s">
        <v>45</v>
      </c>
      <c r="L1488" s="15" t="s">
        <v>2150</v>
      </c>
      <c r="M1488" s="15"/>
      <c r="N1488" s="15" t="s">
        <v>38</v>
      </c>
      <c r="O1488" s="15" t="s">
        <v>400</v>
      </c>
      <c r="P1488" s="16" t="s">
        <v>2055</v>
      </c>
      <c r="Q1488" s="17">
        <v>2799</v>
      </c>
      <c r="R1488" s="18">
        <v>40</v>
      </c>
      <c r="S1488" s="19">
        <v>1931.31</v>
      </c>
      <c r="T1488" s="20" t="s">
        <v>75</v>
      </c>
      <c r="U1488" s="21" t="s">
        <v>2000</v>
      </c>
      <c r="V1488" s="22" t="s">
        <v>2042</v>
      </c>
      <c r="W1488" s="23">
        <v>5</v>
      </c>
      <c r="X1488" s="24"/>
    </row>
    <row r="1489" spans="1:24" s="1" customFormat="1" ht="52.05" customHeight="1" x14ac:dyDescent="0.3">
      <c r="A1489" s="11" t="s">
        <v>1986</v>
      </c>
      <c r="B1489" s="11" t="s">
        <v>2045</v>
      </c>
      <c r="C1489" s="12" t="s">
        <v>2217</v>
      </c>
      <c r="D1489" s="81"/>
      <c r="E1489" s="67" t="str">
        <f>HYPERLINK("https://www.google.ru/search?q=C09UUM-S3&amp;newwindow=1&amp;tbm=isch","Еще фото")</f>
        <v>Еще фото</v>
      </c>
      <c r="F1489" s="14"/>
      <c r="G1489" s="11" t="s">
        <v>2062</v>
      </c>
      <c r="H1489" s="11" t="s">
        <v>69</v>
      </c>
      <c r="I1489" s="15" t="s">
        <v>713</v>
      </c>
      <c r="J1489" s="15" t="s">
        <v>162</v>
      </c>
      <c r="K1489" s="16" t="s">
        <v>45</v>
      </c>
      <c r="L1489" s="83" t="s">
        <v>2150</v>
      </c>
      <c r="M1489" s="15"/>
      <c r="N1489" s="15" t="s">
        <v>122</v>
      </c>
      <c r="O1489" s="15"/>
      <c r="P1489" s="16" t="s">
        <v>2068</v>
      </c>
      <c r="Q1489" s="17">
        <v>2699</v>
      </c>
      <c r="R1489" s="18">
        <v>40</v>
      </c>
      <c r="S1489" s="19">
        <v>1862.31</v>
      </c>
      <c r="T1489" s="20" t="s">
        <v>75</v>
      </c>
      <c r="U1489" s="21" t="s">
        <v>2000</v>
      </c>
      <c r="V1489" s="22" t="s">
        <v>2042</v>
      </c>
      <c r="W1489" s="23">
        <v>2</v>
      </c>
      <c r="X1489" s="24"/>
    </row>
    <row r="1490" spans="1:24" s="1" customFormat="1" ht="61.05" customHeight="1" x14ac:dyDescent="0.3">
      <c r="A1490" s="25" t="s">
        <v>1986</v>
      </c>
      <c r="B1490" s="25" t="s">
        <v>2045</v>
      </c>
      <c r="C1490" s="12" t="s">
        <v>2217</v>
      </c>
      <c r="D1490" s="82"/>
      <c r="E1490" s="67" t="str">
        <f>HYPERLINK("https://www.google.ru/search?q=C09UUM-S3&amp;newwindow=1&amp;tbm=isch","Еще фото")</f>
        <v>Еще фото</v>
      </c>
      <c r="F1490" s="14"/>
      <c r="G1490" s="25" t="s">
        <v>2062</v>
      </c>
      <c r="H1490" s="25" t="s">
        <v>69</v>
      </c>
      <c r="I1490" s="25" t="s">
        <v>713</v>
      </c>
      <c r="J1490" s="15" t="s">
        <v>162</v>
      </c>
      <c r="K1490" s="16" t="s">
        <v>45</v>
      </c>
      <c r="L1490" s="84"/>
      <c r="M1490" s="15"/>
      <c r="N1490" s="15" t="s">
        <v>122</v>
      </c>
      <c r="O1490" s="15"/>
      <c r="P1490" s="16" t="s">
        <v>2068</v>
      </c>
      <c r="Q1490" s="17">
        <v>2699</v>
      </c>
      <c r="R1490" s="18">
        <v>40</v>
      </c>
      <c r="S1490" s="19">
        <v>1862.31</v>
      </c>
      <c r="T1490" s="20" t="s">
        <v>75</v>
      </c>
      <c r="U1490" s="21" t="s">
        <v>2043</v>
      </c>
      <c r="V1490" s="22" t="s">
        <v>2044</v>
      </c>
      <c r="W1490" s="23">
        <v>1</v>
      </c>
      <c r="X1490" s="24"/>
    </row>
    <row r="1491" spans="1:24" s="1" customFormat="1" ht="108" customHeight="1" x14ac:dyDescent="0.3">
      <c r="A1491" s="11" t="s">
        <v>1986</v>
      </c>
      <c r="B1491" s="11" t="s">
        <v>2045</v>
      </c>
      <c r="C1491" s="12" t="s">
        <v>2218</v>
      </c>
      <c r="D1491" s="13"/>
      <c r="E1491" s="67" t="str">
        <f>HYPERLINK("https://www.google.ru/search?q=C0UUM-S3&amp;newwindow=1&amp;tbm=isch","Еще фото")</f>
        <v>Еще фото</v>
      </c>
      <c r="F1491" s="14"/>
      <c r="G1491" s="11" t="s">
        <v>2219</v>
      </c>
      <c r="H1491" s="11" t="s">
        <v>69</v>
      </c>
      <c r="I1491" s="15" t="s">
        <v>713</v>
      </c>
      <c r="J1491" s="15" t="s">
        <v>28</v>
      </c>
      <c r="K1491" s="16" t="s">
        <v>45</v>
      </c>
      <c r="L1491" s="15" t="s">
        <v>2220</v>
      </c>
      <c r="M1491" s="15"/>
      <c r="N1491" s="15" t="s">
        <v>122</v>
      </c>
      <c r="O1491" s="15"/>
      <c r="P1491" s="16" t="s">
        <v>2055</v>
      </c>
      <c r="Q1491" s="17">
        <v>2629</v>
      </c>
      <c r="R1491" s="18">
        <v>40</v>
      </c>
      <c r="S1491" s="19">
        <v>1814.01</v>
      </c>
      <c r="T1491" s="20" t="s">
        <v>75</v>
      </c>
      <c r="U1491" s="21" t="s">
        <v>2000</v>
      </c>
      <c r="V1491" s="22" t="s">
        <v>2042</v>
      </c>
      <c r="W1491" s="23">
        <v>7</v>
      </c>
      <c r="X1491" s="24"/>
    </row>
    <row r="1492" spans="1:24" s="1" customFormat="1" ht="108" customHeight="1" x14ac:dyDescent="0.3">
      <c r="A1492" s="11" t="s">
        <v>1986</v>
      </c>
      <c r="B1492" s="11" t="s">
        <v>2201</v>
      </c>
      <c r="C1492" s="12" t="s">
        <v>2221</v>
      </c>
      <c r="D1492" s="13"/>
      <c r="E1492" s="67" t="str">
        <f>HYPERLINK("https://www.google.ru/search?q=C104W-5&amp;newwindow=1&amp;tbm=isch","Еще фото")</f>
        <v>Еще фото</v>
      </c>
      <c r="F1492" s="14"/>
      <c r="G1492" s="11" t="s">
        <v>2222</v>
      </c>
      <c r="H1492" s="11" t="s">
        <v>69</v>
      </c>
      <c r="I1492" s="15" t="s">
        <v>713</v>
      </c>
      <c r="J1492" s="15" t="s">
        <v>28</v>
      </c>
      <c r="K1492" s="16" t="s">
        <v>29</v>
      </c>
      <c r="L1492" s="15" t="s">
        <v>2223</v>
      </c>
      <c r="M1492" s="15"/>
      <c r="N1492" s="15" t="s">
        <v>38</v>
      </c>
      <c r="O1492" s="15" t="s">
        <v>400</v>
      </c>
      <c r="P1492" s="16" t="s">
        <v>2109</v>
      </c>
      <c r="Q1492" s="17">
        <v>2949</v>
      </c>
      <c r="R1492" s="18">
        <v>40</v>
      </c>
      <c r="S1492" s="19">
        <v>2034.81</v>
      </c>
      <c r="T1492" s="20" t="s">
        <v>75</v>
      </c>
      <c r="U1492" s="21" t="s">
        <v>2000</v>
      </c>
      <c r="V1492" s="22" t="s">
        <v>2056</v>
      </c>
      <c r="W1492" s="23">
        <v>1</v>
      </c>
      <c r="X1492" s="24"/>
    </row>
    <row r="1493" spans="1:24" s="1" customFormat="1" ht="52.05" customHeight="1" x14ac:dyDescent="0.3">
      <c r="A1493" s="11" t="s">
        <v>1986</v>
      </c>
      <c r="B1493" s="11" t="s">
        <v>2106</v>
      </c>
      <c r="C1493" s="12" t="s">
        <v>2224</v>
      </c>
      <c r="D1493" s="81"/>
      <c r="E1493" s="67" t="str">
        <f>HYPERLINK("https://www.google.ru/search?q=C105M-0&amp;newwindow=1&amp;tbm=isch","Еще фото")</f>
        <v>Еще фото</v>
      </c>
      <c r="F1493" s="14"/>
      <c r="G1493" s="11" t="s">
        <v>712</v>
      </c>
      <c r="H1493" s="11" t="s">
        <v>69</v>
      </c>
      <c r="I1493" s="15" t="s">
        <v>713</v>
      </c>
      <c r="J1493" s="15" t="s">
        <v>162</v>
      </c>
      <c r="K1493" s="16" t="s">
        <v>45</v>
      </c>
      <c r="L1493" s="83" t="s">
        <v>2155</v>
      </c>
      <c r="M1493" s="15"/>
      <c r="N1493" s="15" t="s">
        <v>173</v>
      </c>
      <c r="O1493" s="15"/>
      <c r="P1493" s="16" t="s">
        <v>2109</v>
      </c>
      <c r="Q1493" s="17">
        <v>2999</v>
      </c>
      <c r="R1493" s="18">
        <v>40</v>
      </c>
      <c r="S1493" s="19">
        <v>2069.31</v>
      </c>
      <c r="T1493" s="20" t="s">
        <v>75</v>
      </c>
      <c r="U1493" s="21" t="s">
        <v>2001</v>
      </c>
      <c r="V1493" s="22" t="s">
        <v>35</v>
      </c>
      <c r="W1493" s="23">
        <v>16</v>
      </c>
      <c r="X1493" s="24"/>
    </row>
    <row r="1494" spans="1:24" s="1" customFormat="1" ht="61.05" customHeight="1" x14ac:dyDescent="0.3">
      <c r="A1494" s="25" t="s">
        <v>1986</v>
      </c>
      <c r="B1494" s="25" t="s">
        <v>2106</v>
      </c>
      <c r="C1494" s="12" t="s">
        <v>2224</v>
      </c>
      <c r="D1494" s="82"/>
      <c r="E1494" s="67" t="str">
        <f>HYPERLINK("https://www.google.ru/search?q=C105M-0&amp;newwindow=1&amp;tbm=isch","Еще фото")</f>
        <v>Еще фото</v>
      </c>
      <c r="F1494" s="14"/>
      <c r="G1494" s="25" t="s">
        <v>712</v>
      </c>
      <c r="H1494" s="25" t="s">
        <v>69</v>
      </c>
      <c r="I1494" s="25" t="s">
        <v>713</v>
      </c>
      <c r="J1494" s="15" t="s">
        <v>162</v>
      </c>
      <c r="K1494" s="16" t="s">
        <v>45</v>
      </c>
      <c r="L1494" s="84"/>
      <c r="M1494" s="15"/>
      <c r="N1494" s="15" t="s">
        <v>173</v>
      </c>
      <c r="O1494" s="15"/>
      <c r="P1494" s="16" t="s">
        <v>2109</v>
      </c>
      <c r="Q1494" s="17">
        <v>2999</v>
      </c>
      <c r="R1494" s="18">
        <v>40</v>
      </c>
      <c r="S1494" s="19">
        <v>2069.31</v>
      </c>
      <c r="T1494" s="20" t="s">
        <v>75</v>
      </c>
      <c r="U1494" s="21" t="s">
        <v>2043</v>
      </c>
      <c r="V1494" s="22" t="s">
        <v>2044</v>
      </c>
      <c r="W1494" s="23">
        <v>4</v>
      </c>
      <c r="X1494" s="24"/>
    </row>
    <row r="1495" spans="1:24" s="1" customFormat="1" ht="35" customHeight="1" x14ac:dyDescent="0.3">
      <c r="A1495" s="11" t="s">
        <v>1986</v>
      </c>
      <c r="B1495" s="11" t="s">
        <v>2106</v>
      </c>
      <c r="C1495" s="12" t="s">
        <v>2225</v>
      </c>
      <c r="D1495" s="85"/>
      <c r="E1495" s="67" t="str">
        <f>HYPERLINK("https://www.google.ru/search?q=C105M-3&amp;newwindow=1&amp;tbm=isch","Еще фото")</f>
        <v>Еще фото</v>
      </c>
      <c r="F1495" s="14"/>
      <c r="G1495" s="11" t="s">
        <v>712</v>
      </c>
      <c r="H1495" s="11" t="s">
        <v>69</v>
      </c>
      <c r="I1495" s="15" t="s">
        <v>713</v>
      </c>
      <c r="J1495" s="15" t="s">
        <v>162</v>
      </c>
      <c r="K1495" s="16" t="s">
        <v>45</v>
      </c>
      <c r="L1495" s="83" t="s">
        <v>2155</v>
      </c>
      <c r="M1495" s="15"/>
      <c r="N1495" s="15" t="s">
        <v>31</v>
      </c>
      <c r="O1495" s="15"/>
      <c r="P1495" s="16" t="s">
        <v>2109</v>
      </c>
      <c r="Q1495" s="17">
        <v>2999</v>
      </c>
      <c r="R1495" s="18">
        <v>40</v>
      </c>
      <c r="S1495" s="19">
        <v>2069.31</v>
      </c>
      <c r="T1495" s="20" t="s">
        <v>75</v>
      </c>
      <c r="U1495" s="21" t="s">
        <v>2000</v>
      </c>
      <c r="V1495" s="22" t="s">
        <v>2042</v>
      </c>
      <c r="W1495" s="23">
        <v>6</v>
      </c>
      <c r="X1495" s="24"/>
    </row>
    <row r="1496" spans="1:24" s="1" customFormat="1" ht="35" customHeight="1" x14ac:dyDescent="0.3">
      <c r="A1496" s="25" t="s">
        <v>1986</v>
      </c>
      <c r="B1496" s="25" t="s">
        <v>2106</v>
      </c>
      <c r="C1496" s="12" t="s">
        <v>2225</v>
      </c>
      <c r="D1496" s="86"/>
      <c r="E1496" s="67" t="str">
        <f>HYPERLINK("https://www.google.ru/search?q=C105M-3&amp;newwindow=1&amp;tbm=isch","Еще фото")</f>
        <v>Еще фото</v>
      </c>
      <c r="F1496" s="14"/>
      <c r="G1496" s="25" t="s">
        <v>712</v>
      </c>
      <c r="H1496" s="25" t="s">
        <v>69</v>
      </c>
      <c r="I1496" s="25" t="s">
        <v>713</v>
      </c>
      <c r="J1496" s="15" t="s">
        <v>162</v>
      </c>
      <c r="K1496" s="16" t="s">
        <v>45</v>
      </c>
      <c r="L1496" s="88"/>
      <c r="M1496" s="15"/>
      <c r="N1496" s="15" t="s">
        <v>31</v>
      </c>
      <c r="O1496" s="15"/>
      <c r="P1496" s="16" t="s">
        <v>2109</v>
      </c>
      <c r="Q1496" s="17">
        <v>2999</v>
      </c>
      <c r="R1496" s="18">
        <v>40</v>
      </c>
      <c r="S1496" s="19">
        <v>2069.31</v>
      </c>
      <c r="T1496" s="20" t="s">
        <v>75</v>
      </c>
      <c r="U1496" s="21" t="s">
        <v>2001</v>
      </c>
      <c r="V1496" s="22" t="s">
        <v>35</v>
      </c>
      <c r="W1496" s="23">
        <v>10</v>
      </c>
      <c r="X1496" s="24"/>
    </row>
    <row r="1497" spans="1:24" s="1" customFormat="1" ht="37.049999999999997" customHeight="1" x14ac:dyDescent="0.3">
      <c r="A1497" s="25" t="s">
        <v>1986</v>
      </c>
      <c r="B1497" s="25" t="s">
        <v>2106</v>
      </c>
      <c r="C1497" s="12" t="s">
        <v>2225</v>
      </c>
      <c r="D1497" s="87"/>
      <c r="E1497" s="67" t="str">
        <f>HYPERLINK("https://www.google.ru/search?q=C105M-3&amp;newwindow=1&amp;tbm=isch","Еще фото")</f>
        <v>Еще фото</v>
      </c>
      <c r="F1497" s="14"/>
      <c r="G1497" s="25" t="s">
        <v>712</v>
      </c>
      <c r="H1497" s="25" t="s">
        <v>69</v>
      </c>
      <c r="I1497" s="25" t="s">
        <v>713</v>
      </c>
      <c r="J1497" s="15" t="s">
        <v>162</v>
      </c>
      <c r="K1497" s="16" t="s">
        <v>45</v>
      </c>
      <c r="L1497" s="84"/>
      <c r="M1497" s="15"/>
      <c r="N1497" s="15" t="s">
        <v>31</v>
      </c>
      <c r="O1497" s="15"/>
      <c r="P1497" s="16" t="s">
        <v>2109</v>
      </c>
      <c r="Q1497" s="17">
        <v>2999</v>
      </c>
      <c r="R1497" s="18">
        <v>40</v>
      </c>
      <c r="S1497" s="19">
        <v>2069.31</v>
      </c>
      <c r="T1497" s="20" t="s">
        <v>75</v>
      </c>
      <c r="U1497" s="21" t="s">
        <v>2043</v>
      </c>
      <c r="V1497" s="22" t="s">
        <v>2044</v>
      </c>
      <c r="W1497" s="23">
        <v>2</v>
      </c>
      <c r="X1497" s="24"/>
    </row>
    <row r="1498" spans="1:24" s="1" customFormat="1" ht="35" customHeight="1" x14ac:dyDescent="0.3">
      <c r="A1498" s="11" t="s">
        <v>1986</v>
      </c>
      <c r="B1498" s="11" t="s">
        <v>2106</v>
      </c>
      <c r="C1498" s="12" t="s">
        <v>2226</v>
      </c>
      <c r="D1498" s="85"/>
      <c r="E1498" s="67" t="str">
        <f>HYPERLINK("https://www.google.ru/search?q=C105M-5Y&amp;newwindow=1&amp;tbm=isch","Еще фото")</f>
        <v>Еще фото</v>
      </c>
      <c r="F1498" s="14"/>
      <c r="G1498" s="11" t="s">
        <v>712</v>
      </c>
      <c r="H1498" s="11" t="s">
        <v>69</v>
      </c>
      <c r="I1498" s="15" t="s">
        <v>713</v>
      </c>
      <c r="J1498" s="15" t="s">
        <v>162</v>
      </c>
      <c r="K1498" s="16" t="s">
        <v>45</v>
      </c>
      <c r="L1498" s="83" t="s">
        <v>2155</v>
      </c>
      <c r="M1498" s="15"/>
      <c r="N1498" s="15" t="s">
        <v>2193</v>
      </c>
      <c r="O1498" s="15"/>
      <c r="P1498" s="16" t="s">
        <v>2109</v>
      </c>
      <c r="Q1498" s="17">
        <v>2999</v>
      </c>
      <c r="R1498" s="18">
        <v>40</v>
      </c>
      <c r="S1498" s="19">
        <v>2069.31</v>
      </c>
      <c r="T1498" s="20" t="s">
        <v>75</v>
      </c>
      <c r="U1498" s="21" t="s">
        <v>2000</v>
      </c>
      <c r="V1498" s="22" t="s">
        <v>2042</v>
      </c>
      <c r="W1498" s="23">
        <v>2</v>
      </c>
      <c r="X1498" s="24"/>
    </row>
    <row r="1499" spans="1:24" s="1" customFormat="1" ht="35" customHeight="1" x14ac:dyDescent="0.3">
      <c r="A1499" s="25" t="s">
        <v>1986</v>
      </c>
      <c r="B1499" s="25" t="s">
        <v>2106</v>
      </c>
      <c r="C1499" s="12" t="s">
        <v>2226</v>
      </c>
      <c r="D1499" s="86"/>
      <c r="E1499" s="67" t="str">
        <f>HYPERLINK("https://www.google.ru/search?q=C105M-5Y&amp;newwindow=1&amp;tbm=isch","Еще фото")</f>
        <v>Еще фото</v>
      </c>
      <c r="F1499" s="14"/>
      <c r="G1499" s="25" t="s">
        <v>712</v>
      </c>
      <c r="H1499" s="25" t="s">
        <v>69</v>
      </c>
      <c r="I1499" s="25" t="s">
        <v>713</v>
      </c>
      <c r="J1499" s="15" t="s">
        <v>162</v>
      </c>
      <c r="K1499" s="16" t="s">
        <v>45</v>
      </c>
      <c r="L1499" s="88"/>
      <c r="M1499" s="15"/>
      <c r="N1499" s="15" t="s">
        <v>2193</v>
      </c>
      <c r="O1499" s="15"/>
      <c r="P1499" s="16" t="s">
        <v>2109</v>
      </c>
      <c r="Q1499" s="17">
        <v>2999</v>
      </c>
      <c r="R1499" s="18">
        <v>40</v>
      </c>
      <c r="S1499" s="19">
        <v>2069.31</v>
      </c>
      <c r="T1499" s="20" t="s">
        <v>75</v>
      </c>
      <c r="U1499" s="21" t="s">
        <v>2001</v>
      </c>
      <c r="V1499" s="22" t="s">
        <v>35</v>
      </c>
      <c r="W1499" s="23">
        <v>2</v>
      </c>
      <c r="X1499" s="24"/>
    </row>
    <row r="1500" spans="1:24" s="1" customFormat="1" ht="37.049999999999997" customHeight="1" x14ac:dyDescent="0.3">
      <c r="A1500" s="25" t="s">
        <v>1986</v>
      </c>
      <c r="B1500" s="25" t="s">
        <v>2106</v>
      </c>
      <c r="C1500" s="12" t="s">
        <v>2226</v>
      </c>
      <c r="D1500" s="87"/>
      <c r="E1500" s="67" t="str">
        <f>HYPERLINK("https://www.google.ru/search?q=C105M-5Y&amp;newwindow=1&amp;tbm=isch","Еще фото")</f>
        <v>Еще фото</v>
      </c>
      <c r="F1500" s="14"/>
      <c r="G1500" s="25" t="s">
        <v>712</v>
      </c>
      <c r="H1500" s="25" t="s">
        <v>69</v>
      </c>
      <c r="I1500" s="25" t="s">
        <v>713</v>
      </c>
      <c r="J1500" s="15" t="s">
        <v>162</v>
      </c>
      <c r="K1500" s="16" t="s">
        <v>45</v>
      </c>
      <c r="L1500" s="84"/>
      <c r="M1500" s="15"/>
      <c r="N1500" s="15" t="s">
        <v>2193</v>
      </c>
      <c r="O1500" s="15"/>
      <c r="P1500" s="16" t="s">
        <v>2109</v>
      </c>
      <c r="Q1500" s="17">
        <v>2999</v>
      </c>
      <c r="R1500" s="18">
        <v>40</v>
      </c>
      <c r="S1500" s="19">
        <v>2069.31</v>
      </c>
      <c r="T1500" s="20" t="s">
        <v>75</v>
      </c>
      <c r="U1500" s="21" t="s">
        <v>2043</v>
      </c>
      <c r="V1500" s="22" t="s">
        <v>2044</v>
      </c>
      <c r="W1500" s="23">
        <v>2</v>
      </c>
      <c r="X1500" s="24"/>
    </row>
    <row r="1501" spans="1:24" s="1" customFormat="1" ht="52.05" customHeight="1" x14ac:dyDescent="0.3">
      <c r="A1501" s="11" t="s">
        <v>1986</v>
      </c>
      <c r="B1501" s="11" t="s">
        <v>2156</v>
      </c>
      <c r="C1501" s="12" t="s">
        <v>2227</v>
      </c>
      <c r="D1501" s="81"/>
      <c r="E1501" s="67" t="str">
        <f>HYPERLINK("https://www.google.ru/search?q=C105RM-Y&amp;newwindow=1&amp;tbm=isch","Еще фото")</f>
        <v>Еще фото</v>
      </c>
      <c r="F1501" s="14"/>
      <c r="G1501" s="11" t="s">
        <v>712</v>
      </c>
      <c r="H1501" s="11" t="s">
        <v>69</v>
      </c>
      <c r="I1501" s="15" t="s">
        <v>713</v>
      </c>
      <c r="J1501" s="15" t="s">
        <v>162</v>
      </c>
      <c r="K1501" s="16" t="s">
        <v>45</v>
      </c>
      <c r="L1501" s="83"/>
      <c r="M1501" s="15"/>
      <c r="N1501" s="15" t="s">
        <v>55</v>
      </c>
      <c r="O1501" s="15"/>
      <c r="P1501" s="16" t="s">
        <v>2109</v>
      </c>
      <c r="Q1501" s="17">
        <v>2999</v>
      </c>
      <c r="R1501" s="18">
        <v>40</v>
      </c>
      <c r="S1501" s="19">
        <v>2069.31</v>
      </c>
      <c r="T1501" s="20" t="s">
        <v>75</v>
      </c>
      <c r="U1501" s="21" t="s">
        <v>2000</v>
      </c>
      <c r="V1501" s="22" t="s">
        <v>2042</v>
      </c>
      <c r="W1501" s="23">
        <v>17</v>
      </c>
      <c r="X1501" s="24"/>
    </row>
    <row r="1502" spans="1:24" s="1" customFormat="1" ht="61.05" customHeight="1" x14ac:dyDescent="0.3">
      <c r="A1502" s="25" t="s">
        <v>1986</v>
      </c>
      <c r="B1502" s="25" t="s">
        <v>2156</v>
      </c>
      <c r="C1502" s="12" t="s">
        <v>2227</v>
      </c>
      <c r="D1502" s="82"/>
      <c r="E1502" s="67" t="str">
        <f>HYPERLINK("https://www.google.ru/search?q=C105RM-Y&amp;newwindow=1&amp;tbm=isch","Еще фото")</f>
        <v>Еще фото</v>
      </c>
      <c r="F1502" s="14"/>
      <c r="G1502" s="25" t="s">
        <v>712</v>
      </c>
      <c r="H1502" s="25" t="s">
        <v>69</v>
      </c>
      <c r="I1502" s="25" t="s">
        <v>713</v>
      </c>
      <c r="J1502" s="15" t="s">
        <v>162</v>
      </c>
      <c r="K1502" s="16" t="s">
        <v>45</v>
      </c>
      <c r="L1502" s="84"/>
      <c r="M1502" s="15"/>
      <c r="N1502" s="15" t="s">
        <v>55</v>
      </c>
      <c r="O1502" s="15"/>
      <c r="P1502" s="16" t="s">
        <v>2109</v>
      </c>
      <c r="Q1502" s="17">
        <v>2999</v>
      </c>
      <c r="R1502" s="18">
        <v>40</v>
      </c>
      <c r="S1502" s="19">
        <v>2069.31</v>
      </c>
      <c r="T1502" s="20" t="s">
        <v>75</v>
      </c>
      <c r="U1502" s="21" t="s">
        <v>2001</v>
      </c>
      <c r="V1502" s="22" t="s">
        <v>35</v>
      </c>
      <c r="W1502" s="23">
        <v>20</v>
      </c>
      <c r="X1502" s="24"/>
    </row>
    <row r="1503" spans="1:24" s="1" customFormat="1" ht="35" customHeight="1" x14ac:dyDescent="0.3">
      <c r="A1503" s="11" t="s">
        <v>1986</v>
      </c>
      <c r="B1503" s="11" t="s">
        <v>2228</v>
      </c>
      <c r="C1503" s="12" t="s">
        <v>2229</v>
      </c>
      <c r="D1503" s="85"/>
      <c r="E1503" s="67" t="str">
        <f>HYPERLINK("https://www.google.ru/search?q=C105RW-5&amp;newwindow=1&amp;tbm=isch","Еще фото")</f>
        <v>Еще фото</v>
      </c>
      <c r="F1503" s="14"/>
      <c r="G1503" s="11" t="s">
        <v>2230</v>
      </c>
      <c r="H1503" s="11" t="s">
        <v>69</v>
      </c>
      <c r="I1503" s="15" t="s">
        <v>713</v>
      </c>
      <c r="J1503" s="15" t="s">
        <v>162</v>
      </c>
      <c r="K1503" s="16" t="s">
        <v>29</v>
      </c>
      <c r="L1503" s="83" t="s">
        <v>2160</v>
      </c>
      <c r="M1503" s="15"/>
      <c r="N1503" s="15" t="s">
        <v>38</v>
      </c>
      <c r="O1503" s="15" t="s">
        <v>400</v>
      </c>
      <c r="P1503" s="16" t="s">
        <v>2109</v>
      </c>
      <c r="Q1503" s="17">
        <v>2949</v>
      </c>
      <c r="R1503" s="18">
        <v>40</v>
      </c>
      <c r="S1503" s="19">
        <v>2034.81</v>
      </c>
      <c r="T1503" s="20" t="s">
        <v>75</v>
      </c>
      <c r="U1503" s="21" t="s">
        <v>1999</v>
      </c>
      <c r="V1503" s="22" t="s">
        <v>2050</v>
      </c>
      <c r="W1503" s="23">
        <v>17</v>
      </c>
      <c r="X1503" s="24"/>
    </row>
    <row r="1504" spans="1:24" s="1" customFormat="1" ht="35" customHeight="1" x14ac:dyDescent="0.3">
      <c r="A1504" s="25" t="s">
        <v>1986</v>
      </c>
      <c r="B1504" s="25" t="s">
        <v>2228</v>
      </c>
      <c r="C1504" s="12" t="s">
        <v>2229</v>
      </c>
      <c r="D1504" s="86"/>
      <c r="E1504" s="67" t="str">
        <f>HYPERLINK("https://www.google.ru/search?q=C105RW-5&amp;newwindow=1&amp;tbm=isch","Еще фото")</f>
        <v>Еще фото</v>
      </c>
      <c r="F1504" s="14"/>
      <c r="G1504" s="25" t="s">
        <v>2230</v>
      </c>
      <c r="H1504" s="25" t="s">
        <v>69</v>
      </c>
      <c r="I1504" s="25" t="s">
        <v>713</v>
      </c>
      <c r="J1504" s="15" t="s">
        <v>162</v>
      </c>
      <c r="K1504" s="16" t="s">
        <v>29</v>
      </c>
      <c r="L1504" s="88"/>
      <c r="M1504" s="15"/>
      <c r="N1504" s="15" t="s">
        <v>38</v>
      </c>
      <c r="O1504" s="15" t="s">
        <v>400</v>
      </c>
      <c r="P1504" s="16" t="s">
        <v>2109</v>
      </c>
      <c r="Q1504" s="17">
        <v>2949</v>
      </c>
      <c r="R1504" s="18">
        <v>40</v>
      </c>
      <c r="S1504" s="19">
        <v>2034.81</v>
      </c>
      <c r="T1504" s="20" t="s">
        <v>75</v>
      </c>
      <c r="U1504" s="21" t="s">
        <v>2000</v>
      </c>
      <c r="V1504" s="22" t="s">
        <v>2056</v>
      </c>
      <c r="W1504" s="23">
        <v>29</v>
      </c>
      <c r="X1504" s="24"/>
    </row>
    <row r="1505" spans="1:24" s="1" customFormat="1" ht="37.049999999999997" customHeight="1" x14ac:dyDescent="0.3">
      <c r="A1505" s="25" t="s">
        <v>1986</v>
      </c>
      <c r="B1505" s="25" t="s">
        <v>2228</v>
      </c>
      <c r="C1505" s="12" t="s">
        <v>2229</v>
      </c>
      <c r="D1505" s="87"/>
      <c r="E1505" s="67" t="str">
        <f>HYPERLINK("https://www.google.ru/search?q=C105RW-5&amp;newwindow=1&amp;tbm=isch","Еще фото")</f>
        <v>Еще фото</v>
      </c>
      <c r="F1505" s="14"/>
      <c r="G1505" s="25" t="s">
        <v>2230</v>
      </c>
      <c r="H1505" s="25" t="s">
        <v>69</v>
      </c>
      <c r="I1505" s="25" t="s">
        <v>713</v>
      </c>
      <c r="J1505" s="15" t="s">
        <v>162</v>
      </c>
      <c r="K1505" s="16" t="s">
        <v>29</v>
      </c>
      <c r="L1505" s="84"/>
      <c r="M1505" s="15"/>
      <c r="N1505" s="15" t="s">
        <v>38</v>
      </c>
      <c r="O1505" s="15" t="s">
        <v>400</v>
      </c>
      <c r="P1505" s="16" t="s">
        <v>2109</v>
      </c>
      <c r="Q1505" s="17">
        <v>2949</v>
      </c>
      <c r="R1505" s="18">
        <v>40</v>
      </c>
      <c r="S1505" s="19">
        <v>2034.81</v>
      </c>
      <c r="T1505" s="20" t="s">
        <v>75</v>
      </c>
      <c r="U1505" s="21" t="s">
        <v>2001</v>
      </c>
      <c r="V1505" s="22" t="s">
        <v>2051</v>
      </c>
      <c r="W1505" s="23">
        <v>13</v>
      </c>
      <c r="X1505" s="24"/>
    </row>
    <row r="1506" spans="1:24" s="1" customFormat="1" ht="108" customHeight="1" x14ac:dyDescent="0.3">
      <c r="A1506" s="11" t="s">
        <v>1986</v>
      </c>
      <c r="B1506" s="11" t="s">
        <v>2231</v>
      </c>
      <c r="C1506" s="12" t="s">
        <v>2232</v>
      </c>
      <c r="D1506" s="13"/>
      <c r="E1506" s="67" t="str">
        <f>HYPERLINK("https://www.google.ru/search?q=C124W-5&amp;newwindow=1&amp;tbm=isch","Еще фото")</f>
        <v>Еще фото</v>
      </c>
      <c r="F1506" s="14"/>
      <c r="G1506" s="11" t="s">
        <v>2233</v>
      </c>
      <c r="H1506" s="11" t="s">
        <v>69</v>
      </c>
      <c r="I1506" s="15" t="s">
        <v>713</v>
      </c>
      <c r="J1506" s="15" t="s">
        <v>28</v>
      </c>
      <c r="K1506" s="16" t="s">
        <v>29</v>
      </c>
      <c r="L1506" s="15" t="s">
        <v>2234</v>
      </c>
      <c r="M1506" s="15"/>
      <c r="N1506" s="15" t="s">
        <v>38</v>
      </c>
      <c r="O1506" s="15" t="s">
        <v>400</v>
      </c>
      <c r="P1506" s="16" t="s">
        <v>2049</v>
      </c>
      <c r="Q1506" s="17">
        <v>6309</v>
      </c>
      <c r="R1506" s="18">
        <v>40</v>
      </c>
      <c r="S1506" s="19">
        <v>4353.21</v>
      </c>
      <c r="T1506" s="20" t="s">
        <v>75</v>
      </c>
      <c r="U1506" s="21" t="s">
        <v>2000</v>
      </c>
      <c r="V1506" s="22" t="s">
        <v>2056</v>
      </c>
      <c r="W1506" s="23">
        <v>3</v>
      </c>
      <c r="X1506" s="24"/>
    </row>
    <row r="1507" spans="1:24" s="1" customFormat="1" ht="108" customHeight="1" x14ac:dyDescent="0.3">
      <c r="A1507" s="11" t="s">
        <v>1986</v>
      </c>
      <c r="B1507" s="11" t="s">
        <v>2231</v>
      </c>
      <c r="C1507" s="12" t="s">
        <v>2235</v>
      </c>
      <c r="D1507" s="13"/>
      <c r="E1507" s="67" t="str">
        <f>HYPERLINK("https://www.google.ru/search?q=C124W-NB&amp;newwindow=1&amp;tbm=isch","Еще фото")</f>
        <v>Еще фото</v>
      </c>
      <c r="F1507" s="14"/>
      <c r="G1507" s="11" t="s">
        <v>2233</v>
      </c>
      <c r="H1507" s="11" t="s">
        <v>69</v>
      </c>
      <c r="I1507" s="15" t="s">
        <v>713</v>
      </c>
      <c r="J1507" s="15" t="s">
        <v>28</v>
      </c>
      <c r="K1507" s="16" t="s">
        <v>29</v>
      </c>
      <c r="L1507" s="15" t="s">
        <v>2234</v>
      </c>
      <c r="M1507" s="15"/>
      <c r="N1507" s="15" t="s">
        <v>31</v>
      </c>
      <c r="O1507" s="15" t="s">
        <v>400</v>
      </c>
      <c r="P1507" s="16" t="s">
        <v>2049</v>
      </c>
      <c r="Q1507" s="17">
        <v>6309</v>
      </c>
      <c r="R1507" s="18">
        <v>40</v>
      </c>
      <c r="S1507" s="19">
        <v>4353.21</v>
      </c>
      <c r="T1507" s="20" t="s">
        <v>75</v>
      </c>
      <c r="U1507" s="21" t="s">
        <v>1999</v>
      </c>
      <c r="V1507" s="22" t="s">
        <v>2050</v>
      </c>
      <c r="W1507" s="23">
        <v>2</v>
      </c>
      <c r="X1507" s="24"/>
    </row>
    <row r="1508" spans="1:24" s="1" customFormat="1" ht="52.05" customHeight="1" x14ac:dyDescent="0.3">
      <c r="A1508" s="11" t="s">
        <v>1986</v>
      </c>
      <c r="B1508" s="11" t="s">
        <v>2069</v>
      </c>
      <c r="C1508" s="12" t="s">
        <v>2236</v>
      </c>
      <c r="D1508" s="81"/>
      <c r="E1508" s="67" t="str">
        <f>HYPERLINK("https://www.google.ru/search?q=C125M-3&amp;newwindow=1&amp;tbm=isch","Еще фото")</f>
        <v>Еще фото</v>
      </c>
      <c r="F1508" s="14"/>
      <c r="G1508" s="11" t="s">
        <v>712</v>
      </c>
      <c r="H1508" s="11" t="s">
        <v>69</v>
      </c>
      <c r="I1508" s="15" t="s">
        <v>713</v>
      </c>
      <c r="J1508" s="15" t="s">
        <v>162</v>
      </c>
      <c r="K1508" s="16" t="s">
        <v>45</v>
      </c>
      <c r="L1508" s="83" t="s">
        <v>2071</v>
      </c>
      <c r="M1508" s="15"/>
      <c r="N1508" s="15" t="s">
        <v>31</v>
      </c>
      <c r="O1508" s="15"/>
      <c r="P1508" s="16" t="s">
        <v>2068</v>
      </c>
      <c r="Q1508" s="17">
        <v>6399</v>
      </c>
      <c r="R1508" s="18">
        <v>40</v>
      </c>
      <c r="S1508" s="19">
        <v>4415.3099999999995</v>
      </c>
      <c r="T1508" s="20" t="s">
        <v>75</v>
      </c>
      <c r="U1508" s="21" t="s">
        <v>2000</v>
      </c>
      <c r="V1508" s="22" t="s">
        <v>2042</v>
      </c>
      <c r="W1508" s="23">
        <v>7</v>
      </c>
      <c r="X1508" s="24"/>
    </row>
    <row r="1509" spans="1:24" s="1" customFormat="1" ht="61.05" customHeight="1" x14ac:dyDescent="0.3">
      <c r="A1509" s="25" t="s">
        <v>1986</v>
      </c>
      <c r="B1509" s="25" t="s">
        <v>2069</v>
      </c>
      <c r="C1509" s="12" t="s">
        <v>2236</v>
      </c>
      <c r="D1509" s="82"/>
      <c r="E1509" s="67" t="str">
        <f>HYPERLINK("https://www.google.ru/search?q=C125M-3&amp;newwindow=1&amp;tbm=isch","Еще фото")</f>
        <v>Еще фото</v>
      </c>
      <c r="F1509" s="14"/>
      <c r="G1509" s="25" t="s">
        <v>712</v>
      </c>
      <c r="H1509" s="25" t="s">
        <v>69</v>
      </c>
      <c r="I1509" s="25" t="s">
        <v>713</v>
      </c>
      <c r="J1509" s="15" t="s">
        <v>162</v>
      </c>
      <c r="K1509" s="16" t="s">
        <v>45</v>
      </c>
      <c r="L1509" s="84"/>
      <c r="M1509" s="15"/>
      <c r="N1509" s="15" t="s">
        <v>31</v>
      </c>
      <c r="O1509" s="15"/>
      <c r="P1509" s="16" t="s">
        <v>2068</v>
      </c>
      <c r="Q1509" s="17">
        <v>6399</v>
      </c>
      <c r="R1509" s="18">
        <v>40</v>
      </c>
      <c r="S1509" s="19">
        <v>4415.3099999999995</v>
      </c>
      <c r="T1509" s="20" t="s">
        <v>75</v>
      </c>
      <c r="U1509" s="21" t="s">
        <v>2043</v>
      </c>
      <c r="V1509" s="22" t="s">
        <v>2044</v>
      </c>
      <c r="W1509" s="23">
        <v>2</v>
      </c>
      <c r="X1509" s="24"/>
    </row>
    <row r="1510" spans="1:24" s="1" customFormat="1" ht="108" customHeight="1" x14ac:dyDescent="0.3">
      <c r="A1510" s="11" t="s">
        <v>1986</v>
      </c>
      <c r="B1510" s="11" t="s">
        <v>2069</v>
      </c>
      <c r="C1510" s="12" t="s">
        <v>2237</v>
      </c>
      <c r="D1510" s="13"/>
      <c r="E1510" s="67" t="str">
        <f>HYPERLINK("https://www.google.ru/search?q=C125M-5Y&amp;newwindow=1&amp;tbm=isch","Еще фото")</f>
        <v>Еще фото</v>
      </c>
      <c r="F1510" s="14"/>
      <c r="G1510" s="11" t="s">
        <v>712</v>
      </c>
      <c r="H1510" s="11" t="s">
        <v>69</v>
      </c>
      <c r="I1510" s="15" t="s">
        <v>713</v>
      </c>
      <c r="J1510" s="15" t="s">
        <v>162</v>
      </c>
      <c r="K1510" s="16" t="s">
        <v>45</v>
      </c>
      <c r="L1510" s="15" t="s">
        <v>2071</v>
      </c>
      <c r="M1510" s="15"/>
      <c r="N1510" s="15" t="s">
        <v>2193</v>
      </c>
      <c r="O1510" s="15"/>
      <c r="P1510" s="16" t="s">
        <v>2068</v>
      </c>
      <c r="Q1510" s="17">
        <v>6399</v>
      </c>
      <c r="R1510" s="18">
        <v>40</v>
      </c>
      <c r="S1510" s="19">
        <v>4415.3099999999995</v>
      </c>
      <c r="T1510" s="20" t="s">
        <v>75</v>
      </c>
      <c r="U1510" s="21" t="s">
        <v>2000</v>
      </c>
      <c r="V1510" s="22" t="s">
        <v>2042</v>
      </c>
      <c r="W1510" s="23">
        <v>1</v>
      </c>
      <c r="X1510" s="24"/>
    </row>
    <row r="1511" spans="1:24" s="1" customFormat="1" ht="108" customHeight="1" x14ac:dyDescent="0.3">
      <c r="A1511" s="11" t="s">
        <v>1986</v>
      </c>
      <c r="B1511" s="11" t="s">
        <v>2069</v>
      </c>
      <c r="C1511" s="12" t="s">
        <v>2238</v>
      </c>
      <c r="D1511" s="13"/>
      <c r="E1511" s="67" t="str">
        <f>HYPERLINK("https://www.google.ru/search?q=C125M-I3&amp;newwindow=1&amp;tbm=isch","Еще фото")</f>
        <v>Еще фото</v>
      </c>
      <c r="F1511" s="14"/>
      <c r="G1511" s="11" t="s">
        <v>712</v>
      </c>
      <c r="H1511" s="11" t="s">
        <v>69</v>
      </c>
      <c r="I1511" s="15" t="s">
        <v>713</v>
      </c>
      <c r="J1511" s="15" t="s">
        <v>162</v>
      </c>
      <c r="K1511" s="16" t="s">
        <v>45</v>
      </c>
      <c r="L1511" s="15" t="s">
        <v>2071</v>
      </c>
      <c r="M1511" s="15"/>
      <c r="N1511" s="15" t="s">
        <v>2239</v>
      </c>
      <c r="O1511" s="15"/>
      <c r="P1511" s="16" t="s">
        <v>2068</v>
      </c>
      <c r="Q1511" s="17">
        <v>6399</v>
      </c>
      <c r="R1511" s="18">
        <v>40</v>
      </c>
      <c r="S1511" s="19">
        <v>4415.3099999999995</v>
      </c>
      <c r="T1511" s="20" t="s">
        <v>75</v>
      </c>
      <c r="U1511" s="21" t="s">
        <v>2000</v>
      </c>
      <c r="V1511" s="22" t="s">
        <v>2042</v>
      </c>
      <c r="W1511" s="23">
        <v>1</v>
      </c>
      <c r="X1511" s="24"/>
    </row>
    <row r="1512" spans="1:24" s="1" customFormat="1" ht="35" customHeight="1" x14ac:dyDescent="0.3">
      <c r="A1512" s="11" t="s">
        <v>1986</v>
      </c>
      <c r="B1512" s="11" t="s">
        <v>2240</v>
      </c>
      <c r="C1512" s="12" t="s">
        <v>2241</v>
      </c>
      <c r="D1512" s="85"/>
      <c r="E1512" s="67" t="str">
        <f>HYPERLINK("https://www.google.ru/search?q=C125RW-5&amp;newwindow=1&amp;tbm=isch","Еще фото")</f>
        <v>Еще фото</v>
      </c>
      <c r="F1512" s="14"/>
      <c r="G1512" s="11" t="s">
        <v>2233</v>
      </c>
      <c r="H1512" s="11" t="s">
        <v>69</v>
      </c>
      <c r="I1512" s="15" t="s">
        <v>713</v>
      </c>
      <c r="J1512" s="15" t="s">
        <v>162</v>
      </c>
      <c r="K1512" s="16" t="s">
        <v>29</v>
      </c>
      <c r="L1512" s="83" t="s">
        <v>2129</v>
      </c>
      <c r="M1512" s="15"/>
      <c r="N1512" s="15" t="s">
        <v>38</v>
      </c>
      <c r="O1512" s="15" t="s">
        <v>400</v>
      </c>
      <c r="P1512" s="16" t="s">
        <v>2242</v>
      </c>
      <c r="Q1512" s="17">
        <v>6309</v>
      </c>
      <c r="R1512" s="18">
        <v>40</v>
      </c>
      <c r="S1512" s="19">
        <v>4353.21</v>
      </c>
      <c r="T1512" s="20" t="s">
        <v>75</v>
      </c>
      <c r="U1512" s="21" t="s">
        <v>1999</v>
      </c>
      <c r="V1512" s="22" t="s">
        <v>2050</v>
      </c>
      <c r="W1512" s="23">
        <v>4</v>
      </c>
      <c r="X1512" s="24"/>
    </row>
    <row r="1513" spans="1:24" s="1" customFormat="1" ht="35" customHeight="1" x14ac:dyDescent="0.3">
      <c r="A1513" s="25" t="s">
        <v>1986</v>
      </c>
      <c r="B1513" s="25" t="s">
        <v>2240</v>
      </c>
      <c r="C1513" s="12" t="s">
        <v>2241</v>
      </c>
      <c r="D1513" s="86"/>
      <c r="E1513" s="67" t="str">
        <f>HYPERLINK("https://www.google.ru/search?q=C125RW-5&amp;newwindow=1&amp;tbm=isch","Еще фото")</f>
        <v>Еще фото</v>
      </c>
      <c r="F1513" s="14"/>
      <c r="G1513" s="25" t="s">
        <v>2233</v>
      </c>
      <c r="H1513" s="25" t="s">
        <v>69</v>
      </c>
      <c r="I1513" s="25" t="s">
        <v>713</v>
      </c>
      <c r="J1513" s="15" t="s">
        <v>162</v>
      </c>
      <c r="K1513" s="16" t="s">
        <v>29</v>
      </c>
      <c r="L1513" s="88"/>
      <c r="M1513" s="15"/>
      <c r="N1513" s="15" t="s">
        <v>38</v>
      </c>
      <c r="O1513" s="15" t="s">
        <v>400</v>
      </c>
      <c r="P1513" s="16" t="s">
        <v>2242</v>
      </c>
      <c r="Q1513" s="17">
        <v>6309</v>
      </c>
      <c r="R1513" s="18">
        <v>40</v>
      </c>
      <c r="S1513" s="19">
        <v>4353.21</v>
      </c>
      <c r="T1513" s="20" t="s">
        <v>75</v>
      </c>
      <c r="U1513" s="21" t="s">
        <v>2000</v>
      </c>
      <c r="V1513" s="22" t="s">
        <v>2056</v>
      </c>
      <c r="W1513" s="23">
        <v>12</v>
      </c>
      <c r="X1513" s="24"/>
    </row>
    <row r="1514" spans="1:24" s="1" customFormat="1" ht="37.049999999999997" customHeight="1" x14ac:dyDescent="0.3">
      <c r="A1514" s="25" t="s">
        <v>1986</v>
      </c>
      <c r="B1514" s="25" t="s">
        <v>2240</v>
      </c>
      <c r="C1514" s="12" t="s">
        <v>2241</v>
      </c>
      <c r="D1514" s="87"/>
      <c r="E1514" s="67" t="str">
        <f>HYPERLINK("https://www.google.ru/search?q=C125RW-5&amp;newwindow=1&amp;tbm=isch","Еще фото")</f>
        <v>Еще фото</v>
      </c>
      <c r="F1514" s="14"/>
      <c r="G1514" s="25" t="s">
        <v>2233</v>
      </c>
      <c r="H1514" s="25" t="s">
        <v>69</v>
      </c>
      <c r="I1514" s="25" t="s">
        <v>713</v>
      </c>
      <c r="J1514" s="15" t="s">
        <v>162</v>
      </c>
      <c r="K1514" s="16" t="s">
        <v>29</v>
      </c>
      <c r="L1514" s="84"/>
      <c r="M1514" s="15"/>
      <c r="N1514" s="15" t="s">
        <v>38</v>
      </c>
      <c r="O1514" s="15" t="s">
        <v>400</v>
      </c>
      <c r="P1514" s="16" t="s">
        <v>2242</v>
      </c>
      <c r="Q1514" s="17">
        <v>6309</v>
      </c>
      <c r="R1514" s="18">
        <v>40</v>
      </c>
      <c r="S1514" s="19">
        <v>4353.21</v>
      </c>
      <c r="T1514" s="20" t="s">
        <v>75</v>
      </c>
      <c r="U1514" s="21" t="s">
        <v>2001</v>
      </c>
      <c r="V1514" s="22" t="s">
        <v>2051</v>
      </c>
      <c r="W1514" s="23">
        <v>8</v>
      </c>
      <c r="X1514" s="24"/>
    </row>
    <row r="1515" spans="1:24" s="1" customFormat="1" ht="52.05" customHeight="1" x14ac:dyDescent="0.3">
      <c r="A1515" s="11" t="s">
        <v>1986</v>
      </c>
      <c r="B1515" s="11" t="s">
        <v>2069</v>
      </c>
      <c r="C1515" s="12" t="s">
        <v>2243</v>
      </c>
      <c r="D1515" s="81"/>
      <c r="E1515" s="67" t="str">
        <f>HYPERLINK("https://www.google.ru/search?q=C125W-5&amp;newwindow=1&amp;tbm=isch","Еще фото")</f>
        <v>Еще фото</v>
      </c>
      <c r="F1515" s="14"/>
      <c r="G1515" s="11" t="s">
        <v>712</v>
      </c>
      <c r="H1515" s="11" t="s">
        <v>69</v>
      </c>
      <c r="I1515" s="15" t="s">
        <v>713</v>
      </c>
      <c r="J1515" s="15" t="s">
        <v>162</v>
      </c>
      <c r="K1515" s="16" t="s">
        <v>29</v>
      </c>
      <c r="L1515" s="83" t="s">
        <v>2073</v>
      </c>
      <c r="M1515" s="15"/>
      <c r="N1515" s="15" t="s">
        <v>38</v>
      </c>
      <c r="O1515" s="15"/>
      <c r="P1515" s="16" t="s">
        <v>2068</v>
      </c>
      <c r="Q1515" s="17">
        <v>6399</v>
      </c>
      <c r="R1515" s="18">
        <v>40</v>
      </c>
      <c r="S1515" s="19">
        <v>4415.3099999999995</v>
      </c>
      <c r="T1515" s="20" t="s">
        <v>75</v>
      </c>
      <c r="U1515" s="21" t="s">
        <v>1999</v>
      </c>
      <c r="V1515" s="22" t="s">
        <v>2050</v>
      </c>
      <c r="W1515" s="23">
        <v>4</v>
      </c>
      <c r="X1515" s="24"/>
    </row>
    <row r="1516" spans="1:24" s="1" customFormat="1" ht="61.05" customHeight="1" x14ac:dyDescent="0.3">
      <c r="A1516" s="25" t="s">
        <v>1986</v>
      </c>
      <c r="B1516" s="25" t="s">
        <v>2069</v>
      </c>
      <c r="C1516" s="12" t="s">
        <v>2243</v>
      </c>
      <c r="D1516" s="82"/>
      <c r="E1516" s="67" t="str">
        <f>HYPERLINK("https://www.google.ru/search?q=C125W-5&amp;newwindow=1&amp;tbm=isch","Еще фото")</f>
        <v>Еще фото</v>
      </c>
      <c r="F1516" s="14"/>
      <c r="G1516" s="25" t="s">
        <v>712</v>
      </c>
      <c r="H1516" s="25" t="s">
        <v>69</v>
      </c>
      <c r="I1516" s="25" t="s">
        <v>713</v>
      </c>
      <c r="J1516" s="15" t="s">
        <v>162</v>
      </c>
      <c r="K1516" s="16" t="s">
        <v>29</v>
      </c>
      <c r="L1516" s="84"/>
      <c r="M1516" s="15"/>
      <c r="N1516" s="15" t="s">
        <v>38</v>
      </c>
      <c r="O1516" s="15"/>
      <c r="P1516" s="16" t="s">
        <v>2068</v>
      </c>
      <c r="Q1516" s="17">
        <v>6399</v>
      </c>
      <c r="R1516" s="18">
        <v>40</v>
      </c>
      <c r="S1516" s="19">
        <v>4415.3099999999995</v>
      </c>
      <c r="T1516" s="20" t="s">
        <v>75</v>
      </c>
      <c r="U1516" s="21" t="s">
        <v>2000</v>
      </c>
      <c r="V1516" s="22" t="s">
        <v>2056</v>
      </c>
      <c r="W1516" s="23">
        <v>9</v>
      </c>
      <c r="X1516" s="24"/>
    </row>
    <row r="1517" spans="1:24" s="1" customFormat="1" ht="35" customHeight="1" x14ac:dyDescent="0.3">
      <c r="A1517" s="11" t="s">
        <v>1986</v>
      </c>
      <c r="B1517" s="11" t="s">
        <v>2244</v>
      </c>
      <c r="C1517" s="12" t="s">
        <v>2245</v>
      </c>
      <c r="D1517" s="85"/>
      <c r="E1517" s="67" t="str">
        <f>HYPERLINK("https://www.google.ru/search?q=C125W-CN&amp;newwindow=1&amp;tbm=isch","Еще фото")</f>
        <v>Еще фото</v>
      </c>
      <c r="F1517" s="14"/>
      <c r="G1517" s="11" t="s">
        <v>2119</v>
      </c>
      <c r="H1517" s="11" t="s">
        <v>69</v>
      </c>
      <c r="I1517" s="15" t="s">
        <v>713</v>
      </c>
      <c r="J1517" s="15" t="s">
        <v>1996</v>
      </c>
      <c r="K1517" s="16" t="s">
        <v>29</v>
      </c>
      <c r="L1517" s="83" t="s">
        <v>2073</v>
      </c>
      <c r="M1517" s="15"/>
      <c r="N1517" s="15" t="s">
        <v>73</v>
      </c>
      <c r="O1517" s="15"/>
      <c r="P1517" s="16" t="s">
        <v>2068</v>
      </c>
      <c r="Q1517" s="17">
        <v>6309</v>
      </c>
      <c r="R1517" s="18">
        <v>40</v>
      </c>
      <c r="S1517" s="19">
        <v>4353.21</v>
      </c>
      <c r="T1517" s="20" t="s">
        <v>75</v>
      </c>
      <c r="U1517" s="21" t="s">
        <v>1999</v>
      </c>
      <c r="V1517" s="22" t="s">
        <v>2050</v>
      </c>
      <c r="W1517" s="23">
        <v>2</v>
      </c>
      <c r="X1517" s="24"/>
    </row>
    <row r="1518" spans="1:24" s="1" customFormat="1" ht="35" customHeight="1" x14ac:dyDescent="0.3">
      <c r="A1518" s="25" t="s">
        <v>1986</v>
      </c>
      <c r="B1518" s="25" t="s">
        <v>2244</v>
      </c>
      <c r="C1518" s="12" t="s">
        <v>2245</v>
      </c>
      <c r="D1518" s="86"/>
      <c r="E1518" s="67" t="str">
        <f>HYPERLINK("https://www.google.ru/search?q=C125W-CN&amp;newwindow=1&amp;tbm=isch","Еще фото")</f>
        <v>Еще фото</v>
      </c>
      <c r="F1518" s="14"/>
      <c r="G1518" s="25" t="s">
        <v>2119</v>
      </c>
      <c r="H1518" s="25" t="s">
        <v>69</v>
      </c>
      <c r="I1518" s="25" t="s">
        <v>713</v>
      </c>
      <c r="J1518" s="15" t="s">
        <v>1996</v>
      </c>
      <c r="K1518" s="16" t="s">
        <v>29</v>
      </c>
      <c r="L1518" s="88"/>
      <c r="M1518" s="15"/>
      <c r="N1518" s="15" t="s">
        <v>73</v>
      </c>
      <c r="O1518" s="15"/>
      <c r="P1518" s="16" t="s">
        <v>2068</v>
      </c>
      <c r="Q1518" s="17">
        <v>6309</v>
      </c>
      <c r="R1518" s="18">
        <v>40</v>
      </c>
      <c r="S1518" s="19">
        <v>4353.21</v>
      </c>
      <c r="T1518" s="20" t="s">
        <v>75</v>
      </c>
      <c r="U1518" s="21" t="s">
        <v>2000</v>
      </c>
      <c r="V1518" s="22" t="s">
        <v>2056</v>
      </c>
      <c r="W1518" s="23">
        <v>1</v>
      </c>
      <c r="X1518" s="24"/>
    </row>
    <row r="1519" spans="1:24" s="1" customFormat="1" ht="37.049999999999997" customHeight="1" x14ac:dyDescent="0.3">
      <c r="A1519" s="25" t="s">
        <v>1986</v>
      </c>
      <c r="B1519" s="25" t="s">
        <v>2244</v>
      </c>
      <c r="C1519" s="12" t="s">
        <v>2245</v>
      </c>
      <c r="D1519" s="87"/>
      <c r="E1519" s="67" t="str">
        <f>HYPERLINK("https://www.google.ru/search?q=C125W-CN&amp;newwindow=1&amp;tbm=isch","Еще фото")</f>
        <v>Еще фото</v>
      </c>
      <c r="F1519" s="14"/>
      <c r="G1519" s="25" t="s">
        <v>2119</v>
      </c>
      <c r="H1519" s="25" t="s">
        <v>69</v>
      </c>
      <c r="I1519" s="25" t="s">
        <v>713</v>
      </c>
      <c r="J1519" s="15" t="s">
        <v>1996</v>
      </c>
      <c r="K1519" s="16" t="s">
        <v>29</v>
      </c>
      <c r="L1519" s="84"/>
      <c r="M1519" s="15"/>
      <c r="N1519" s="15" t="s">
        <v>73</v>
      </c>
      <c r="O1519" s="15"/>
      <c r="P1519" s="16" t="s">
        <v>2068</v>
      </c>
      <c r="Q1519" s="17">
        <v>6309</v>
      </c>
      <c r="R1519" s="18">
        <v>40</v>
      </c>
      <c r="S1519" s="19">
        <v>4353.21</v>
      </c>
      <c r="T1519" s="20" t="s">
        <v>75</v>
      </c>
      <c r="U1519" s="21" t="s">
        <v>2001</v>
      </c>
      <c r="V1519" s="22" t="s">
        <v>2051</v>
      </c>
      <c r="W1519" s="23">
        <v>4</v>
      </c>
      <c r="X1519" s="24"/>
    </row>
    <row r="1520" spans="1:24" s="1" customFormat="1" ht="52.05" customHeight="1" x14ac:dyDescent="0.3">
      <c r="A1520" s="11" t="s">
        <v>1986</v>
      </c>
      <c r="B1520" s="11" t="s">
        <v>2172</v>
      </c>
      <c r="C1520" s="12" t="s">
        <v>2246</v>
      </c>
      <c r="D1520" s="81"/>
      <c r="E1520" s="67" t="str">
        <f>HYPERLINK("https://www.google.ru/search?q=C12EW-4W&amp;newwindow=1&amp;tbm=isch","Еще фото")</f>
        <v>Еще фото</v>
      </c>
      <c r="F1520" s="14"/>
      <c r="G1520" s="11" t="s">
        <v>712</v>
      </c>
      <c r="H1520" s="11" t="s">
        <v>69</v>
      </c>
      <c r="I1520" s="15" t="s">
        <v>713</v>
      </c>
      <c r="J1520" s="15" t="s">
        <v>162</v>
      </c>
      <c r="K1520" s="16" t="s">
        <v>29</v>
      </c>
      <c r="L1520" s="83" t="s">
        <v>2247</v>
      </c>
      <c r="M1520" s="15"/>
      <c r="N1520" s="15" t="s">
        <v>2248</v>
      </c>
      <c r="O1520" s="15"/>
      <c r="P1520" s="16" t="s">
        <v>2068</v>
      </c>
      <c r="Q1520" s="17">
        <v>6399</v>
      </c>
      <c r="R1520" s="18">
        <v>40</v>
      </c>
      <c r="S1520" s="19">
        <v>4415.3099999999995</v>
      </c>
      <c r="T1520" s="20" t="s">
        <v>75</v>
      </c>
      <c r="U1520" s="21" t="s">
        <v>2000</v>
      </c>
      <c r="V1520" s="22" t="s">
        <v>2056</v>
      </c>
      <c r="W1520" s="23">
        <v>1</v>
      </c>
      <c r="X1520" s="24"/>
    </row>
    <row r="1521" spans="1:24" s="1" customFormat="1" ht="61.05" customHeight="1" x14ac:dyDescent="0.3">
      <c r="A1521" s="25" t="s">
        <v>1986</v>
      </c>
      <c r="B1521" s="25" t="s">
        <v>2172</v>
      </c>
      <c r="C1521" s="12" t="s">
        <v>2246</v>
      </c>
      <c r="D1521" s="82"/>
      <c r="E1521" s="67" t="str">
        <f>HYPERLINK("https://www.google.ru/search?q=C12EW-4W&amp;newwindow=1&amp;tbm=isch","Еще фото")</f>
        <v>Еще фото</v>
      </c>
      <c r="F1521" s="14"/>
      <c r="G1521" s="25" t="s">
        <v>712</v>
      </c>
      <c r="H1521" s="25" t="s">
        <v>69</v>
      </c>
      <c r="I1521" s="25" t="s">
        <v>713</v>
      </c>
      <c r="J1521" s="15" t="s">
        <v>162</v>
      </c>
      <c r="K1521" s="16" t="s">
        <v>29</v>
      </c>
      <c r="L1521" s="84"/>
      <c r="M1521" s="15"/>
      <c r="N1521" s="15" t="s">
        <v>2248</v>
      </c>
      <c r="O1521" s="15"/>
      <c r="P1521" s="16" t="s">
        <v>2068</v>
      </c>
      <c r="Q1521" s="17">
        <v>6399</v>
      </c>
      <c r="R1521" s="18">
        <v>40</v>
      </c>
      <c r="S1521" s="19">
        <v>4415.3099999999995</v>
      </c>
      <c r="T1521" s="20" t="s">
        <v>75</v>
      </c>
      <c r="U1521" s="21" t="s">
        <v>2001</v>
      </c>
      <c r="V1521" s="22" t="s">
        <v>2051</v>
      </c>
      <c r="W1521" s="23">
        <v>2</v>
      </c>
      <c r="X1521" s="24"/>
    </row>
    <row r="1522" spans="1:24" s="1" customFormat="1" ht="52.05" customHeight="1" x14ac:dyDescent="0.3">
      <c r="A1522" s="11" t="s">
        <v>1986</v>
      </c>
      <c r="B1522" s="11" t="s">
        <v>2172</v>
      </c>
      <c r="C1522" s="12" t="s">
        <v>2249</v>
      </c>
      <c r="D1522" s="81"/>
      <c r="E1522" s="67" t="str">
        <f>HYPERLINK("https://www.google.ru/search?q=C12EW-GY&amp;newwindow=1&amp;tbm=isch","Еще фото")</f>
        <v>Еще фото</v>
      </c>
      <c r="F1522" s="14"/>
      <c r="G1522" s="11" t="s">
        <v>712</v>
      </c>
      <c r="H1522" s="11" t="s">
        <v>69</v>
      </c>
      <c r="I1522" s="15" t="s">
        <v>713</v>
      </c>
      <c r="J1522" s="15" t="s">
        <v>162</v>
      </c>
      <c r="K1522" s="16" t="s">
        <v>29</v>
      </c>
      <c r="L1522" s="83" t="s">
        <v>2247</v>
      </c>
      <c r="M1522" s="15"/>
      <c r="N1522" s="15" t="s">
        <v>2175</v>
      </c>
      <c r="O1522" s="15"/>
      <c r="P1522" s="16" t="s">
        <v>2068</v>
      </c>
      <c r="Q1522" s="17">
        <v>6399</v>
      </c>
      <c r="R1522" s="18">
        <v>40</v>
      </c>
      <c r="S1522" s="19">
        <v>4415.3099999999995</v>
      </c>
      <c r="T1522" s="20" t="s">
        <v>75</v>
      </c>
      <c r="U1522" s="21" t="s">
        <v>2000</v>
      </c>
      <c r="V1522" s="22" t="s">
        <v>2056</v>
      </c>
      <c r="W1522" s="23">
        <v>4</v>
      </c>
      <c r="X1522" s="24"/>
    </row>
    <row r="1523" spans="1:24" s="1" customFormat="1" ht="61.05" customHeight="1" x14ac:dyDescent="0.3">
      <c r="A1523" s="25" t="s">
        <v>1986</v>
      </c>
      <c r="B1523" s="25" t="s">
        <v>2172</v>
      </c>
      <c r="C1523" s="12" t="s">
        <v>2249</v>
      </c>
      <c r="D1523" s="82"/>
      <c r="E1523" s="67" t="str">
        <f>HYPERLINK("https://www.google.ru/search?q=C12EW-GY&amp;newwindow=1&amp;tbm=isch","Еще фото")</f>
        <v>Еще фото</v>
      </c>
      <c r="F1523" s="14"/>
      <c r="G1523" s="25" t="s">
        <v>712</v>
      </c>
      <c r="H1523" s="25" t="s">
        <v>69</v>
      </c>
      <c r="I1523" s="25" t="s">
        <v>713</v>
      </c>
      <c r="J1523" s="15" t="s">
        <v>162</v>
      </c>
      <c r="K1523" s="16" t="s">
        <v>29</v>
      </c>
      <c r="L1523" s="84"/>
      <c r="M1523" s="15"/>
      <c r="N1523" s="15" t="s">
        <v>2175</v>
      </c>
      <c r="O1523" s="15"/>
      <c r="P1523" s="16" t="s">
        <v>2068</v>
      </c>
      <c r="Q1523" s="17">
        <v>6399</v>
      </c>
      <c r="R1523" s="18">
        <v>40</v>
      </c>
      <c r="S1523" s="19">
        <v>4415.3099999999995</v>
      </c>
      <c r="T1523" s="20" t="s">
        <v>75</v>
      </c>
      <c r="U1523" s="21" t="s">
        <v>2001</v>
      </c>
      <c r="V1523" s="22" t="s">
        <v>2051</v>
      </c>
      <c r="W1523" s="23">
        <v>3</v>
      </c>
      <c r="X1523" s="24"/>
    </row>
    <row r="1524" spans="1:24" s="1" customFormat="1" ht="35" customHeight="1" x14ac:dyDescent="0.3">
      <c r="A1524" s="11" t="s">
        <v>1986</v>
      </c>
      <c r="B1524" s="11" t="s">
        <v>2179</v>
      </c>
      <c r="C1524" s="12" t="s">
        <v>2250</v>
      </c>
      <c r="D1524" s="85"/>
      <c r="E1524" s="67" t="str">
        <f>HYPERLINK("https://www.google.ru/search?q=C1UPM-5&amp;newwindow=1&amp;tbm=isch","Еще фото")</f>
        <v>Еще фото</v>
      </c>
      <c r="F1524" s="14"/>
      <c r="G1524" s="11" t="s">
        <v>712</v>
      </c>
      <c r="H1524" s="11" t="s">
        <v>69</v>
      </c>
      <c r="I1524" s="15" t="s">
        <v>713</v>
      </c>
      <c r="J1524" s="15" t="s">
        <v>162</v>
      </c>
      <c r="K1524" s="16" t="s">
        <v>45</v>
      </c>
      <c r="L1524" s="83" t="s">
        <v>2181</v>
      </c>
      <c r="M1524" s="15"/>
      <c r="N1524" s="15" t="s">
        <v>38</v>
      </c>
      <c r="O1524" s="15"/>
      <c r="P1524" s="16" t="s">
        <v>2182</v>
      </c>
      <c r="Q1524" s="17">
        <v>6999</v>
      </c>
      <c r="R1524" s="18">
        <v>40</v>
      </c>
      <c r="S1524" s="19">
        <v>4829.3099999999995</v>
      </c>
      <c r="T1524" s="20" t="s">
        <v>75</v>
      </c>
      <c r="U1524" s="21" t="s">
        <v>2000</v>
      </c>
      <c r="V1524" s="22" t="s">
        <v>2042</v>
      </c>
      <c r="W1524" s="23">
        <v>16</v>
      </c>
      <c r="X1524" s="24"/>
    </row>
    <row r="1525" spans="1:24" s="1" customFormat="1" ht="35" customHeight="1" x14ac:dyDescent="0.3">
      <c r="A1525" s="25" t="s">
        <v>1986</v>
      </c>
      <c r="B1525" s="25" t="s">
        <v>2179</v>
      </c>
      <c r="C1525" s="12" t="s">
        <v>2250</v>
      </c>
      <c r="D1525" s="86"/>
      <c r="E1525" s="67" t="str">
        <f>HYPERLINK("https://www.google.ru/search?q=C1UPM-5&amp;newwindow=1&amp;tbm=isch","Еще фото")</f>
        <v>Еще фото</v>
      </c>
      <c r="F1525" s="14"/>
      <c r="G1525" s="25" t="s">
        <v>712</v>
      </c>
      <c r="H1525" s="25" t="s">
        <v>69</v>
      </c>
      <c r="I1525" s="25" t="s">
        <v>713</v>
      </c>
      <c r="J1525" s="15" t="s">
        <v>162</v>
      </c>
      <c r="K1525" s="16" t="s">
        <v>45</v>
      </c>
      <c r="L1525" s="88"/>
      <c r="M1525" s="15"/>
      <c r="N1525" s="15" t="s">
        <v>38</v>
      </c>
      <c r="O1525" s="15"/>
      <c r="P1525" s="16" t="s">
        <v>2182</v>
      </c>
      <c r="Q1525" s="17">
        <v>6999</v>
      </c>
      <c r="R1525" s="18">
        <v>40</v>
      </c>
      <c r="S1525" s="19">
        <v>4829.3099999999995</v>
      </c>
      <c r="T1525" s="20" t="s">
        <v>75</v>
      </c>
      <c r="U1525" s="21" t="s">
        <v>2001</v>
      </c>
      <c r="V1525" s="22" t="s">
        <v>35</v>
      </c>
      <c r="W1525" s="23">
        <v>6</v>
      </c>
      <c r="X1525" s="24"/>
    </row>
    <row r="1526" spans="1:24" s="1" customFormat="1" ht="37.049999999999997" customHeight="1" x14ac:dyDescent="0.3">
      <c r="A1526" s="25" t="s">
        <v>1986</v>
      </c>
      <c r="B1526" s="25" t="s">
        <v>2179</v>
      </c>
      <c r="C1526" s="12" t="s">
        <v>2250</v>
      </c>
      <c r="D1526" s="87"/>
      <c r="E1526" s="67" t="str">
        <f>HYPERLINK("https://www.google.ru/search?q=C1UPM-5&amp;newwindow=1&amp;tbm=isch","Еще фото")</f>
        <v>Еще фото</v>
      </c>
      <c r="F1526" s="14"/>
      <c r="G1526" s="25" t="s">
        <v>712</v>
      </c>
      <c r="H1526" s="25" t="s">
        <v>69</v>
      </c>
      <c r="I1526" s="25" t="s">
        <v>713</v>
      </c>
      <c r="J1526" s="15" t="s">
        <v>162</v>
      </c>
      <c r="K1526" s="16" t="s">
        <v>45</v>
      </c>
      <c r="L1526" s="84"/>
      <c r="M1526" s="15"/>
      <c r="N1526" s="15" t="s">
        <v>38</v>
      </c>
      <c r="O1526" s="15"/>
      <c r="P1526" s="16" t="s">
        <v>2182</v>
      </c>
      <c r="Q1526" s="17">
        <v>6999</v>
      </c>
      <c r="R1526" s="18">
        <v>40</v>
      </c>
      <c r="S1526" s="19">
        <v>4829.3099999999995</v>
      </c>
      <c r="T1526" s="20" t="s">
        <v>75</v>
      </c>
      <c r="U1526" s="21" t="s">
        <v>2043</v>
      </c>
      <c r="V1526" s="22" t="s">
        <v>2044</v>
      </c>
      <c r="W1526" s="23">
        <v>8</v>
      </c>
      <c r="X1526" s="24"/>
    </row>
    <row r="1527" spans="1:24" s="1" customFormat="1" ht="35" customHeight="1" x14ac:dyDescent="0.3">
      <c r="A1527" s="11" t="s">
        <v>1986</v>
      </c>
      <c r="B1527" s="11" t="s">
        <v>2251</v>
      </c>
      <c r="C1527" s="12" t="s">
        <v>2252</v>
      </c>
      <c r="D1527" s="85"/>
      <c r="E1527" s="67" t="str">
        <f>HYPERLINK("https://www.google.ru/search?q=C1UPW-5&amp;newwindow=1&amp;tbm=isch","Еще фото")</f>
        <v>Еще фото</v>
      </c>
      <c r="F1527" s="14"/>
      <c r="G1527" s="11" t="s">
        <v>2119</v>
      </c>
      <c r="H1527" s="11" t="s">
        <v>69</v>
      </c>
      <c r="I1527" s="15" t="s">
        <v>713</v>
      </c>
      <c r="J1527" s="15" t="s">
        <v>1996</v>
      </c>
      <c r="K1527" s="16" t="s">
        <v>29</v>
      </c>
      <c r="L1527" s="83" t="s">
        <v>2253</v>
      </c>
      <c r="M1527" s="15"/>
      <c r="N1527" s="15" t="s">
        <v>38</v>
      </c>
      <c r="O1527" s="15"/>
      <c r="P1527" s="16" t="s">
        <v>1998</v>
      </c>
      <c r="Q1527" s="17">
        <v>6999</v>
      </c>
      <c r="R1527" s="18">
        <v>40</v>
      </c>
      <c r="S1527" s="19">
        <v>4829.3099999999995</v>
      </c>
      <c r="T1527" s="20" t="s">
        <v>75</v>
      </c>
      <c r="U1527" s="21" t="s">
        <v>1999</v>
      </c>
      <c r="V1527" s="22" t="s">
        <v>2050</v>
      </c>
      <c r="W1527" s="23">
        <v>2</v>
      </c>
      <c r="X1527" s="24"/>
    </row>
    <row r="1528" spans="1:24" s="1" customFormat="1" ht="35" customHeight="1" x14ac:dyDescent="0.3">
      <c r="A1528" s="25" t="s">
        <v>1986</v>
      </c>
      <c r="B1528" s="25" t="s">
        <v>2251</v>
      </c>
      <c r="C1528" s="12" t="s">
        <v>2252</v>
      </c>
      <c r="D1528" s="86"/>
      <c r="E1528" s="67" t="str">
        <f>HYPERLINK("https://www.google.ru/search?q=C1UPW-5&amp;newwindow=1&amp;tbm=isch","Еще фото")</f>
        <v>Еще фото</v>
      </c>
      <c r="F1528" s="14"/>
      <c r="G1528" s="25" t="s">
        <v>2119</v>
      </c>
      <c r="H1528" s="25" t="s">
        <v>69</v>
      </c>
      <c r="I1528" s="25" t="s">
        <v>713</v>
      </c>
      <c r="J1528" s="15" t="s">
        <v>1996</v>
      </c>
      <c r="K1528" s="16" t="s">
        <v>29</v>
      </c>
      <c r="L1528" s="88"/>
      <c r="M1528" s="15"/>
      <c r="N1528" s="15" t="s">
        <v>38</v>
      </c>
      <c r="O1528" s="15"/>
      <c r="P1528" s="16" t="s">
        <v>1998</v>
      </c>
      <c r="Q1528" s="17">
        <v>6999</v>
      </c>
      <c r="R1528" s="18">
        <v>40</v>
      </c>
      <c r="S1528" s="19">
        <v>4829.3099999999995</v>
      </c>
      <c r="T1528" s="20" t="s">
        <v>75</v>
      </c>
      <c r="U1528" s="21" t="s">
        <v>2000</v>
      </c>
      <c r="V1528" s="22" t="s">
        <v>2056</v>
      </c>
      <c r="W1528" s="23">
        <v>6</v>
      </c>
      <c r="X1528" s="24"/>
    </row>
    <row r="1529" spans="1:24" s="1" customFormat="1" ht="37.049999999999997" customHeight="1" x14ac:dyDescent="0.3">
      <c r="A1529" s="25" t="s">
        <v>1986</v>
      </c>
      <c r="B1529" s="25" t="s">
        <v>2251</v>
      </c>
      <c r="C1529" s="12" t="s">
        <v>2252</v>
      </c>
      <c r="D1529" s="87"/>
      <c r="E1529" s="67" t="str">
        <f>HYPERLINK("https://www.google.ru/search?q=C1UPW-5&amp;newwindow=1&amp;tbm=isch","Еще фото")</f>
        <v>Еще фото</v>
      </c>
      <c r="F1529" s="14"/>
      <c r="G1529" s="25" t="s">
        <v>2119</v>
      </c>
      <c r="H1529" s="25" t="s">
        <v>69</v>
      </c>
      <c r="I1529" s="25" t="s">
        <v>713</v>
      </c>
      <c r="J1529" s="15" t="s">
        <v>1996</v>
      </c>
      <c r="K1529" s="16" t="s">
        <v>29</v>
      </c>
      <c r="L1529" s="84"/>
      <c r="M1529" s="15"/>
      <c r="N1529" s="15" t="s">
        <v>38</v>
      </c>
      <c r="O1529" s="15"/>
      <c r="P1529" s="16" t="s">
        <v>1998</v>
      </c>
      <c r="Q1529" s="17">
        <v>6999</v>
      </c>
      <c r="R1529" s="18">
        <v>40</v>
      </c>
      <c r="S1529" s="19">
        <v>4829.3099999999995</v>
      </c>
      <c r="T1529" s="20" t="s">
        <v>75</v>
      </c>
      <c r="U1529" s="21" t="s">
        <v>2001</v>
      </c>
      <c r="V1529" s="22" t="s">
        <v>2051</v>
      </c>
      <c r="W1529" s="23">
        <v>3</v>
      </c>
      <c r="X1529" s="24"/>
    </row>
    <row r="1530" spans="1:24" s="1" customFormat="1" ht="35" customHeight="1" x14ac:dyDescent="0.3">
      <c r="A1530" s="11" t="s">
        <v>1986</v>
      </c>
      <c r="B1530" s="11" t="s">
        <v>2251</v>
      </c>
      <c r="C1530" s="12" t="s">
        <v>2254</v>
      </c>
      <c r="D1530" s="85"/>
      <c r="E1530" s="67" t="str">
        <f>HYPERLINK("https://www.google.ru/search?q=C1UPW-G&amp;newwindow=1&amp;tbm=isch","Еще фото")</f>
        <v>Еще фото</v>
      </c>
      <c r="F1530" s="14"/>
      <c r="G1530" s="11" t="s">
        <v>2119</v>
      </c>
      <c r="H1530" s="11" t="s">
        <v>69</v>
      </c>
      <c r="I1530" s="15" t="s">
        <v>713</v>
      </c>
      <c r="J1530" s="15" t="s">
        <v>1996</v>
      </c>
      <c r="K1530" s="16" t="s">
        <v>29</v>
      </c>
      <c r="L1530" s="83" t="s">
        <v>2253</v>
      </c>
      <c r="M1530" s="15"/>
      <c r="N1530" s="15" t="s">
        <v>55</v>
      </c>
      <c r="O1530" s="15"/>
      <c r="P1530" s="16" t="s">
        <v>1998</v>
      </c>
      <c r="Q1530" s="17">
        <v>6999</v>
      </c>
      <c r="R1530" s="18">
        <v>40</v>
      </c>
      <c r="S1530" s="19">
        <v>4829.3099999999995</v>
      </c>
      <c r="T1530" s="20" t="s">
        <v>75</v>
      </c>
      <c r="U1530" s="21" t="s">
        <v>1999</v>
      </c>
      <c r="V1530" s="22" t="s">
        <v>2050</v>
      </c>
      <c r="W1530" s="23">
        <v>2</v>
      </c>
      <c r="X1530" s="24"/>
    </row>
    <row r="1531" spans="1:24" s="1" customFormat="1" ht="35" customHeight="1" x14ac:dyDescent="0.3">
      <c r="A1531" s="25" t="s">
        <v>1986</v>
      </c>
      <c r="B1531" s="25" t="s">
        <v>2251</v>
      </c>
      <c r="C1531" s="12" t="s">
        <v>2254</v>
      </c>
      <c r="D1531" s="86"/>
      <c r="E1531" s="67" t="str">
        <f>HYPERLINK("https://www.google.ru/search?q=C1UPW-G&amp;newwindow=1&amp;tbm=isch","Еще фото")</f>
        <v>Еще фото</v>
      </c>
      <c r="F1531" s="14"/>
      <c r="G1531" s="25" t="s">
        <v>2119</v>
      </c>
      <c r="H1531" s="25" t="s">
        <v>69</v>
      </c>
      <c r="I1531" s="25" t="s">
        <v>713</v>
      </c>
      <c r="J1531" s="15" t="s">
        <v>1996</v>
      </c>
      <c r="K1531" s="16" t="s">
        <v>29</v>
      </c>
      <c r="L1531" s="88"/>
      <c r="M1531" s="15"/>
      <c r="N1531" s="15" t="s">
        <v>55</v>
      </c>
      <c r="O1531" s="15"/>
      <c r="P1531" s="16" t="s">
        <v>1998</v>
      </c>
      <c r="Q1531" s="17">
        <v>6999</v>
      </c>
      <c r="R1531" s="18">
        <v>40</v>
      </c>
      <c r="S1531" s="19">
        <v>4829.3099999999995</v>
      </c>
      <c r="T1531" s="20" t="s">
        <v>75</v>
      </c>
      <c r="U1531" s="21" t="s">
        <v>2000</v>
      </c>
      <c r="V1531" s="22" t="s">
        <v>2056</v>
      </c>
      <c r="W1531" s="23">
        <v>6</v>
      </c>
      <c r="X1531" s="24"/>
    </row>
    <row r="1532" spans="1:24" s="1" customFormat="1" ht="37.049999999999997" customHeight="1" x14ac:dyDescent="0.3">
      <c r="A1532" s="25" t="s">
        <v>1986</v>
      </c>
      <c r="B1532" s="25" t="s">
        <v>2251</v>
      </c>
      <c r="C1532" s="12" t="s">
        <v>2254</v>
      </c>
      <c r="D1532" s="87"/>
      <c r="E1532" s="67" t="str">
        <f>HYPERLINK("https://www.google.ru/search?q=C1UPW-G&amp;newwindow=1&amp;tbm=isch","Еще фото")</f>
        <v>Еще фото</v>
      </c>
      <c r="F1532" s="14"/>
      <c r="G1532" s="25" t="s">
        <v>2119</v>
      </c>
      <c r="H1532" s="25" t="s">
        <v>69</v>
      </c>
      <c r="I1532" s="25" t="s">
        <v>713</v>
      </c>
      <c r="J1532" s="15" t="s">
        <v>1996</v>
      </c>
      <c r="K1532" s="16" t="s">
        <v>29</v>
      </c>
      <c r="L1532" s="84"/>
      <c r="M1532" s="15"/>
      <c r="N1532" s="15" t="s">
        <v>55</v>
      </c>
      <c r="O1532" s="15"/>
      <c r="P1532" s="16" t="s">
        <v>1998</v>
      </c>
      <c r="Q1532" s="17">
        <v>6999</v>
      </c>
      <c r="R1532" s="18">
        <v>40</v>
      </c>
      <c r="S1532" s="19">
        <v>4829.3099999999995</v>
      </c>
      <c r="T1532" s="20" t="s">
        <v>75</v>
      </c>
      <c r="U1532" s="21" t="s">
        <v>2001</v>
      </c>
      <c r="V1532" s="22" t="s">
        <v>2051</v>
      </c>
      <c r="W1532" s="23">
        <v>4</v>
      </c>
      <c r="X1532" s="24"/>
    </row>
    <row r="1533" spans="1:24" s="1" customFormat="1" ht="52.05" customHeight="1" x14ac:dyDescent="0.3">
      <c r="A1533" s="11" t="s">
        <v>1986</v>
      </c>
      <c r="B1533" s="11" t="s">
        <v>2057</v>
      </c>
      <c r="C1533" s="12" t="s">
        <v>2255</v>
      </c>
      <c r="D1533" s="81"/>
      <c r="E1533" s="67" t="str">
        <f>HYPERLINK("https://www.google.ru/search?q=C1UUM-0&amp;newwindow=1&amp;tbm=isch","Еще фото")</f>
        <v>Еще фото</v>
      </c>
      <c r="F1533" s="14"/>
      <c r="G1533" s="11" t="s">
        <v>2059</v>
      </c>
      <c r="H1533" s="11" t="s">
        <v>69</v>
      </c>
      <c r="I1533" s="15" t="s">
        <v>713</v>
      </c>
      <c r="J1533" s="15" t="s">
        <v>162</v>
      </c>
      <c r="K1533" s="16" t="s">
        <v>45</v>
      </c>
      <c r="L1533" s="83" t="s">
        <v>2132</v>
      </c>
      <c r="M1533" s="15"/>
      <c r="N1533" s="15" t="s">
        <v>173</v>
      </c>
      <c r="O1533" s="15"/>
      <c r="P1533" s="16" t="s">
        <v>1998</v>
      </c>
      <c r="Q1533" s="17">
        <v>6799</v>
      </c>
      <c r="R1533" s="18">
        <v>40</v>
      </c>
      <c r="S1533" s="19">
        <v>4691.3099999999995</v>
      </c>
      <c r="T1533" s="20" t="s">
        <v>75</v>
      </c>
      <c r="U1533" s="21" t="s">
        <v>2000</v>
      </c>
      <c r="V1533" s="22" t="s">
        <v>2042</v>
      </c>
      <c r="W1533" s="23">
        <v>9</v>
      </c>
      <c r="X1533" s="24"/>
    </row>
    <row r="1534" spans="1:24" s="1" customFormat="1" ht="61.05" customHeight="1" x14ac:dyDescent="0.3">
      <c r="A1534" s="25" t="s">
        <v>1986</v>
      </c>
      <c r="B1534" s="25" t="s">
        <v>2057</v>
      </c>
      <c r="C1534" s="12" t="s">
        <v>2255</v>
      </c>
      <c r="D1534" s="82"/>
      <c r="E1534" s="67" t="str">
        <f>HYPERLINK("https://www.google.ru/search?q=C1UUM-0&amp;newwindow=1&amp;tbm=isch","Еще фото")</f>
        <v>Еще фото</v>
      </c>
      <c r="F1534" s="14"/>
      <c r="G1534" s="25" t="s">
        <v>2059</v>
      </c>
      <c r="H1534" s="25" t="s">
        <v>69</v>
      </c>
      <c r="I1534" s="25" t="s">
        <v>713</v>
      </c>
      <c r="J1534" s="15" t="s">
        <v>162</v>
      </c>
      <c r="K1534" s="16" t="s">
        <v>45</v>
      </c>
      <c r="L1534" s="84"/>
      <c r="M1534" s="15"/>
      <c r="N1534" s="15" t="s">
        <v>173</v>
      </c>
      <c r="O1534" s="15"/>
      <c r="P1534" s="16" t="s">
        <v>1998</v>
      </c>
      <c r="Q1534" s="17">
        <v>6799</v>
      </c>
      <c r="R1534" s="18">
        <v>40</v>
      </c>
      <c r="S1534" s="19">
        <v>4691.3099999999995</v>
      </c>
      <c r="T1534" s="20" t="s">
        <v>75</v>
      </c>
      <c r="U1534" s="21" t="s">
        <v>2043</v>
      </c>
      <c r="V1534" s="22" t="s">
        <v>2044</v>
      </c>
      <c r="W1534" s="23">
        <v>2</v>
      </c>
      <c r="X1534" s="24"/>
    </row>
    <row r="1535" spans="1:24" s="1" customFormat="1" ht="52.05" customHeight="1" x14ac:dyDescent="0.3">
      <c r="A1535" s="11" t="s">
        <v>1986</v>
      </c>
      <c r="B1535" s="11" t="s">
        <v>2101</v>
      </c>
      <c r="C1535" s="12" t="s">
        <v>2256</v>
      </c>
      <c r="D1535" s="81"/>
      <c r="E1535" s="67" t="str">
        <f>HYPERLINK("https://www.google.ru/search?q=C1UUM-5-1&amp;newwindow=1&amp;tbm=isch","Еще фото")</f>
        <v>Еще фото</v>
      </c>
      <c r="F1535" s="14"/>
      <c r="G1535" s="11" t="s">
        <v>2131</v>
      </c>
      <c r="H1535" s="11" t="s">
        <v>69</v>
      </c>
      <c r="I1535" s="15" t="s">
        <v>713</v>
      </c>
      <c r="J1535" s="15" t="s">
        <v>162</v>
      </c>
      <c r="K1535" s="16" t="s">
        <v>45</v>
      </c>
      <c r="L1535" s="83" t="s">
        <v>2132</v>
      </c>
      <c r="M1535" s="15"/>
      <c r="N1535" s="15" t="s">
        <v>38</v>
      </c>
      <c r="O1535" s="15"/>
      <c r="P1535" s="16" t="s">
        <v>1998</v>
      </c>
      <c r="Q1535" s="17">
        <v>6799</v>
      </c>
      <c r="R1535" s="18">
        <v>40</v>
      </c>
      <c r="S1535" s="19">
        <v>4691.3099999999995</v>
      </c>
      <c r="T1535" s="20" t="s">
        <v>75</v>
      </c>
      <c r="U1535" s="21" t="s">
        <v>2000</v>
      </c>
      <c r="V1535" s="22" t="s">
        <v>2042</v>
      </c>
      <c r="W1535" s="23">
        <v>4</v>
      </c>
      <c r="X1535" s="24"/>
    </row>
    <row r="1536" spans="1:24" s="1" customFormat="1" ht="61.05" customHeight="1" x14ac:dyDescent="0.3">
      <c r="A1536" s="25" t="s">
        <v>1986</v>
      </c>
      <c r="B1536" s="25" t="s">
        <v>2101</v>
      </c>
      <c r="C1536" s="12" t="s">
        <v>2256</v>
      </c>
      <c r="D1536" s="82"/>
      <c r="E1536" s="67" t="str">
        <f>HYPERLINK("https://www.google.ru/search?q=C1UUM-5-1&amp;newwindow=1&amp;tbm=isch","Еще фото")</f>
        <v>Еще фото</v>
      </c>
      <c r="F1536" s="14"/>
      <c r="G1536" s="25" t="s">
        <v>2131</v>
      </c>
      <c r="H1536" s="25" t="s">
        <v>69</v>
      </c>
      <c r="I1536" s="25" t="s">
        <v>713</v>
      </c>
      <c r="J1536" s="15" t="s">
        <v>162</v>
      </c>
      <c r="K1536" s="16" t="s">
        <v>45</v>
      </c>
      <c r="L1536" s="84"/>
      <c r="M1536" s="15"/>
      <c r="N1536" s="15" t="s">
        <v>38</v>
      </c>
      <c r="O1536" s="15"/>
      <c r="P1536" s="16" t="s">
        <v>1998</v>
      </c>
      <c r="Q1536" s="17">
        <v>6799</v>
      </c>
      <c r="R1536" s="18">
        <v>40</v>
      </c>
      <c r="S1536" s="19">
        <v>4691.3099999999995</v>
      </c>
      <c r="T1536" s="20" t="s">
        <v>75</v>
      </c>
      <c r="U1536" s="21" t="s">
        <v>2001</v>
      </c>
      <c r="V1536" s="22" t="s">
        <v>35</v>
      </c>
      <c r="W1536" s="23">
        <v>5</v>
      </c>
      <c r="X1536" s="24"/>
    </row>
    <row r="1537" spans="1:24" s="1" customFormat="1" ht="35" customHeight="1" x14ac:dyDescent="0.3">
      <c r="A1537" s="11" t="s">
        <v>1986</v>
      </c>
      <c r="B1537" s="11" t="s">
        <v>2143</v>
      </c>
      <c r="C1537" s="12" t="s">
        <v>2257</v>
      </c>
      <c r="D1537" s="85"/>
      <c r="E1537" s="67" t="str">
        <f>HYPERLINK("https://www.google.ru/search?q=C1UUM-S3&amp;newwindow=1&amp;tbm=isch","Еще фото")</f>
        <v>Еще фото</v>
      </c>
      <c r="F1537" s="14"/>
      <c r="G1537" s="11" t="s">
        <v>2145</v>
      </c>
      <c r="H1537" s="11" t="s">
        <v>69</v>
      </c>
      <c r="I1537" s="15" t="s">
        <v>713</v>
      </c>
      <c r="J1537" s="15" t="s">
        <v>162</v>
      </c>
      <c r="K1537" s="16" t="s">
        <v>45</v>
      </c>
      <c r="L1537" s="83" t="s">
        <v>2258</v>
      </c>
      <c r="M1537" s="15"/>
      <c r="N1537" s="15" t="s">
        <v>31</v>
      </c>
      <c r="O1537" s="15"/>
      <c r="P1537" s="16" t="s">
        <v>1998</v>
      </c>
      <c r="Q1537" s="17">
        <v>6799</v>
      </c>
      <c r="R1537" s="18">
        <v>40</v>
      </c>
      <c r="S1537" s="19">
        <v>4691.3099999999995</v>
      </c>
      <c r="T1537" s="20" t="s">
        <v>75</v>
      </c>
      <c r="U1537" s="21" t="s">
        <v>2000</v>
      </c>
      <c r="V1537" s="22" t="s">
        <v>2042</v>
      </c>
      <c r="W1537" s="23">
        <v>3</v>
      </c>
      <c r="X1537" s="24"/>
    </row>
    <row r="1538" spans="1:24" s="1" customFormat="1" ht="35" customHeight="1" x14ac:dyDescent="0.3">
      <c r="A1538" s="25" t="s">
        <v>1986</v>
      </c>
      <c r="B1538" s="25" t="s">
        <v>2143</v>
      </c>
      <c r="C1538" s="12" t="s">
        <v>2257</v>
      </c>
      <c r="D1538" s="86"/>
      <c r="E1538" s="67" t="str">
        <f>HYPERLINK("https://www.google.ru/search?q=C1UUM-S3&amp;newwindow=1&amp;tbm=isch","Еще фото")</f>
        <v>Еще фото</v>
      </c>
      <c r="F1538" s="14"/>
      <c r="G1538" s="25" t="s">
        <v>2145</v>
      </c>
      <c r="H1538" s="25" t="s">
        <v>69</v>
      </c>
      <c r="I1538" s="25" t="s">
        <v>713</v>
      </c>
      <c r="J1538" s="15" t="s">
        <v>162</v>
      </c>
      <c r="K1538" s="16" t="s">
        <v>45</v>
      </c>
      <c r="L1538" s="88"/>
      <c r="M1538" s="15"/>
      <c r="N1538" s="15" t="s">
        <v>31</v>
      </c>
      <c r="O1538" s="15"/>
      <c r="P1538" s="16" t="s">
        <v>1998</v>
      </c>
      <c r="Q1538" s="17">
        <v>6799</v>
      </c>
      <c r="R1538" s="18">
        <v>40</v>
      </c>
      <c r="S1538" s="19">
        <v>4691.3099999999995</v>
      </c>
      <c r="T1538" s="20" t="s">
        <v>75</v>
      </c>
      <c r="U1538" s="21" t="s">
        <v>2001</v>
      </c>
      <c r="V1538" s="22" t="s">
        <v>35</v>
      </c>
      <c r="W1538" s="23">
        <v>3</v>
      </c>
      <c r="X1538" s="24"/>
    </row>
    <row r="1539" spans="1:24" s="1" customFormat="1" ht="37.049999999999997" customHeight="1" x14ac:dyDescent="0.3">
      <c r="A1539" s="25" t="s">
        <v>1986</v>
      </c>
      <c r="B1539" s="25" t="s">
        <v>2143</v>
      </c>
      <c r="C1539" s="12" t="s">
        <v>2257</v>
      </c>
      <c r="D1539" s="87"/>
      <c r="E1539" s="67" t="str">
        <f>HYPERLINK("https://www.google.ru/search?q=C1UUM-S3&amp;newwindow=1&amp;tbm=isch","Еще фото")</f>
        <v>Еще фото</v>
      </c>
      <c r="F1539" s="14"/>
      <c r="G1539" s="25" t="s">
        <v>2145</v>
      </c>
      <c r="H1539" s="25" t="s">
        <v>69</v>
      </c>
      <c r="I1539" s="25" t="s">
        <v>713</v>
      </c>
      <c r="J1539" s="15" t="s">
        <v>162</v>
      </c>
      <c r="K1539" s="16" t="s">
        <v>45</v>
      </c>
      <c r="L1539" s="84"/>
      <c r="M1539" s="15"/>
      <c r="N1539" s="15" t="s">
        <v>31</v>
      </c>
      <c r="O1539" s="15"/>
      <c r="P1539" s="16" t="s">
        <v>1998</v>
      </c>
      <c r="Q1539" s="17">
        <v>6799</v>
      </c>
      <c r="R1539" s="18">
        <v>40</v>
      </c>
      <c r="S1539" s="19">
        <v>4691.3099999999995</v>
      </c>
      <c r="T1539" s="20" t="s">
        <v>75</v>
      </c>
      <c r="U1539" s="21" t="s">
        <v>2043</v>
      </c>
      <c r="V1539" s="22" t="s">
        <v>2044</v>
      </c>
      <c r="W1539" s="23">
        <v>2</v>
      </c>
      <c r="X1539" s="24"/>
    </row>
    <row r="1540" spans="1:24" s="1" customFormat="1" ht="108" customHeight="1" x14ac:dyDescent="0.3">
      <c r="A1540" s="11" t="s">
        <v>1986</v>
      </c>
      <c r="B1540" s="11" t="s">
        <v>2112</v>
      </c>
      <c r="C1540" s="12" t="s">
        <v>2259</v>
      </c>
      <c r="D1540" s="13"/>
      <c r="E1540" s="67" t="str">
        <f>HYPERLINK("https://www.google.ru/search?q=C211M-Y&amp;newwindow=1&amp;tbm=isch","Еще фото")</f>
        <v>Еще фото</v>
      </c>
      <c r="F1540" s="14"/>
      <c r="G1540" s="11" t="s">
        <v>2039</v>
      </c>
      <c r="H1540" s="11" t="s">
        <v>69</v>
      </c>
      <c r="I1540" s="15" t="s">
        <v>713</v>
      </c>
      <c r="J1540" s="15" t="s">
        <v>162</v>
      </c>
      <c r="K1540" s="16" t="s">
        <v>45</v>
      </c>
      <c r="L1540" s="15" t="s">
        <v>2260</v>
      </c>
      <c r="M1540" s="15"/>
      <c r="N1540" s="15" t="s">
        <v>225</v>
      </c>
      <c r="O1540" s="15"/>
      <c r="P1540" s="16" t="s">
        <v>2261</v>
      </c>
      <c r="Q1540" s="17">
        <v>6309</v>
      </c>
      <c r="R1540" s="18">
        <v>40</v>
      </c>
      <c r="S1540" s="19">
        <v>4353.21</v>
      </c>
      <c r="T1540" s="20" t="s">
        <v>75</v>
      </c>
      <c r="U1540" s="21" t="s">
        <v>2000</v>
      </c>
      <c r="V1540" s="22" t="s">
        <v>2042</v>
      </c>
      <c r="W1540" s="23">
        <v>3</v>
      </c>
      <c r="X1540" s="24"/>
    </row>
    <row r="1541" spans="1:24" s="1" customFormat="1" ht="108" customHeight="1" x14ac:dyDescent="0.3">
      <c r="A1541" s="11" t="s">
        <v>1986</v>
      </c>
      <c r="B1541" s="11" t="s">
        <v>2045</v>
      </c>
      <c r="C1541" s="12" t="s">
        <v>2262</v>
      </c>
      <c r="D1541" s="13"/>
      <c r="E1541" s="67" t="str">
        <f>HYPERLINK("https://www.google.ru/search?q=C211W-5A&amp;newwindow=1&amp;tbm=isch","Еще фото")</f>
        <v>Еще фото</v>
      </c>
      <c r="F1541" s="14"/>
      <c r="G1541" s="11" t="s">
        <v>2039</v>
      </c>
      <c r="H1541" s="11" t="s">
        <v>69</v>
      </c>
      <c r="I1541" s="15" t="s">
        <v>713</v>
      </c>
      <c r="J1541" s="15" t="s">
        <v>162</v>
      </c>
      <c r="K1541" s="16" t="s">
        <v>29</v>
      </c>
      <c r="L1541" s="15" t="s">
        <v>2260</v>
      </c>
      <c r="M1541" s="15"/>
      <c r="N1541" s="15" t="s">
        <v>38</v>
      </c>
      <c r="O1541" s="15"/>
      <c r="P1541" s="16" t="s">
        <v>2263</v>
      </c>
      <c r="Q1541" s="17">
        <v>6309</v>
      </c>
      <c r="R1541" s="18">
        <v>40</v>
      </c>
      <c r="S1541" s="19">
        <v>4353.21</v>
      </c>
      <c r="T1541" s="20" t="s">
        <v>75</v>
      </c>
      <c r="U1541" s="21" t="s">
        <v>2000</v>
      </c>
      <c r="V1541" s="22" t="s">
        <v>2056</v>
      </c>
      <c r="W1541" s="23">
        <v>5</v>
      </c>
      <c r="X1541" s="24"/>
    </row>
    <row r="1542" spans="1:24" s="1" customFormat="1" ht="52.05" customHeight="1" x14ac:dyDescent="0.3">
      <c r="A1542" s="11" t="s">
        <v>1986</v>
      </c>
      <c r="B1542" s="11" t="s">
        <v>2143</v>
      </c>
      <c r="C1542" s="12" t="s">
        <v>2264</v>
      </c>
      <c r="D1542" s="81"/>
      <c r="E1542" s="67" t="str">
        <f>HYPERLINK("https://www.google.ru/search?q=C214W-25&amp;newwindow=1&amp;tbm=isch","Еще фото")</f>
        <v>Еще фото</v>
      </c>
      <c r="F1542" s="14"/>
      <c r="G1542" s="11" t="s">
        <v>2265</v>
      </c>
      <c r="H1542" s="11" t="s">
        <v>69</v>
      </c>
      <c r="I1542" s="15" t="s">
        <v>713</v>
      </c>
      <c r="J1542" s="15" t="s">
        <v>1990</v>
      </c>
      <c r="K1542" s="16" t="s">
        <v>29</v>
      </c>
      <c r="L1542" s="83" t="s">
        <v>2266</v>
      </c>
      <c r="M1542" s="15"/>
      <c r="N1542" s="15" t="s">
        <v>2267</v>
      </c>
      <c r="O1542" s="15"/>
      <c r="P1542" s="16" t="s">
        <v>2263</v>
      </c>
      <c r="Q1542" s="17">
        <v>6309</v>
      </c>
      <c r="R1542" s="18">
        <v>40</v>
      </c>
      <c r="S1542" s="19">
        <v>4353.21</v>
      </c>
      <c r="T1542" s="20" t="s">
        <v>75</v>
      </c>
      <c r="U1542" s="21" t="s">
        <v>2000</v>
      </c>
      <c r="V1542" s="22" t="s">
        <v>2056</v>
      </c>
      <c r="W1542" s="23">
        <v>1</v>
      </c>
      <c r="X1542" s="24"/>
    </row>
    <row r="1543" spans="1:24" s="1" customFormat="1" ht="61.05" customHeight="1" x14ac:dyDescent="0.3">
      <c r="A1543" s="25" t="s">
        <v>1986</v>
      </c>
      <c r="B1543" s="25" t="s">
        <v>2143</v>
      </c>
      <c r="C1543" s="12" t="s">
        <v>2264</v>
      </c>
      <c r="D1543" s="82"/>
      <c r="E1543" s="67" t="str">
        <f>HYPERLINK("https://www.google.ru/search?q=C214W-25&amp;newwindow=1&amp;tbm=isch","Еще фото")</f>
        <v>Еще фото</v>
      </c>
      <c r="F1543" s="14"/>
      <c r="G1543" s="25" t="s">
        <v>2265</v>
      </c>
      <c r="H1543" s="25" t="s">
        <v>69</v>
      </c>
      <c r="I1543" s="25" t="s">
        <v>713</v>
      </c>
      <c r="J1543" s="15" t="s">
        <v>1990</v>
      </c>
      <c r="K1543" s="16" t="s">
        <v>29</v>
      </c>
      <c r="L1543" s="84"/>
      <c r="M1543" s="15"/>
      <c r="N1543" s="15" t="s">
        <v>2267</v>
      </c>
      <c r="O1543" s="15"/>
      <c r="P1543" s="16" t="s">
        <v>2263</v>
      </c>
      <c r="Q1543" s="17">
        <v>6309</v>
      </c>
      <c r="R1543" s="18">
        <v>40</v>
      </c>
      <c r="S1543" s="19">
        <v>4353.21</v>
      </c>
      <c r="T1543" s="20" t="s">
        <v>75</v>
      </c>
      <c r="U1543" s="21" t="s">
        <v>2001</v>
      </c>
      <c r="V1543" s="22" t="s">
        <v>2051</v>
      </c>
      <c r="W1543" s="23">
        <v>3</v>
      </c>
      <c r="X1543" s="24"/>
    </row>
    <row r="1544" spans="1:24" s="1" customFormat="1" ht="108" customHeight="1" x14ac:dyDescent="0.3">
      <c r="A1544" s="11" t="s">
        <v>1986</v>
      </c>
      <c r="B1544" s="11" t="s">
        <v>2045</v>
      </c>
      <c r="C1544" s="12" t="s">
        <v>2268</v>
      </c>
      <c r="D1544" s="13"/>
      <c r="E1544" s="67" t="str">
        <f>HYPERLINK("https://www.google.ru/search?q=C221W-5&amp;newwindow=1&amp;tbm=isch","Еще фото")</f>
        <v>Еще фото</v>
      </c>
      <c r="F1544" s="14"/>
      <c r="G1544" s="11" t="s">
        <v>2233</v>
      </c>
      <c r="H1544" s="11" t="s">
        <v>69</v>
      </c>
      <c r="I1544" s="15" t="s">
        <v>713</v>
      </c>
      <c r="J1544" s="15" t="s">
        <v>162</v>
      </c>
      <c r="K1544" s="16" t="s">
        <v>29</v>
      </c>
      <c r="L1544" s="15" t="s">
        <v>2269</v>
      </c>
      <c r="M1544" s="15"/>
      <c r="N1544" s="15" t="s">
        <v>38</v>
      </c>
      <c r="O1544" s="15"/>
      <c r="P1544" s="16" t="s">
        <v>2270</v>
      </c>
      <c r="Q1544" s="17">
        <v>5799</v>
      </c>
      <c r="R1544" s="18">
        <v>40</v>
      </c>
      <c r="S1544" s="19">
        <v>4001.31</v>
      </c>
      <c r="T1544" s="20" t="s">
        <v>75</v>
      </c>
      <c r="U1544" s="21" t="s">
        <v>2000</v>
      </c>
      <c r="V1544" s="22" t="s">
        <v>2056</v>
      </c>
      <c r="W1544" s="23">
        <v>4</v>
      </c>
      <c r="X1544" s="24"/>
    </row>
    <row r="1545" spans="1:24" s="1" customFormat="1" ht="108" customHeight="1" x14ac:dyDescent="0.3">
      <c r="A1545" s="11" t="s">
        <v>1986</v>
      </c>
      <c r="B1545" s="11" t="s">
        <v>2037</v>
      </c>
      <c r="C1545" s="12" t="s">
        <v>2271</v>
      </c>
      <c r="D1545" s="13"/>
      <c r="E1545" s="67" t="str">
        <f>HYPERLINK("https://www.google.ru/search?q=C261W-DO&amp;newwindow=1&amp;tbm=isch","Еще фото")</f>
        <v>Еще фото</v>
      </c>
      <c r="F1545" s="14"/>
      <c r="G1545" s="11" t="s">
        <v>2039</v>
      </c>
      <c r="H1545" s="11" t="s">
        <v>69</v>
      </c>
      <c r="I1545" s="15" t="s">
        <v>713</v>
      </c>
      <c r="J1545" s="15" t="s">
        <v>1990</v>
      </c>
      <c r="K1545" s="16" t="s">
        <v>29</v>
      </c>
      <c r="L1545" s="15" t="s">
        <v>2272</v>
      </c>
      <c r="M1545" s="15"/>
      <c r="N1545" s="15" t="s">
        <v>2273</v>
      </c>
      <c r="O1545" s="15"/>
      <c r="P1545" s="16" t="s">
        <v>2274</v>
      </c>
      <c r="Q1545" s="17">
        <v>6309</v>
      </c>
      <c r="R1545" s="18">
        <v>40</v>
      </c>
      <c r="S1545" s="19">
        <v>4353.21</v>
      </c>
      <c r="T1545" s="20" t="s">
        <v>75</v>
      </c>
      <c r="U1545" s="21" t="s">
        <v>2000</v>
      </c>
      <c r="V1545" s="22" t="s">
        <v>2056</v>
      </c>
      <c r="W1545" s="23">
        <v>6</v>
      </c>
      <c r="X1545" s="24"/>
    </row>
    <row r="1546" spans="1:24" s="1" customFormat="1" ht="108" customHeight="1" x14ac:dyDescent="0.3">
      <c r="A1546" s="11" t="s">
        <v>1986</v>
      </c>
      <c r="B1546" s="11" t="s">
        <v>2275</v>
      </c>
      <c r="C1546" s="12" t="s">
        <v>2276</v>
      </c>
      <c r="D1546" s="13"/>
      <c r="E1546" s="67" t="str">
        <f>HYPERLINK("https://www.google.ru/search?q=C283W-5G&amp;newwindow=1&amp;tbm=isch","Еще фото")</f>
        <v>Еще фото</v>
      </c>
      <c r="F1546" s="14"/>
      <c r="G1546" s="11" t="s">
        <v>2039</v>
      </c>
      <c r="H1546" s="11" t="s">
        <v>69</v>
      </c>
      <c r="I1546" s="15" t="s">
        <v>713</v>
      </c>
      <c r="J1546" s="15" t="s">
        <v>1990</v>
      </c>
      <c r="K1546" s="16" t="s">
        <v>29</v>
      </c>
      <c r="L1546" s="15" t="s">
        <v>2277</v>
      </c>
      <c r="M1546" s="15"/>
      <c r="N1546" s="15" t="s">
        <v>2193</v>
      </c>
      <c r="O1546" s="15"/>
      <c r="P1546" s="16" t="s">
        <v>2278</v>
      </c>
      <c r="Q1546" s="17">
        <v>6309</v>
      </c>
      <c r="R1546" s="18">
        <v>40</v>
      </c>
      <c r="S1546" s="19">
        <v>4353.21</v>
      </c>
      <c r="T1546" s="20" t="s">
        <v>75</v>
      </c>
      <c r="U1546" s="21" t="s">
        <v>2000</v>
      </c>
      <c r="V1546" s="22" t="s">
        <v>2056</v>
      </c>
      <c r="W1546" s="23">
        <v>5</v>
      </c>
      <c r="X1546" s="24"/>
    </row>
    <row r="1547" spans="1:24" s="1" customFormat="1" ht="52.05" customHeight="1" x14ac:dyDescent="0.3">
      <c r="A1547" s="11" t="s">
        <v>1986</v>
      </c>
      <c r="B1547" s="11" t="s">
        <v>2279</v>
      </c>
      <c r="C1547" s="12" t="s">
        <v>2280</v>
      </c>
      <c r="D1547" s="81"/>
      <c r="E1547" s="67" t="str">
        <f>HYPERLINK("https://www.google.ru/search?q=C2UPM-5&amp;newwindow=1&amp;tbm=isch","Еще фото")</f>
        <v>Еще фото</v>
      </c>
      <c r="F1547" s="14"/>
      <c r="G1547" s="11" t="s">
        <v>712</v>
      </c>
      <c r="H1547" s="11" t="s">
        <v>69</v>
      </c>
      <c r="I1547" s="15" t="s">
        <v>713</v>
      </c>
      <c r="J1547" s="15" t="s">
        <v>162</v>
      </c>
      <c r="K1547" s="16" t="s">
        <v>45</v>
      </c>
      <c r="L1547" s="83" t="s">
        <v>2281</v>
      </c>
      <c r="M1547" s="15"/>
      <c r="N1547" s="15" t="s">
        <v>38</v>
      </c>
      <c r="O1547" s="15"/>
      <c r="P1547" s="16" t="s">
        <v>2182</v>
      </c>
      <c r="Q1547" s="17">
        <v>3399</v>
      </c>
      <c r="R1547" s="18">
        <v>40</v>
      </c>
      <c r="S1547" s="19">
        <v>2345.31</v>
      </c>
      <c r="T1547" s="20" t="s">
        <v>75</v>
      </c>
      <c r="U1547" s="21" t="s">
        <v>2000</v>
      </c>
      <c r="V1547" s="22" t="s">
        <v>2042</v>
      </c>
      <c r="W1547" s="23">
        <v>4</v>
      </c>
      <c r="X1547" s="24"/>
    </row>
    <row r="1548" spans="1:24" s="1" customFormat="1" ht="61.05" customHeight="1" x14ac:dyDescent="0.3">
      <c r="A1548" s="25" t="s">
        <v>1986</v>
      </c>
      <c r="B1548" s="25" t="s">
        <v>2279</v>
      </c>
      <c r="C1548" s="12" t="s">
        <v>2280</v>
      </c>
      <c r="D1548" s="82"/>
      <c r="E1548" s="67" t="str">
        <f>HYPERLINK("https://www.google.ru/search?q=C2UPM-5&amp;newwindow=1&amp;tbm=isch","Еще фото")</f>
        <v>Еще фото</v>
      </c>
      <c r="F1548" s="14"/>
      <c r="G1548" s="25" t="s">
        <v>712</v>
      </c>
      <c r="H1548" s="25" t="s">
        <v>69</v>
      </c>
      <c r="I1548" s="25" t="s">
        <v>713</v>
      </c>
      <c r="J1548" s="15" t="s">
        <v>162</v>
      </c>
      <c r="K1548" s="16" t="s">
        <v>45</v>
      </c>
      <c r="L1548" s="84"/>
      <c r="M1548" s="15"/>
      <c r="N1548" s="15" t="s">
        <v>38</v>
      </c>
      <c r="O1548" s="15"/>
      <c r="P1548" s="16" t="s">
        <v>2182</v>
      </c>
      <c r="Q1548" s="17">
        <v>3399</v>
      </c>
      <c r="R1548" s="18">
        <v>40</v>
      </c>
      <c r="S1548" s="19">
        <v>2345.31</v>
      </c>
      <c r="T1548" s="20" t="s">
        <v>75</v>
      </c>
      <c r="U1548" s="21" t="s">
        <v>2001</v>
      </c>
      <c r="V1548" s="22" t="s">
        <v>35</v>
      </c>
      <c r="W1548" s="23">
        <v>4</v>
      </c>
      <c r="X1548" s="24"/>
    </row>
    <row r="1549" spans="1:24" s="1" customFormat="1" ht="35" customHeight="1" x14ac:dyDescent="0.3">
      <c r="A1549" s="11" t="s">
        <v>1986</v>
      </c>
      <c r="B1549" s="11" t="s">
        <v>2279</v>
      </c>
      <c r="C1549" s="12" t="s">
        <v>2282</v>
      </c>
      <c r="D1549" s="85"/>
      <c r="E1549" s="67" t="str">
        <f>HYPERLINK("https://www.google.ru/search?q=C2UPM-G&amp;newwindow=1&amp;tbm=isch","Еще фото")</f>
        <v>Еще фото</v>
      </c>
      <c r="F1549" s="14"/>
      <c r="G1549" s="11" t="s">
        <v>712</v>
      </c>
      <c r="H1549" s="11" t="s">
        <v>69</v>
      </c>
      <c r="I1549" s="15" t="s">
        <v>713</v>
      </c>
      <c r="J1549" s="15" t="s">
        <v>162</v>
      </c>
      <c r="K1549" s="16" t="s">
        <v>45</v>
      </c>
      <c r="L1549" s="83" t="s">
        <v>2281</v>
      </c>
      <c r="M1549" s="15"/>
      <c r="N1549" s="15" t="s">
        <v>55</v>
      </c>
      <c r="O1549" s="15"/>
      <c r="P1549" s="16" t="s">
        <v>2182</v>
      </c>
      <c r="Q1549" s="17">
        <v>3399</v>
      </c>
      <c r="R1549" s="18">
        <v>40</v>
      </c>
      <c r="S1549" s="19">
        <v>2345.31</v>
      </c>
      <c r="T1549" s="20" t="s">
        <v>75</v>
      </c>
      <c r="U1549" s="21" t="s">
        <v>2000</v>
      </c>
      <c r="V1549" s="22" t="s">
        <v>2042</v>
      </c>
      <c r="W1549" s="23">
        <v>4</v>
      </c>
      <c r="X1549" s="24"/>
    </row>
    <row r="1550" spans="1:24" s="1" customFormat="1" ht="35" customHeight="1" x14ac:dyDescent="0.3">
      <c r="A1550" s="25" t="s">
        <v>1986</v>
      </c>
      <c r="B1550" s="25" t="s">
        <v>2279</v>
      </c>
      <c r="C1550" s="12" t="s">
        <v>2282</v>
      </c>
      <c r="D1550" s="86"/>
      <c r="E1550" s="67" t="str">
        <f>HYPERLINK("https://www.google.ru/search?q=C2UPM-G&amp;newwindow=1&amp;tbm=isch","Еще фото")</f>
        <v>Еще фото</v>
      </c>
      <c r="F1550" s="14"/>
      <c r="G1550" s="25" t="s">
        <v>712</v>
      </c>
      <c r="H1550" s="25" t="s">
        <v>69</v>
      </c>
      <c r="I1550" s="25" t="s">
        <v>713</v>
      </c>
      <c r="J1550" s="15" t="s">
        <v>162</v>
      </c>
      <c r="K1550" s="16" t="s">
        <v>45</v>
      </c>
      <c r="L1550" s="88"/>
      <c r="M1550" s="15"/>
      <c r="N1550" s="15" t="s">
        <v>55</v>
      </c>
      <c r="O1550" s="15"/>
      <c r="P1550" s="16" t="s">
        <v>2182</v>
      </c>
      <c r="Q1550" s="17">
        <v>3399</v>
      </c>
      <c r="R1550" s="18">
        <v>40</v>
      </c>
      <c r="S1550" s="19">
        <v>2345.31</v>
      </c>
      <c r="T1550" s="20" t="s">
        <v>75</v>
      </c>
      <c r="U1550" s="21" t="s">
        <v>2001</v>
      </c>
      <c r="V1550" s="22" t="s">
        <v>35</v>
      </c>
      <c r="W1550" s="23">
        <v>1</v>
      </c>
      <c r="X1550" s="24"/>
    </row>
    <row r="1551" spans="1:24" s="1" customFormat="1" ht="37.049999999999997" customHeight="1" x14ac:dyDescent="0.3">
      <c r="A1551" s="25" t="s">
        <v>1986</v>
      </c>
      <c r="B1551" s="25" t="s">
        <v>2279</v>
      </c>
      <c r="C1551" s="12" t="s">
        <v>2282</v>
      </c>
      <c r="D1551" s="87"/>
      <c r="E1551" s="67" t="str">
        <f>HYPERLINK("https://www.google.ru/search?q=C2UPM-G&amp;newwindow=1&amp;tbm=isch","Еще фото")</f>
        <v>Еще фото</v>
      </c>
      <c r="F1551" s="14"/>
      <c r="G1551" s="25" t="s">
        <v>712</v>
      </c>
      <c r="H1551" s="25" t="s">
        <v>69</v>
      </c>
      <c r="I1551" s="25" t="s">
        <v>713</v>
      </c>
      <c r="J1551" s="15" t="s">
        <v>162</v>
      </c>
      <c r="K1551" s="16" t="s">
        <v>45</v>
      </c>
      <c r="L1551" s="84"/>
      <c r="M1551" s="15"/>
      <c r="N1551" s="15" t="s">
        <v>55</v>
      </c>
      <c r="O1551" s="15"/>
      <c r="P1551" s="16" t="s">
        <v>2182</v>
      </c>
      <c r="Q1551" s="17">
        <v>3399</v>
      </c>
      <c r="R1551" s="18">
        <v>40</v>
      </c>
      <c r="S1551" s="19">
        <v>2345.31</v>
      </c>
      <c r="T1551" s="20" t="s">
        <v>75</v>
      </c>
      <c r="U1551" s="21" t="s">
        <v>2043</v>
      </c>
      <c r="V1551" s="22" t="s">
        <v>2044</v>
      </c>
      <c r="W1551" s="23">
        <v>1</v>
      </c>
      <c r="X1551" s="24"/>
    </row>
    <row r="1552" spans="1:24" s="1" customFormat="1" ht="108" customHeight="1" x14ac:dyDescent="0.3">
      <c r="A1552" s="11" t="s">
        <v>1986</v>
      </c>
      <c r="B1552" s="11" t="s">
        <v>2045</v>
      </c>
      <c r="C1552" s="12" t="s">
        <v>2283</v>
      </c>
      <c r="D1552" s="13"/>
      <c r="E1552" s="67" t="str">
        <f>HYPERLINK("https://www.google.ru/search?q=C2UUM-5-1&amp;newwindow=1&amp;tbm=isch","Еще фото")</f>
        <v>Еще фото</v>
      </c>
      <c r="F1552" s="14"/>
      <c r="G1552" s="11" t="s">
        <v>2284</v>
      </c>
      <c r="H1552" s="11" t="s">
        <v>69</v>
      </c>
      <c r="I1552" s="15" t="s">
        <v>713</v>
      </c>
      <c r="J1552" s="15" t="s">
        <v>162</v>
      </c>
      <c r="K1552" s="16" t="s">
        <v>45</v>
      </c>
      <c r="L1552" s="15" t="s">
        <v>2285</v>
      </c>
      <c r="M1552" s="15"/>
      <c r="N1552" s="15" t="s">
        <v>38</v>
      </c>
      <c r="O1552" s="15"/>
      <c r="P1552" s="16" t="s">
        <v>2049</v>
      </c>
      <c r="Q1552" s="17">
        <v>2999</v>
      </c>
      <c r="R1552" s="18">
        <v>40</v>
      </c>
      <c r="S1552" s="19">
        <v>2069.31</v>
      </c>
      <c r="T1552" s="20" t="s">
        <v>75</v>
      </c>
      <c r="U1552" s="21" t="s">
        <v>2000</v>
      </c>
      <c r="V1552" s="22" t="s">
        <v>2042</v>
      </c>
      <c r="W1552" s="23">
        <v>3</v>
      </c>
      <c r="X1552" s="24"/>
    </row>
    <row r="1553" spans="1:24" s="1" customFormat="1" ht="108" customHeight="1" x14ac:dyDescent="0.3">
      <c r="A1553" s="11" t="s">
        <v>1986</v>
      </c>
      <c r="B1553" s="11" t="s">
        <v>2045</v>
      </c>
      <c r="C1553" s="12" t="s">
        <v>2286</v>
      </c>
      <c r="D1553" s="13"/>
      <c r="E1553" s="67" t="str">
        <f>HYPERLINK("https://www.google.ru/search?q=C2UUM-S3&amp;newwindow=1&amp;tbm=isch","Еще фото")</f>
        <v>Еще фото</v>
      </c>
      <c r="F1553" s="14"/>
      <c r="G1553" s="11" t="s">
        <v>2287</v>
      </c>
      <c r="H1553" s="11" t="s">
        <v>69</v>
      </c>
      <c r="I1553" s="15" t="s">
        <v>713</v>
      </c>
      <c r="J1553" s="15" t="s">
        <v>162</v>
      </c>
      <c r="K1553" s="16" t="s">
        <v>45</v>
      </c>
      <c r="L1553" s="15" t="s">
        <v>2288</v>
      </c>
      <c r="M1553" s="15"/>
      <c r="N1553" s="15" t="s">
        <v>122</v>
      </c>
      <c r="O1553" s="15"/>
      <c r="P1553" s="16" t="s">
        <v>2068</v>
      </c>
      <c r="Q1553" s="17">
        <v>2999</v>
      </c>
      <c r="R1553" s="18">
        <v>40</v>
      </c>
      <c r="S1553" s="19">
        <v>2069.31</v>
      </c>
      <c r="T1553" s="20" t="s">
        <v>75</v>
      </c>
      <c r="U1553" s="21" t="s">
        <v>2000</v>
      </c>
      <c r="V1553" s="22" t="s">
        <v>2042</v>
      </c>
      <c r="W1553" s="23">
        <v>5</v>
      </c>
      <c r="X1553" s="24"/>
    </row>
    <row r="1554" spans="1:24" s="1" customFormat="1" ht="52.05" customHeight="1" x14ac:dyDescent="0.3">
      <c r="A1554" s="11" t="s">
        <v>1986</v>
      </c>
      <c r="B1554" s="11" t="s">
        <v>2045</v>
      </c>
      <c r="C1554" s="12" t="s">
        <v>2289</v>
      </c>
      <c r="D1554" s="81"/>
      <c r="E1554" s="67" t="str">
        <f>HYPERLINK("https://www.google.ru/search?q=C2UUW-0-1&amp;newwindow=1&amp;tbm=isch","Еще фото")</f>
        <v>Еще фото</v>
      </c>
      <c r="F1554" s="14"/>
      <c r="G1554" s="11" t="s">
        <v>2047</v>
      </c>
      <c r="H1554" s="11" t="s">
        <v>69</v>
      </c>
      <c r="I1554" s="15" t="s">
        <v>713</v>
      </c>
      <c r="J1554" s="15" t="s">
        <v>28</v>
      </c>
      <c r="K1554" s="16" t="s">
        <v>29</v>
      </c>
      <c r="L1554" s="83" t="s">
        <v>2048</v>
      </c>
      <c r="M1554" s="15"/>
      <c r="N1554" s="15" t="s">
        <v>173</v>
      </c>
      <c r="O1554" s="15"/>
      <c r="P1554" s="16" t="s">
        <v>2049</v>
      </c>
      <c r="Q1554" s="17">
        <v>2999</v>
      </c>
      <c r="R1554" s="18">
        <v>40</v>
      </c>
      <c r="S1554" s="19">
        <v>2069.31</v>
      </c>
      <c r="T1554" s="20" t="s">
        <v>75</v>
      </c>
      <c r="U1554" s="21" t="s">
        <v>2000</v>
      </c>
      <c r="V1554" s="22" t="s">
        <v>2056</v>
      </c>
      <c r="W1554" s="23">
        <v>3</v>
      </c>
      <c r="X1554" s="24"/>
    </row>
    <row r="1555" spans="1:24" s="1" customFormat="1" ht="61.05" customHeight="1" x14ac:dyDescent="0.3">
      <c r="A1555" s="25" t="s">
        <v>1986</v>
      </c>
      <c r="B1555" s="25" t="s">
        <v>2045</v>
      </c>
      <c r="C1555" s="12" t="s">
        <v>2289</v>
      </c>
      <c r="D1555" s="82"/>
      <c r="E1555" s="67" t="str">
        <f>HYPERLINK("https://www.google.ru/search?q=C2UUW-0-1&amp;newwindow=1&amp;tbm=isch","Еще фото")</f>
        <v>Еще фото</v>
      </c>
      <c r="F1555" s="14"/>
      <c r="G1555" s="25" t="s">
        <v>2047</v>
      </c>
      <c r="H1555" s="25" t="s">
        <v>69</v>
      </c>
      <c r="I1555" s="25" t="s">
        <v>713</v>
      </c>
      <c r="J1555" s="15" t="s">
        <v>28</v>
      </c>
      <c r="K1555" s="16" t="s">
        <v>29</v>
      </c>
      <c r="L1555" s="84"/>
      <c r="M1555" s="15"/>
      <c r="N1555" s="15" t="s">
        <v>173</v>
      </c>
      <c r="O1555" s="15"/>
      <c r="P1555" s="16" t="s">
        <v>2049</v>
      </c>
      <c r="Q1555" s="17">
        <v>2999</v>
      </c>
      <c r="R1555" s="18">
        <v>40</v>
      </c>
      <c r="S1555" s="19">
        <v>2069.31</v>
      </c>
      <c r="T1555" s="20" t="s">
        <v>75</v>
      </c>
      <c r="U1555" s="21" t="s">
        <v>2001</v>
      </c>
      <c r="V1555" s="22" t="s">
        <v>2051</v>
      </c>
      <c r="W1555" s="23">
        <v>1</v>
      </c>
      <c r="X1555" s="24"/>
    </row>
    <row r="1556" spans="1:24" s="1" customFormat="1" ht="108" customHeight="1" x14ac:dyDescent="0.3">
      <c r="A1556" s="11" t="s">
        <v>1986</v>
      </c>
      <c r="B1556" s="11" t="s">
        <v>2045</v>
      </c>
      <c r="C1556" s="12" t="s">
        <v>2290</v>
      </c>
      <c r="D1556" s="13"/>
      <c r="E1556" s="67" t="str">
        <f>HYPERLINK("https://www.google.ru/search?q=C2UUW-W4&amp;newwindow=1&amp;tbm=isch","Еще фото")</f>
        <v>Еще фото</v>
      </c>
      <c r="F1556" s="14"/>
      <c r="G1556" s="11" t="s">
        <v>2047</v>
      </c>
      <c r="H1556" s="11" t="s">
        <v>69</v>
      </c>
      <c r="I1556" s="15" t="s">
        <v>713</v>
      </c>
      <c r="J1556" s="15" t="s">
        <v>162</v>
      </c>
      <c r="K1556" s="16" t="s">
        <v>29</v>
      </c>
      <c r="L1556" s="15" t="s">
        <v>2048</v>
      </c>
      <c r="M1556" s="15"/>
      <c r="N1556" s="15" t="s">
        <v>2291</v>
      </c>
      <c r="O1556" s="15" t="s">
        <v>400</v>
      </c>
      <c r="P1556" s="16" t="s">
        <v>2049</v>
      </c>
      <c r="Q1556" s="17">
        <v>2949</v>
      </c>
      <c r="R1556" s="18">
        <v>40</v>
      </c>
      <c r="S1556" s="19">
        <v>2034.81</v>
      </c>
      <c r="T1556" s="20" t="s">
        <v>75</v>
      </c>
      <c r="U1556" s="21" t="s">
        <v>2001</v>
      </c>
      <c r="V1556" s="22" t="s">
        <v>2051</v>
      </c>
      <c r="W1556" s="23">
        <v>1</v>
      </c>
      <c r="X1556" s="24"/>
    </row>
    <row r="1557" spans="1:24" s="1" customFormat="1" ht="52.05" customHeight="1" x14ac:dyDescent="0.3">
      <c r="A1557" s="11" t="s">
        <v>1986</v>
      </c>
      <c r="B1557" s="11" t="s">
        <v>2096</v>
      </c>
      <c r="C1557" s="12" t="s">
        <v>2292</v>
      </c>
      <c r="D1557" s="81"/>
      <c r="E1557" s="67" t="str">
        <f>HYPERLINK("https://www.google.ru/search?q=C305M-0&amp;newwindow=1&amp;tbm=isch","Еще фото")</f>
        <v>Еще фото</v>
      </c>
      <c r="F1557" s="14"/>
      <c r="G1557" s="11" t="s">
        <v>2098</v>
      </c>
      <c r="H1557" s="11" t="s">
        <v>69</v>
      </c>
      <c r="I1557" s="15" t="s">
        <v>713</v>
      </c>
      <c r="J1557" s="15" t="s">
        <v>162</v>
      </c>
      <c r="K1557" s="16" t="s">
        <v>45</v>
      </c>
      <c r="L1557" s="83" t="s">
        <v>2293</v>
      </c>
      <c r="M1557" s="15"/>
      <c r="N1557" s="15" t="s">
        <v>173</v>
      </c>
      <c r="O1557" s="15"/>
      <c r="P1557" s="16" t="s">
        <v>2100</v>
      </c>
      <c r="Q1557" s="17">
        <v>4599</v>
      </c>
      <c r="R1557" s="18">
        <v>40</v>
      </c>
      <c r="S1557" s="19">
        <v>3173.31</v>
      </c>
      <c r="T1557" s="20" t="s">
        <v>75</v>
      </c>
      <c r="U1557" s="21" t="s">
        <v>2001</v>
      </c>
      <c r="V1557" s="22" t="s">
        <v>35</v>
      </c>
      <c r="W1557" s="23">
        <v>8</v>
      </c>
      <c r="X1557" s="24"/>
    </row>
    <row r="1558" spans="1:24" s="1" customFormat="1" ht="61.05" customHeight="1" x14ac:dyDescent="0.3">
      <c r="A1558" s="25" t="s">
        <v>1986</v>
      </c>
      <c r="B1558" s="25" t="s">
        <v>2096</v>
      </c>
      <c r="C1558" s="12" t="s">
        <v>2292</v>
      </c>
      <c r="D1558" s="82"/>
      <c r="E1558" s="67" t="str">
        <f>HYPERLINK("https://www.google.ru/search?q=C305M-0&amp;newwindow=1&amp;tbm=isch","Еще фото")</f>
        <v>Еще фото</v>
      </c>
      <c r="F1558" s="14"/>
      <c r="G1558" s="25" t="s">
        <v>2098</v>
      </c>
      <c r="H1558" s="25" t="s">
        <v>69</v>
      </c>
      <c r="I1558" s="25" t="s">
        <v>713</v>
      </c>
      <c r="J1558" s="15" t="s">
        <v>162</v>
      </c>
      <c r="K1558" s="16" t="s">
        <v>45</v>
      </c>
      <c r="L1558" s="84"/>
      <c r="M1558" s="15"/>
      <c r="N1558" s="15" t="s">
        <v>173</v>
      </c>
      <c r="O1558" s="15"/>
      <c r="P1558" s="16" t="s">
        <v>2100</v>
      </c>
      <c r="Q1558" s="17">
        <v>4599</v>
      </c>
      <c r="R1558" s="18">
        <v>40</v>
      </c>
      <c r="S1558" s="19">
        <v>3173.31</v>
      </c>
      <c r="T1558" s="20" t="s">
        <v>75</v>
      </c>
      <c r="U1558" s="21" t="s">
        <v>2043</v>
      </c>
      <c r="V1558" s="22" t="s">
        <v>2044</v>
      </c>
      <c r="W1558" s="23">
        <v>4</v>
      </c>
      <c r="X1558" s="24"/>
    </row>
    <row r="1559" spans="1:24" s="1" customFormat="1" ht="35" customHeight="1" x14ac:dyDescent="0.3">
      <c r="A1559" s="11" t="s">
        <v>1986</v>
      </c>
      <c r="B1559" s="11" t="s">
        <v>2096</v>
      </c>
      <c r="C1559" s="12" t="s">
        <v>2294</v>
      </c>
      <c r="D1559" s="85"/>
      <c r="E1559" s="67" t="str">
        <f>HYPERLINK("https://www.google.ru/search?q=C305M-3&amp;newwindow=1&amp;tbm=isch","Еще фото")</f>
        <v>Еще фото</v>
      </c>
      <c r="F1559" s="14"/>
      <c r="G1559" s="11" t="s">
        <v>2098</v>
      </c>
      <c r="H1559" s="11" t="s">
        <v>69</v>
      </c>
      <c r="I1559" s="15" t="s">
        <v>713</v>
      </c>
      <c r="J1559" s="15" t="s">
        <v>162</v>
      </c>
      <c r="K1559" s="16" t="s">
        <v>45</v>
      </c>
      <c r="L1559" s="83" t="s">
        <v>2293</v>
      </c>
      <c r="M1559" s="15"/>
      <c r="N1559" s="15" t="s">
        <v>31</v>
      </c>
      <c r="O1559" s="15"/>
      <c r="P1559" s="16" t="s">
        <v>2100</v>
      </c>
      <c r="Q1559" s="17">
        <v>4599</v>
      </c>
      <c r="R1559" s="18">
        <v>40</v>
      </c>
      <c r="S1559" s="19">
        <v>3173.31</v>
      </c>
      <c r="T1559" s="20" t="s">
        <v>75</v>
      </c>
      <c r="U1559" s="21" t="s">
        <v>2000</v>
      </c>
      <c r="V1559" s="22" t="s">
        <v>2042</v>
      </c>
      <c r="W1559" s="23">
        <v>15</v>
      </c>
      <c r="X1559" s="24"/>
    </row>
    <row r="1560" spans="1:24" s="1" customFormat="1" ht="35" customHeight="1" x14ac:dyDescent="0.3">
      <c r="A1560" s="25" t="s">
        <v>1986</v>
      </c>
      <c r="B1560" s="25" t="s">
        <v>2096</v>
      </c>
      <c r="C1560" s="12" t="s">
        <v>2294</v>
      </c>
      <c r="D1560" s="86"/>
      <c r="E1560" s="67" t="str">
        <f>HYPERLINK("https://www.google.ru/search?q=C305M-3&amp;newwindow=1&amp;tbm=isch","Еще фото")</f>
        <v>Еще фото</v>
      </c>
      <c r="F1560" s="14"/>
      <c r="G1560" s="25" t="s">
        <v>2098</v>
      </c>
      <c r="H1560" s="25" t="s">
        <v>69</v>
      </c>
      <c r="I1560" s="25" t="s">
        <v>713</v>
      </c>
      <c r="J1560" s="15" t="s">
        <v>162</v>
      </c>
      <c r="K1560" s="16" t="s">
        <v>45</v>
      </c>
      <c r="L1560" s="88"/>
      <c r="M1560" s="15"/>
      <c r="N1560" s="15" t="s">
        <v>31</v>
      </c>
      <c r="O1560" s="15"/>
      <c r="P1560" s="16" t="s">
        <v>2100</v>
      </c>
      <c r="Q1560" s="17">
        <v>4599</v>
      </c>
      <c r="R1560" s="18">
        <v>40</v>
      </c>
      <c r="S1560" s="19">
        <v>3173.31</v>
      </c>
      <c r="T1560" s="20" t="s">
        <v>75</v>
      </c>
      <c r="U1560" s="21" t="s">
        <v>2001</v>
      </c>
      <c r="V1560" s="22" t="s">
        <v>35</v>
      </c>
      <c r="W1560" s="23">
        <v>17</v>
      </c>
      <c r="X1560" s="24"/>
    </row>
    <row r="1561" spans="1:24" s="1" customFormat="1" ht="37.049999999999997" customHeight="1" x14ac:dyDescent="0.3">
      <c r="A1561" s="25" t="s">
        <v>1986</v>
      </c>
      <c r="B1561" s="25" t="s">
        <v>2096</v>
      </c>
      <c r="C1561" s="12" t="s">
        <v>2294</v>
      </c>
      <c r="D1561" s="87"/>
      <c r="E1561" s="67" t="str">
        <f>HYPERLINK("https://www.google.ru/search?q=C305M-3&amp;newwindow=1&amp;tbm=isch","Еще фото")</f>
        <v>Еще фото</v>
      </c>
      <c r="F1561" s="14"/>
      <c r="G1561" s="25" t="s">
        <v>2098</v>
      </c>
      <c r="H1561" s="25" t="s">
        <v>69</v>
      </c>
      <c r="I1561" s="25" t="s">
        <v>713</v>
      </c>
      <c r="J1561" s="15" t="s">
        <v>162</v>
      </c>
      <c r="K1561" s="16" t="s">
        <v>45</v>
      </c>
      <c r="L1561" s="84"/>
      <c r="M1561" s="15"/>
      <c r="N1561" s="15" t="s">
        <v>31</v>
      </c>
      <c r="O1561" s="15"/>
      <c r="P1561" s="16" t="s">
        <v>2100</v>
      </c>
      <c r="Q1561" s="17">
        <v>4599</v>
      </c>
      <c r="R1561" s="18">
        <v>40</v>
      </c>
      <c r="S1561" s="19">
        <v>3173.31</v>
      </c>
      <c r="T1561" s="20" t="s">
        <v>75</v>
      </c>
      <c r="U1561" s="21" t="s">
        <v>2043</v>
      </c>
      <c r="V1561" s="22" t="s">
        <v>2044</v>
      </c>
      <c r="W1561" s="23">
        <v>9</v>
      </c>
      <c r="X1561" s="24"/>
    </row>
    <row r="1562" spans="1:24" s="1" customFormat="1" ht="35" customHeight="1" x14ac:dyDescent="0.3">
      <c r="A1562" s="11" t="s">
        <v>1986</v>
      </c>
      <c r="B1562" s="11" t="s">
        <v>2096</v>
      </c>
      <c r="C1562" s="12" t="s">
        <v>2295</v>
      </c>
      <c r="D1562" s="85"/>
      <c r="E1562" s="67" t="str">
        <f>HYPERLINK("https://www.google.ru/search?q=C305M-5&amp;newwindow=1&amp;tbm=isch","Еще фото")</f>
        <v>Еще фото</v>
      </c>
      <c r="F1562" s="14"/>
      <c r="G1562" s="11" t="s">
        <v>2098</v>
      </c>
      <c r="H1562" s="11" t="s">
        <v>69</v>
      </c>
      <c r="I1562" s="15" t="s">
        <v>713</v>
      </c>
      <c r="J1562" s="15" t="s">
        <v>162</v>
      </c>
      <c r="K1562" s="16" t="s">
        <v>45</v>
      </c>
      <c r="L1562" s="83" t="s">
        <v>2293</v>
      </c>
      <c r="M1562" s="15"/>
      <c r="N1562" s="15" t="s">
        <v>38</v>
      </c>
      <c r="O1562" s="15"/>
      <c r="P1562" s="16" t="s">
        <v>2100</v>
      </c>
      <c r="Q1562" s="17">
        <v>4599</v>
      </c>
      <c r="R1562" s="18">
        <v>40</v>
      </c>
      <c r="S1562" s="19">
        <v>3173.31</v>
      </c>
      <c r="T1562" s="20" t="s">
        <v>75</v>
      </c>
      <c r="U1562" s="21" t="s">
        <v>2000</v>
      </c>
      <c r="V1562" s="22" t="s">
        <v>2042</v>
      </c>
      <c r="W1562" s="23">
        <v>9</v>
      </c>
      <c r="X1562" s="24"/>
    </row>
    <row r="1563" spans="1:24" s="1" customFormat="1" ht="35" customHeight="1" x14ac:dyDescent="0.3">
      <c r="A1563" s="25" t="s">
        <v>1986</v>
      </c>
      <c r="B1563" s="25" t="s">
        <v>2096</v>
      </c>
      <c r="C1563" s="12" t="s">
        <v>2295</v>
      </c>
      <c r="D1563" s="86"/>
      <c r="E1563" s="67" t="str">
        <f>HYPERLINK("https://www.google.ru/search?q=C305M-5&amp;newwindow=1&amp;tbm=isch","Еще фото")</f>
        <v>Еще фото</v>
      </c>
      <c r="F1563" s="14"/>
      <c r="G1563" s="25" t="s">
        <v>2098</v>
      </c>
      <c r="H1563" s="25" t="s">
        <v>69</v>
      </c>
      <c r="I1563" s="25" t="s">
        <v>713</v>
      </c>
      <c r="J1563" s="15" t="s">
        <v>162</v>
      </c>
      <c r="K1563" s="16" t="s">
        <v>45</v>
      </c>
      <c r="L1563" s="88"/>
      <c r="M1563" s="15"/>
      <c r="N1563" s="15" t="s">
        <v>38</v>
      </c>
      <c r="O1563" s="15"/>
      <c r="P1563" s="16" t="s">
        <v>2100</v>
      </c>
      <c r="Q1563" s="17">
        <v>4599</v>
      </c>
      <c r="R1563" s="18">
        <v>40</v>
      </c>
      <c r="S1563" s="19">
        <v>3173.31</v>
      </c>
      <c r="T1563" s="20" t="s">
        <v>75</v>
      </c>
      <c r="U1563" s="21" t="s">
        <v>2001</v>
      </c>
      <c r="V1563" s="22" t="s">
        <v>35</v>
      </c>
      <c r="W1563" s="23">
        <v>19</v>
      </c>
      <c r="X1563" s="24"/>
    </row>
    <row r="1564" spans="1:24" s="1" customFormat="1" ht="37.049999999999997" customHeight="1" x14ac:dyDescent="0.3">
      <c r="A1564" s="25" t="s">
        <v>1986</v>
      </c>
      <c r="B1564" s="25" t="s">
        <v>2096</v>
      </c>
      <c r="C1564" s="12" t="s">
        <v>2295</v>
      </c>
      <c r="D1564" s="87"/>
      <c r="E1564" s="67" t="str">
        <f>HYPERLINK("https://www.google.ru/search?q=C305M-5&amp;newwindow=1&amp;tbm=isch","Еще фото")</f>
        <v>Еще фото</v>
      </c>
      <c r="F1564" s="14"/>
      <c r="G1564" s="25" t="s">
        <v>2098</v>
      </c>
      <c r="H1564" s="25" t="s">
        <v>69</v>
      </c>
      <c r="I1564" s="25" t="s">
        <v>713</v>
      </c>
      <c r="J1564" s="15" t="s">
        <v>162</v>
      </c>
      <c r="K1564" s="16" t="s">
        <v>45</v>
      </c>
      <c r="L1564" s="84"/>
      <c r="M1564" s="15"/>
      <c r="N1564" s="15" t="s">
        <v>38</v>
      </c>
      <c r="O1564" s="15"/>
      <c r="P1564" s="16" t="s">
        <v>2100</v>
      </c>
      <c r="Q1564" s="17">
        <v>4599</v>
      </c>
      <c r="R1564" s="18">
        <v>40</v>
      </c>
      <c r="S1564" s="19">
        <v>3173.31</v>
      </c>
      <c r="T1564" s="20" t="s">
        <v>75</v>
      </c>
      <c r="U1564" s="21" t="s">
        <v>2043</v>
      </c>
      <c r="V1564" s="22" t="s">
        <v>2044</v>
      </c>
      <c r="W1564" s="23">
        <v>6</v>
      </c>
      <c r="X1564" s="24"/>
    </row>
    <row r="1565" spans="1:24" s="1" customFormat="1" ht="52.05" customHeight="1" x14ac:dyDescent="0.3">
      <c r="A1565" s="11" t="s">
        <v>1986</v>
      </c>
      <c r="B1565" s="11" t="s">
        <v>2096</v>
      </c>
      <c r="C1565" s="12" t="s">
        <v>2296</v>
      </c>
      <c r="D1565" s="81"/>
      <c r="E1565" s="67" t="str">
        <f>HYPERLINK("https://www.google.ru/search?q=C305W-0&amp;newwindow=1&amp;tbm=isch","Еще фото")</f>
        <v>Еще фото</v>
      </c>
      <c r="F1565" s="14"/>
      <c r="G1565" s="11" t="s">
        <v>2098</v>
      </c>
      <c r="H1565" s="11" t="s">
        <v>69</v>
      </c>
      <c r="I1565" s="15" t="s">
        <v>713</v>
      </c>
      <c r="J1565" s="15" t="s">
        <v>162</v>
      </c>
      <c r="K1565" s="16" t="s">
        <v>29</v>
      </c>
      <c r="L1565" s="83" t="s">
        <v>2099</v>
      </c>
      <c r="M1565" s="15"/>
      <c r="N1565" s="15" t="s">
        <v>173</v>
      </c>
      <c r="O1565" s="15"/>
      <c r="P1565" s="16" t="s">
        <v>2100</v>
      </c>
      <c r="Q1565" s="17">
        <v>4599</v>
      </c>
      <c r="R1565" s="18">
        <v>40</v>
      </c>
      <c r="S1565" s="19">
        <v>3173.31</v>
      </c>
      <c r="T1565" s="20" t="s">
        <v>75</v>
      </c>
      <c r="U1565" s="21" t="s">
        <v>2000</v>
      </c>
      <c r="V1565" s="22" t="s">
        <v>2056</v>
      </c>
      <c r="W1565" s="23">
        <v>6</v>
      </c>
      <c r="X1565" s="24"/>
    </row>
    <row r="1566" spans="1:24" s="1" customFormat="1" ht="61.05" customHeight="1" x14ac:dyDescent="0.3">
      <c r="A1566" s="25" t="s">
        <v>1986</v>
      </c>
      <c r="B1566" s="25" t="s">
        <v>2096</v>
      </c>
      <c r="C1566" s="12" t="s">
        <v>2296</v>
      </c>
      <c r="D1566" s="82"/>
      <c r="E1566" s="67" t="str">
        <f>HYPERLINK("https://www.google.ru/search?q=C305W-0&amp;newwindow=1&amp;tbm=isch","Еще фото")</f>
        <v>Еще фото</v>
      </c>
      <c r="F1566" s="14"/>
      <c r="G1566" s="25" t="s">
        <v>2098</v>
      </c>
      <c r="H1566" s="25" t="s">
        <v>69</v>
      </c>
      <c r="I1566" s="25" t="s">
        <v>713</v>
      </c>
      <c r="J1566" s="15" t="s">
        <v>162</v>
      </c>
      <c r="K1566" s="16" t="s">
        <v>29</v>
      </c>
      <c r="L1566" s="84"/>
      <c r="M1566" s="15"/>
      <c r="N1566" s="15" t="s">
        <v>173</v>
      </c>
      <c r="O1566" s="15"/>
      <c r="P1566" s="16" t="s">
        <v>2100</v>
      </c>
      <c r="Q1566" s="17">
        <v>4599</v>
      </c>
      <c r="R1566" s="18">
        <v>40</v>
      </c>
      <c r="S1566" s="19">
        <v>3173.31</v>
      </c>
      <c r="T1566" s="20" t="s">
        <v>75</v>
      </c>
      <c r="U1566" s="21" t="s">
        <v>2001</v>
      </c>
      <c r="V1566" s="22" t="s">
        <v>2051</v>
      </c>
      <c r="W1566" s="23">
        <v>9</v>
      </c>
      <c r="X1566" s="24"/>
    </row>
    <row r="1567" spans="1:24" s="1" customFormat="1" ht="35" customHeight="1" x14ac:dyDescent="0.3">
      <c r="A1567" s="11" t="s">
        <v>1986</v>
      </c>
      <c r="B1567" s="11" t="s">
        <v>2096</v>
      </c>
      <c r="C1567" s="12" t="s">
        <v>2297</v>
      </c>
      <c r="D1567" s="85"/>
      <c r="E1567" s="67" t="str">
        <f>HYPERLINK("https://www.google.ru/search?q=C305W-5&amp;newwindow=1&amp;tbm=isch","Еще фото")</f>
        <v>Еще фото</v>
      </c>
      <c r="F1567" s="14"/>
      <c r="G1567" s="11" t="s">
        <v>2098</v>
      </c>
      <c r="H1567" s="11" t="s">
        <v>69</v>
      </c>
      <c r="I1567" s="15" t="s">
        <v>713</v>
      </c>
      <c r="J1567" s="15" t="s">
        <v>162</v>
      </c>
      <c r="K1567" s="16" t="s">
        <v>29</v>
      </c>
      <c r="L1567" s="83" t="s">
        <v>2099</v>
      </c>
      <c r="M1567" s="15"/>
      <c r="N1567" s="15" t="s">
        <v>38</v>
      </c>
      <c r="O1567" s="15"/>
      <c r="P1567" s="16" t="s">
        <v>2100</v>
      </c>
      <c r="Q1567" s="17">
        <v>4599</v>
      </c>
      <c r="R1567" s="18">
        <v>40</v>
      </c>
      <c r="S1567" s="19">
        <v>3173.31</v>
      </c>
      <c r="T1567" s="20" t="s">
        <v>75</v>
      </c>
      <c r="U1567" s="21" t="s">
        <v>1999</v>
      </c>
      <c r="V1567" s="22" t="s">
        <v>2050</v>
      </c>
      <c r="W1567" s="23">
        <v>7</v>
      </c>
      <c r="X1567" s="24"/>
    </row>
    <row r="1568" spans="1:24" s="1" customFormat="1" ht="35" customHeight="1" x14ac:dyDescent="0.3">
      <c r="A1568" s="25" t="s">
        <v>1986</v>
      </c>
      <c r="B1568" s="25" t="s">
        <v>2096</v>
      </c>
      <c r="C1568" s="12" t="s">
        <v>2297</v>
      </c>
      <c r="D1568" s="86"/>
      <c r="E1568" s="67" t="str">
        <f>HYPERLINK("https://www.google.ru/search?q=C305W-5&amp;newwindow=1&amp;tbm=isch","Еще фото")</f>
        <v>Еще фото</v>
      </c>
      <c r="F1568" s="14"/>
      <c r="G1568" s="25" t="s">
        <v>2098</v>
      </c>
      <c r="H1568" s="25" t="s">
        <v>69</v>
      </c>
      <c r="I1568" s="25" t="s">
        <v>713</v>
      </c>
      <c r="J1568" s="15" t="s">
        <v>162</v>
      </c>
      <c r="K1568" s="16" t="s">
        <v>29</v>
      </c>
      <c r="L1568" s="88"/>
      <c r="M1568" s="15"/>
      <c r="N1568" s="15" t="s">
        <v>38</v>
      </c>
      <c r="O1568" s="15"/>
      <c r="P1568" s="16" t="s">
        <v>2100</v>
      </c>
      <c r="Q1568" s="17">
        <v>4599</v>
      </c>
      <c r="R1568" s="18">
        <v>40</v>
      </c>
      <c r="S1568" s="19">
        <v>3173.31</v>
      </c>
      <c r="T1568" s="20" t="s">
        <v>75</v>
      </c>
      <c r="U1568" s="21" t="s">
        <v>2000</v>
      </c>
      <c r="V1568" s="22" t="s">
        <v>2056</v>
      </c>
      <c r="W1568" s="23">
        <v>6</v>
      </c>
      <c r="X1568" s="24"/>
    </row>
    <row r="1569" spans="1:24" s="1" customFormat="1" ht="37.049999999999997" customHeight="1" x14ac:dyDescent="0.3">
      <c r="A1569" s="25" t="s">
        <v>1986</v>
      </c>
      <c r="B1569" s="25" t="s">
        <v>2096</v>
      </c>
      <c r="C1569" s="12" t="s">
        <v>2297</v>
      </c>
      <c r="D1569" s="87"/>
      <c r="E1569" s="67" t="str">
        <f>HYPERLINK("https://www.google.ru/search?q=C305W-5&amp;newwindow=1&amp;tbm=isch","Еще фото")</f>
        <v>Еще фото</v>
      </c>
      <c r="F1569" s="14"/>
      <c r="G1569" s="25" t="s">
        <v>2098</v>
      </c>
      <c r="H1569" s="25" t="s">
        <v>69</v>
      </c>
      <c r="I1569" s="25" t="s">
        <v>713</v>
      </c>
      <c r="J1569" s="15" t="s">
        <v>162</v>
      </c>
      <c r="K1569" s="16" t="s">
        <v>29</v>
      </c>
      <c r="L1569" s="84"/>
      <c r="M1569" s="15"/>
      <c r="N1569" s="15" t="s">
        <v>38</v>
      </c>
      <c r="O1569" s="15"/>
      <c r="P1569" s="16" t="s">
        <v>2100</v>
      </c>
      <c r="Q1569" s="17">
        <v>4599</v>
      </c>
      <c r="R1569" s="18">
        <v>40</v>
      </c>
      <c r="S1569" s="19">
        <v>3173.31</v>
      </c>
      <c r="T1569" s="20" t="s">
        <v>75</v>
      </c>
      <c r="U1569" s="21" t="s">
        <v>2001</v>
      </c>
      <c r="V1569" s="22" t="s">
        <v>2051</v>
      </c>
      <c r="W1569" s="23">
        <v>1</v>
      </c>
      <c r="X1569" s="24"/>
    </row>
    <row r="1570" spans="1:24" s="1" customFormat="1" ht="108" customHeight="1" x14ac:dyDescent="0.3">
      <c r="A1570" s="11" t="s">
        <v>1986</v>
      </c>
      <c r="B1570" s="11" t="s">
        <v>2096</v>
      </c>
      <c r="C1570" s="12" t="s">
        <v>2298</v>
      </c>
      <c r="D1570" s="13"/>
      <c r="E1570" s="67" t="str">
        <f>HYPERLINK("https://www.google.ru/search?q=C305W-YB&amp;newwindow=1&amp;tbm=isch","Еще фото")</f>
        <v>Еще фото</v>
      </c>
      <c r="F1570" s="14"/>
      <c r="G1570" s="11" t="s">
        <v>2098</v>
      </c>
      <c r="H1570" s="11" t="s">
        <v>69</v>
      </c>
      <c r="I1570" s="15" t="s">
        <v>713</v>
      </c>
      <c r="J1570" s="15" t="s">
        <v>162</v>
      </c>
      <c r="K1570" s="16" t="s">
        <v>29</v>
      </c>
      <c r="L1570" s="15" t="s">
        <v>2099</v>
      </c>
      <c r="M1570" s="15"/>
      <c r="N1570" s="15" t="s">
        <v>2076</v>
      </c>
      <c r="O1570" s="15"/>
      <c r="P1570" s="16" t="s">
        <v>2100</v>
      </c>
      <c r="Q1570" s="17">
        <v>4599</v>
      </c>
      <c r="R1570" s="18">
        <v>40</v>
      </c>
      <c r="S1570" s="19">
        <v>3173.31</v>
      </c>
      <c r="T1570" s="20" t="s">
        <v>75</v>
      </c>
      <c r="U1570" s="21" t="s">
        <v>1999</v>
      </c>
      <c r="V1570" s="22" t="s">
        <v>2050</v>
      </c>
      <c r="W1570" s="23">
        <v>1</v>
      </c>
      <c r="X1570" s="24"/>
    </row>
    <row r="1571" spans="1:24" s="1" customFormat="1" ht="35" customHeight="1" x14ac:dyDescent="0.3">
      <c r="A1571" s="11" t="s">
        <v>1986</v>
      </c>
      <c r="B1571" s="11" t="s">
        <v>2101</v>
      </c>
      <c r="C1571" s="12" t="s">
        <v>2299</v>
      </c>
      <c r="D1571" s="85"/>
      <c r="E1571" s="67" t="str">
        <f>HYPERLINK("https://www.google.ru/search?q=C3UUM-5-1&amp;newwindow=1&amp;tbm=isch","Еще фото")</f>
        <v>Еще фото</v>
      </c>
      <c r="F1571" s="14"/>
      <c r="G1571" s="11" t="s">
        <v>2103</v>
      </c>
      <c r="H1571" s="11" t="s">
        <v>69</v>
      </c>
      <c r="I1571" s="15" t="s">
        <v>713</v>
      </c>
      <c r="J1571" s="15" t="s">
        <v>162</v>
      </c>
      <c r="K1571" s="16" t="s">
        <v>71</v>
      </c>
      <c r="L1571" s="83" t="s">
        <v>2187</v>
      </c>
      <c r="M1571" s="15"/>
      <c r="N1571" s="15" t="s">
        <v>38</v>
      </c>
      <c r="O1571" s="15"/>
      <c r="P1571" s="16" t="s">
        <v>2105</v>
      </c>
      <c r="Q1571" s="17">
        <v>4599</v>
      </c>
      <c r="R1571" s="18">
        <v>40</v>
      </c>
      <c r="S1571" s="19">
        <v>3173.31</v>
      </c>
      <c r="T1571" s="20" t="s">
        <v>75</v>
      </c>
      <c r="U1571" s="21" t="s">
        <v>2000</v>
      </c>
      <c r="V1571" s="22" t="s">
        <v>732</v>
      </c>
      <c r="W1571" s="23">
        <v>5</v>
      </c>
      <c r="X1571" s="24"/>
    </row>
    <row r="1572" spans="1:24" s="1" customFormat="1" ht="35" customHeight="1" x14ac:dyDescent="0.3">
      <c r="A1572" s="25" t="s">
        <v>1986</v>
      </c>
      <c r="B1572" s="25" t="s">
        <v>2101</v>
      </c>
      <c r="C1572" s="12" t="s">
        <v>2299</v>
      </c>
      <c r="D1572" s="86"/>
      <c r="E1572" s="67" t="str">
        <f>HYPERLINK("https://www.google.ru/search?q=C3UUM-5-1&amp;newwindow=1&amp;tbm=isch","Еще фото")</f>
        <v>Еще фото</v>
      </c>
      <c r="F1572" s="14"/>
      <c r="G1572" s="25" t="s">
        <v>2103</v>
      </c>
      <c r="H1572" s="25" t="s">
        <v>69</v>
      </c>
      <c r="I1572" s="25" t="s">
        <v>713</v>
      </c>
      <c r="J1572" s="15" t="s">
        <v>162</v>
      </c>
      <c r="K1572" s="16" t="s">
        <v>71</v>
      </c>
      <c r="L1572" s="88"/>
      <c r="M1572" s="15"/>
      <c r="N1572" s="15" t="s">
        <v>38</v>
      </c>
      <c r="O1572" s="15"/>
      <c r="P1572" s="16" t="s">
        <v>2105</v>
      </c>
      <c r="Q1572" s="17">
        <v>4599</v>
      </c>
      <c r="R1572" s="18">
        <v>40</v>
      </c>
      <c r="S1572" s="19">
        <v>3173.31</v>
      </c>
      <c r="T1572" s="20" t="s">
        <v>75</v>
      </c>
      <c r="U1572" s="21" t="s">
        <v>2001</v>
      </c>
      <c r="V1572" s="22" t="s">
        <v>2051</v>
      </c>
      <c r="W1572" s="23">
        <v>1</v>
      </c>
      <c r="X1572" s="24"/>
    </row>
    <row r="1573" spans="1:24" s="1" customFormat="1" ht="37.049999999999997" customHeight="1" x14ac:dyDescent="0.3">
      <c r="A1573" s="25" t="s">
        <v>1986</v>
      </c>
      <c r="B1573" s="25" t="s">
        <v>2101</v>
      </c>
      <c r="C1573" s="12" t="s">
        <v>2299</v>
      </c>
      <c r="D1573" s="87"/>
      <c r="E1573" s="67" t="str">
        <f>HYPERLINK("https://www.google.ru/search?q=C3UUM-5-1&amp;newwindow=1&amp;tbm=isch","Еще фото")</f>
        <v>Еще фото</v>
      </c>
      <c r="F1573" s="14"/>
      <c r="G1573" s="25" t="s">
        <v>2103</v>
      </c>
      <c r="H1573" s="25" t="s">
        <v>69</v>
      </c>
      <c r="I1573" s="25" t="s">
        <v>713</v>
      </c>
      <c r="J1573" s="15" t="s">
        <v>162</v>
      </c>
      <c r="K1573" s="16" t="s">
        <v>71</v>
      </c>
      <c r="L1573" s="84"/>
      <c r="M1573" s="15"/>
      <c r="N1573" s="15" t="s">
        <v>38</v>
      </c>
      <c r="O1573" s="15"/>
      <c r="P1573" s="16" t="s">
        <v>2105</v>
      </c>
      <c r="Q1573" s="17">
        <v>4599</v>
      </c>
      <c r="R1573" s="18">
        <v>40</v>
      </c>
      <c r="S1573" s="19">
        <v>3173.31</v>
      </c>
      <c r="T1573" s="20" t="s">
        <v>75</v>
      </c>
      <c r="U1573" s="21" t="s">
        <v>2043</v>
      </c>
      <c r="V1573" s="22" t="s">
        <v>2300</v>
      </c>
      <c r="W1573" s="23">
        <v>6</v>
      </c>
      <c r="X1573" s="24"/>
    </row>
    <row r="1574" spans="1:24" s="1" customFormat="1" ht="52.05" customHeight="1" x14ac:dyDescent="0.3">
      <c r="A1574" s="11" t="s">
        <v>1986</v>
      </c>
      <c r="B1574" s="11" t="s">
        <v>2201</v>
      </c>
      <c r="C1574" s="12" t="s">
        <v>2301</v>
      </c>
      <c r="D1574" s="81"/>
      <c r="E1574" s="67" t="str">
        <f>HYPERLINK("https://www.google.ru/search?q=C516UM-22&amp;newwindow=1&amp;tbm=isch","Еще фото")</f>
        <v>Еще фото</v>
      </c>
      <c r="F1574" s="14"/>
      <c r="G1574" s="11" t="s">
        <v>2302</v>
      </c>
      <c r="H1574" s="11" t="s">
        <v>69</v>
      </c>
      <c r="I1574" s="15" t="s">
        <v>713</v>
      </c>
      <c r="J1574" s="15" t="s">
        <v>162</v>
      </c>
      <c r="K1574" s="16" t="s">
        <v>45</v>
      </c>
      <c r="L1574" s="83" t="s">
        <v>2303</v>
      </c>
      <c r="M1574" s="15"/>
      <c r="N1574" s="15" t="s">
        <v>218</v>
      </c>
      <c r="O1574" s="15"/>
      <c r="P1574" s="16" t="s">
        <v>2304</v>
      </c>
      <c r="Q1574" s="17">
        <v>2949</v>
      </c>
      <c r="R1574" s="18">
        <v>40</v>
      </c>
      <c r="S1574" s="19">
        <v>2034.81</v>
      </c>
      <c r="T1574" s="20" t="s">
        <v>75</v>
      </c>
      <c r="U1574" s="21" t="s">
        <v>2000</v>
      </c>
      <c r="V1574" s="22" t="s">
        <v>2042</v>
      </c>
      <c r="W1574" s="23">
        <v>7</v>
      </c>
      <c r="X1574" s="24"/>
    </row>
    <row r="1575" spans="1:24" s="1" customFormat="1" ht="61.05" customHeight="1" x14ac:dyDescent="0.3">
      <c r="A1575" s="25" t="s">
        <v>1986</v>
      </c>
      <c r="B1575" s="25" t="s">
        <v>2201</v>
      </c>
      <c r="C1575" s="12" t="s">
        <v>2301</v>
      </c>
      <c r="D1575" s="82"/>
      <c r="E1575" s="67" t="str">
        <f>HYPERLINK("https://www.google.ru/search?q=C516UM-22&amp;newwindow=1&amp;tbm=isch","Еще фото")</f>
        <v>Еще фото</v>
      </c>
      <c r="F1575" s="14"/>
      <c r="G1575" s="25" t="s">
        <v>2302</v>
      </c>
      <c r="H1575" s="25" t="s">
        <v>69</v>
      </c>
      <c r="I1575" s="25" t="s">
        <v>713</v>
      </c>
      <c r="J1575" s="15" t="s">
        <v>162</v>
      </c>
      <c r="K1575" s="16" t="s">
        <v>45</v>
      </c>
      <c r="L1575" s="84"/>
      <c r="M1575" s="15"/>
      <c r="N1575" s="15" t="s">
        <v>218</v>
      </c>
      <c r="O1575" s="15"/>
      <c r="P1575" s="16" t="s">
        <v>2304</v>
      </c>
      <c r="Q1575" s="17">
        <v>2949</v>
      </c>
      <c r="R1575" s="18">
        <v>40</v>
      </c>
      <c r="S1575" s="19">
        <v>2034.81</v>
      </c>
      <c r="T1575" s="20" t="s">
        <v>75</v>
      </c>
      <c r="U1575" s="21" t="s">
        <v>2001</v>
      </c>
      <c r="V1575" s="22" t="s">
        <v>35</v>
      </c>
      <c r="W1575" s="23">
        <v>13</v>
      </c>
      <c r="X1575" s="24"/>
    </row>
    <row r="1576" spans="1:24" s="1" customFormat="1" ht="108" customHeight="1" x14ac:dyDescent="0.3">
      <c r="A1576" s="11" t="s">
        <v>1986</v>
      </c>
      <c r="B1576" s="11" t="s">
        <v>2305</v>
      </c>
      <c r="C1576" s="12" t="s">
        <v>2306</v>
      </c>
      <c r="D1576" s="13"/>
      <c r="E1576" s="67" t="str">
        <f>HYPERLINK("https://www.google.ru/search?q=C516UM-2G&amp;newwindow=1&amp;tbm=isch","Еще фото")</f>
        <v>Еще фото</v>
      </c>
      <c r="F1576" s="14"/>
      <c r="G1576" s="11" t="s">
        <v>712</v>
      </c>
      <c r="H1576" s="11" t="s">
        <v>69</v>
      </c>
      <c r="I1576" s="15" t="s">
        <v>713</v>
      </c>
      <c r="J1576" s="15" t="s">
        <v>1996</v>
      </c>
      <c r="K1576" s="16" t="s">
        <v>45</v>
      </c>
      <c r="L1576" s="15" t="s">
        <v>2303</v>
      </c>
      <c r="M1576" s="15"/>
      <c r="N1576" s="15" t="s">
        <v>2267</v>
      </c>
      <c r="O1576" s="15"/>
      <c r="P1576" s="16" t="s">
        <v>2304</v>
      </c>
      <c r="Q1576" s="17">
        <v>2949</v>
      </c>
      <c r="R1576" s="18">
        <v>40</v>
      </c>
      <c r="S1576" s="19">
        <v>2034.81</v>
      </c>
      <c r="T1576" s="20" t="s">
        <v>75</v>
      </c>
      <c r="U1576" s="21" t="s">
        <v>2000</v>
      </c>
      <c r="V1576" s="22" t="s">
        <v>2042</v>
      </c>
      <c r="W1576" s="23">
        <v>4</v>
      </c>
      <c r="X1576" s="24"/>
    </row>
    <row r="1577" spans="1:24" s="1" customFormat="1" ht="35" customHeight="1" x14ac:dyDescent="0.3">
      <c r="A1577" s="11" t="s">
        <v>1986</v>
      </c>
      <c r="B1577" s="11" t="s">
        <v>2201</v>
      </c>
      <c r="C1577" s="12" t="s">
        <v>2307</v>
      </c>
      <c r="D1577" s="85"/>
      <c r="E1577" s="67" t="str">
        <f>HYPERLINK("https://www.google.ru/search?q=C516UM-52&amp;newwindow=1&amp;tbm=isch","Еще фото")</f>
        <v>Еще фото</v>
      </c>
      <c r="F1577" s="14"/>
      <c r="G1577" s="11" t="s">
        <v>2302</v>
      </c>
      <c r="H1577" s="11" t="s">
        <v>69</v>
      </c>
      <c r="I1577" s="15" t="s">
        <v>713</v>
      </c>
      <c r="J1577" s="15" t="s">
        <v>162</v>
      </c>
      <c r="K1577" s="16" t="s">
        <v>45</v>
      </c>
      <c r="L1577" s="83" t="s">
        <v>2303</v>
      </c>
      <c r="M1577" s="15"/>
      <c r="N1577" s="15" t="s">
        <v>322</v>
      </c>
      <c r="O1577" s="15"/>
      <c r="P1577" s="16" t="s">
        <v>2304</v>
      </c>
      <c r="Q1577" s="17">
        <v>2949</v>
      </c>
      <c r="R1577" s="18">
        <v>40</v>
      </c>
      <c r="S1577" s="19">
        <v>2034.81</v>
      </c>
      <c r="T1577" s="20" t="s">
        <v>75</v>
      </c>
      <c r="U1577" s="21" t="s">
        <v>2000</v>
      </c>
      <c r="V1577" s="22" t="s">
        <v>2042</v>
      </c>
      <c r="W1577" s="23">
        <v>7</v>
      </c>
      <c r="X1577" s="24"/>
    </row>
    <row r="1578" spans="1:24" s="1" customFormat="1" ht="35" customHeight="1" x14ac:dyDescent="0.3">
      <c r="A1578" s="25" t="s">
        <v>1986</v>
      </c>
      <c r="B1578" s="25" t="s">
        <v>2201</v>
      </c>
      <c r="C1578" s="12" t="s">
        <v>2307</v>
      </c>
      <c r="D1578" s="86"/>
      <c r="E1578" s="67" t="str">
        <f>HYPERLINK("https://www.google.ru/search?q=C516UM-52&amp;newwindow=1&amp;tbm=isch","Еще фото")</f>
        <v>Еще фото</v>
      </c>
      <c r="F1578" s="14"/>
      <c r="G1578" s="25" t="s">
        <v>2302</v>
      </c>
      <c r="H1578" s="25" t="s">
        <v>69</v>
      </c>
      <c r="I1578" s="25" t="s">
        <v>713</v>
      </c>
      <c r="J1578" s="15" t="s">
        <v>162</v>
      </c>
      <c r="K1578" s="16" t="s">
        <v>45</v>
      </c>
      <c r="L1578" s="88"/>
      <c r="M1578" s="15"/>
      <c r="N1578" s="15" t="s">
        <v>322</v>
      </c>
      <c r="O1578" s="15"/>
      <c r="P1578" s="16" t="s">
        <v>2304</v>
      </c>
      <c r="Q1578" s="17">
        <v>2949</v>
      </c>
      <c r="R1578" s="18">
        <v>40</v>
      </c>
      <c r="S1578" s="19">
        <v>2034.81</v>
      </c>
      <c r="T1578" s="20" t="s">
        <v>75</v>
      </c>
      <c r="U1578" s="21" t="s">
        <v>2001</v>
      </c>
      <c r="V1578" s="22" t="s">
        <v>35</v>
      </c>
      <c r="W1578" s="23">
        <v>13</v>
      </c>
      <c r="X1578" s="24"/>
    </row>
    <row r="1579" spans="1:24" s="1" customFormat="1" ht="37.049999999999997" customHeight="1" x14ac:dyDescent="0.3">
      <c r="A1579" s="25" t="s">
        <v>1986</v>
      </c>
      <c r="B1579" s="25" t="s">
        <v>2201</v>
      </c>
      <c r="C1579" s="12" t="s">
        <v>2307</v>
      </c>
      <c r="D1579" s="87"/>
      <c r="E1579" s="67" t="str">
        <f>HYPERLINK("https://www.google.ru/search?q=C516UM-52&amp;newwindow=1&amp;tbm=isch","Еще фото")</f>
        <v>Еще фото</v>
      </c>
      <c r="F1579" s="14"/>
      <c r="G1579" s="25" t="s">
        <v>2302</v>
      </c>
      <c r="H1579" s="25" t="s">
        <v>69</v>
      </c>
      <c r="I1579" s="25" t="s">
        <v>713</v>
      </c>
      <c r="J1579" s="15" t="s">
        <v>162</v>
      </c>
      <c r="K1579" s="16" t="s">
        <v>45</v>
      </c>
      <c r="L1579" s="84"/>
      <c r="M1579" s="15"/>
      <c r="N1579" s="15" t="s">
        <v>322</v>
      </c>
      <c r="O1579" s="15"/>
      <c r="P1579" s="16" t="s">
        <v>2304</v>
      </c>
      <c r="Q1579" s="17">
        <v>2949</v>
      </c>
      <c r="R1579" s="18">
        <v>40</v>
      </c>
      <c r="S1579" s="19">
        <v>2034.81</v>
      </c>
      <c r="T1579" s="20" t="s">
        <v>75</v>
      </c>
      <c r="U1579" s="21" t="s">
        <v>2043</v>
      </c>
      <c r="V1579" s="22" t="s">
        <v>2044</v>
      </c>
      <c r="W1579" s="23">
        <v>4</v>
      </c>
      <c r="X1579" s="24"/>
    </row>
    <row r="1580" spans="1:24" s="1" customFormat="1" ht="35" customHeight="1" x14ac:dyDescent="0.3">
      <c r="A1580" s="11" t="s">
        <v>1986</v>
      </c>
      <c r="B1580" s="11" t="s">
        <v>2308</v>
      </c>
      <c r="C1580" s="12" t="s">
        <v>2309</v>
      </c>
      <c r="D1580" s="85"/>
      <c r="E1580" s="67" t="str">
        <f>HYPERLINK("https://www.google.ru/search?q=C516UW-2G&amp;newwindow=1&amp;tbm=isch","Еще фото")</f>
        <v>Еще фото</v>
      </c>
      <c r="F1580" s="14"/>
      <c r="G1580" s="11" t="s">
        <v>712</v>
      </c>
      <c r="H1580" s="11" t="s">
        <v>69</v>
      </c>
      <c r="I1580" s="15" t="s">
        <v>713</v>
      </c>
      <c r="J1580" s="15" t="s">
        <v>1996</v>
      </c>
      <c r="K1580" s="16" t="s">
        <v>29</v>
      </c>
      <c r="L1580" s="83" t="s">
        <v>2310</v>
      </c>
      <c r="M1580" s="15"/>
      <c r="N1580" s="15" t="s">
        <v>2267</v>
      </c>
      <c r="O1580" s="15"/>
      <c r="P1580" s="16" t="s">
        <v>2304</v>
      </c>
      <c r="Q1580" s="17">
        <v>2949</v>
      </c>
      <c r="R1580" s="18">
        <v>40</v>
      </c>
      <c r="S1580" s="19">
        <v>2034.81</v>
      </c>
      <c r="T1580" s="20" t="s">
        <v>75</v>
      </c>
      <c r="U1580" s="21" t="s">
        <v>1999</v>
      </c>
      <c r="V1580" s="22" t="s">
        <v>2050</v>
      </c>
      <c r="W1580" s="23">
        <v>3</v>
      </c>
      <c r="X1580" s="24"/>
    </row>
    <row r="1581" spans="1:24" s="1" customFormat="1" ht="35" customHeight="1" x14ac:dyDescent="0.3">
      <c r="A1581" s="25" t="s">
        <v>1986</v>
      </c>
      <c r="B1581" s="25" t="s">
        <v>2308</v>
      </c>
      <c r="C1581" s="12" t="s">
        <v>2309</v>
      </c>
      <c r="D1581" s="86"/>
      <c r="E1581" s="67" t="str">
        <f>HYPERLINK("https://www.google.ru/search?q=C516UW-2G&amp;newwindow=1&amp;tbm=isch","Еще фото")</f>
        <v>Еще фото</v>
      </c>
      <c r="F1581" s="14"/>
      <c r="G1581" s="25" t="s">
        <v>712</v>
      </c>
      <c r="H1581" s="25" t="s">
        <v>69</v>
      </c>
      <c r="I1581" s="25" t="s">
        <v>713</v>
      </c>
      <c r="J1581" s="15" t="s">
        <v>1996</v>
      </c>
      <c r="K1581" s="16" t="s">
        <v>29</v>
      </c>
      <c r="L1581" s="88"/>
      <c r="M1581" s="15"/>
      <c r="N1581" s="15" t="s">
        <v>2267</v>
      </c>
      <c r="O1581" s="15"/>
      <c r="P1581" s="16" t="s">
        <v>2304</v>
      </c>
      <c r="Q1581" s="17">
        <v>2949</v>
      </c>
      <c r="R1581" s="18">
        <v>40</v>
      </c>
      <c r="S1581" s="19">
        <v>2034.81</v>
      </c>
      <c r="T1581" s="20" t="s">
        <v>75</v>
      </c>
      <c r="U1581" s="21" t="s">
        <v>2000</v>
      </c>
      <c r="V1581" s="22" t="s">
        <v>2056</v>
      </c>
      <c r="W1581" s="23">
        <v>5</v>
      </c>
      <c r="X1581" s="24"/>
    </row>
    <row r="1582" spans="1:24" s="1" customFormat="1" ht="37.049999999999997" customHeight="1" x14ac:dyDescent="0.3">
      <c r="A1582" s="25" t="s">
        <v>1986</v>
      </c>
      <c r="B1582" s="25" t="s">
        <v>2308</v>
      </c>
      <c r="C1582" s="12" t="s">
        <v>2309</v>
      </c>
      <c r="D1582" s="87"/>
      <c r="E1582" s="67" t="str">
        <f>HYPERLINK("https://www.google.ru/search?q=C516UW-2G&amp;newwindow=1&amp;tbm=isch","Еще фото")</f>
        <v>Еще фото</v>
      </c>
      <c r="F1582" s="14"/>
      <c r="G1582" s="25" t="s">
        <v>712</v>
      </c>
      <c r="H1582" s="25" t="s">
        <v>69</v>
      </c>
      <c r="I1582" s="25" t="s">
        <v>713</v>
      </c>
      <c r="J1582" s="15" t="s">
        <v>1996</v>
      </c>
      <c r="K1582" s="16" t="s">
        <v>29</v>
      </c>
      <c r="L1582" s="84"/>
      <c r="M1582" s="15"/>
      <c r="N1582" s="15" t="s">
        <v>2267</v>
      </c>
      <c r="O1582" s="15"/>
      <c r="P1582" s="16" t="s">
        <v>2304</v>
      </c>
      <c r="Q1582" s="17">
        <v>2949</v>
      </c>
      <c r="R1582" s="18">
        <v>40</v>
      </c>
      <c r="S1582" s="19">
        <v>2034.81</v>
      </c>
      <c r="T1582" s="20" t="s">
        <v>75</v>
      </c>
      <c r="U1582" s="21" t="s">
        <v>2001</v>
      </c>
      <c r="V1582" s="22" t="s">
        <v>2051</v>
      </c>
      <c r="W1582" s="23">
        <v>3</v>
      </c>
      <c r="X1582" s="24"/>
    </row>
    <row r="1583" spans="1:24" s="1" customFormat="1" ht="35" customHeight="1" x14ac:dyDescent="0.3">
      <c r="A1583" s="11" t="s">
        <v>1986</v>
      </c>
      <c r="B1583" s="11" t="s">
        <v>2308</v>
      </c>
      <c r="C1583" s="12" t="s">
        <v>2311</v>
      </c>
      <c r="D1583" s="85"/>
      <c r="E1583" s="67" t="str">
        <f>HYPERLINK("https://www.google.ru/search?q=C516UW-52&amp;newwindow=1&amp;tbm=isch","Еще фото")</f>
        <v>Еще фото</v>
      </c>
      <c r="F1583" s="14"/>
      <c r="G1583" s="11" t="s">
        <v>712</v>
      </c>
      <c r="H1583" s="11" t="s">
        <v>69</v>
      </c>
      <c r="I1583" s="15" t="s">
        <v>713</v>
      </c>
      <c r="J1583" s="15" t="s">
        <v>1996</v>
      </c>
      <c r="K1583" s="16" t="s">
        <v>29</v>
      </c>
      <c r="L1583" s="83" t="s">
        <v>2310</v>
      </c>
      <c r="M1583" s="15"/>
      <c r="N1583" s="15" t="s">
        <v>322</v>
      </c>
      <c r="O1583" s="15"/>
      <c r="P1583" s="16" t="s">
        <v>2304</v>
      </c>
      <c r="Q1583" s="17">
        <v>2949</v>
      </c>
      <c r="R1583" s="18">
        <v>40</v>
      </c>
      <c r="S1583" s="19">
        <v>2034.81</v>
      </c>
      <c r="T1583" s="20" t="s">
        <v>75</v>
      </c>
      <c r="U1583" s="21" t="s">
        <v>1999</v>
      </c>
      <c r="V1583" s="22" t="s">
        <v>2050</v>
      </c>
      <c r="W1583" s="23">
        <v>3</v>
      </c>
      <c r="X1583" s="24"/>
    </row>
    <row r="1584" spans="1:24" s="1" customFormat="1" ht="35" customHeight="1" x14ac:dyDescent="0.3">
      <c r="A1584" s="25" t="s">
        <v>1986</v>
      </c>
      <c r="B1584" s="25" t="s">
        <v>2308</v>
      </c>
      <c r="C1584" s="12" t="s">
        <v>2311</v>
      </c>
      <c r="D1584" s="86"/>
      <c r="E1584" s="67" t="str">
        <f>HYPERLINK("https://www.google.ru/search?q=C516UW-52&amp;newwindow=1&amp;tbm=isch","Еще фото")</f>
        <v>Еще фото</v>
      </c>
      <c r="F1584" s="14"/>
      <c r="G1584" s="25" t="s">
        <v>712</v>
      </c>
      <c r="H1584" s="25" t="s">
        <v>69</v>
      </c>
      <c r="I1584" s="25" t="s">
        <v>713</v>
      </c>
      <c r="J1584" s="15" t="s">
        <v>1996</v>
      </c>
      <c r="K1584" s="16" t="s">
        <v>29</v>
      </c>
      <c r="L1584" s="88"/>
      <c r="M1584" s="15"/>
      <c r="N1584" s="15" t="s">
        <v>322</v>
      </c>
      <c r="O1584" s="15"/>
      <c r="P1584" s="16" t="s">
        <v>2304</v>
      </c>
      <c r="Q1584" s="17">
        <v>2949</v>
      </c>
      <c r="R1584" s="18">
        <v>40</v>
      </c>
      <c r="S1584" s="19">
        <v>2034.81</v>
      </c>
      <c r="T1584" s="20" t="s">
        <v>75</v>
      </c>
      <c r="U1584" s="21" t="s">
        <v>2000</v>
      </c>
      <c r="V1584" s="22" t="s">
        <v>2056</v>
      </c>
      <c r="W1584" s="23">
        <v>6</v>
      </c>
      <c r="X1584" s="24"/>
    </row>
    <row r="1585" spans="1:24" s="1" customFormat="1" ht="37.049999999999997" customHeight="1" x14ac:dyDescent="0.3">
      <c r="A1585" s="25" t="s">
        <v>1986</v>
      </c>
      <c r="B1585" s="25" t="s">
        <v>2308</v>
      </c>
      <c r="C1585" s="12" t="s">
        <v>2311</v>
      </c>
      <c r="D1585" s="87"/>
      <c r="E1585" s="67" t="str">
        <f>HYPERLINK("https://www.google.ru/search?q=C516UW-52&amp;newwindow=1&amp;tbm=isch","Еще фото")</f>
        <v>Еще фото</v>
      </c>
      <c r="F1585" s="14"/>
      <c r="G1585" s="25" t="s">
        <v>712</v>
      </c>
      <c r="H1585" s="25" t="s">
        <v>69</v>
      </c>
      <c r="I1585" s="25" t="s">
        <v>713</v>
      </c>
      <c r="J1585" s="15" t="s">
        <v>1996</v>
      </c>
      <c r="K1585" s="16" t="s">
        <v>29</v>
      </c>
      <c r="L1585" s="84"/>
      <c r="M1585" s="15"/>
      <c r="N1585" s="15" t="s">
        <v>322</v>
      </c>
      <c r="O1585" s="15"/>
      <c r="P1585" s="16" t="s">
        <v>2304</v>
      </c>
      <c r="Q1585" s="17">
        <v>2949</v>
      </c>
      <c r="R1585" s="18">
        <v>40</v>
      </c>
      <c r="S1585" s="19">
        <v>2034.81</v>
      </c>
      <c r="T1585" s="20" t="s">
        <v>75</v>
      </c>
      <c r="U1585" s="21" t="s">
        <v>2001</v>
      </c>
      <c r="V1585" s="22" t="s">
        <v>2051</v>
      </c>
      <c r="W1585" s="23">
        <v>3</v>
      </c>
      <c r="X1585" s="24"/>
    </row>
    <row r="1586" spans="1:24" s="1" customFormat="1" ht="108" customHeight="1" x14ac:dyDescent="0.3">
      <c r="A1586" s="11" t="s">
        <v>1986</v>
      </c>
      <c r="B1586" s="11" t="s">
        <v>2312</v>
      </c>
      <c r="C1586" s="12" t="s">
        <v>2313</v>
      </c>
      <c r="D1586" s="13"/>
      <c r="E1586" s="67" t="str">
        <f>HYPERLINK("https://www.google.ru/search?q=CR26PM-5&amp;newwindow=1&amp;tbm=isch","Еще фото")</f>
        <v>Еще фото</v>
      </c>
      <c r="F1586" s="14"/>
      <c r="G1586" s="11" t="s">
        <v>2145</v>
      </c>
      <c r="H1586" s="11" t="s">
        <v>69</v>
      </c>
      <c r="I1586" s="15" t="s">
        <v>713</v>
      </c>
      <c r="J1586" s="15" t="s">
        <v>1996</v>
      </c>
      <c r="K1586" s="16" t="s">
        <v>45</v>
      </c>
      <c r="L1586" s="15" t="s">
        <v>2314</v>
      </c>
      <c r="M1586" s="15"/>
      <c r="N1586" s="15" t="s">
        <v>38</v>
      </c>
      <c r="O1586" s="15" t="s">
        <v>400</v>
      </c>
      <c r="P1586" s="16" t="s">
        <v>2315</v>
      </c>
      <c r="Q1586" s="17">
        <v>6399</v>
      </c>
      <c r="R1586" s="18">
        <v>40</v>
      </c>
      <c r="S1586" s="19">
        <v>4415.3099999999995</v>
      </c>
      <c r="T1586" s="20" t="s">
        <v>75</v>
      </c>
      <c r="U1586" s="21" t="s">
        <v>2000</v>
      </c>
      <c r="V1586" s="22" t="s">
        <v>2042</v>
      </c>
      <c r="W1586" s="23">
        <v>1</v>
      </c>
      <c r="X1586" s="24"/>
    </row>
    <row r="1587" spans="1:24" s="1" customFormat="1" ht="52.05" customHeight="1" x14ac:dyDescent="0.3">
      <c r="A1587" s="11" t="s">
        <v>1986</v>
      </c>
      <c r="B1587" s="11" t="s">
        <v>2101</v>
      </c>
      <c r="C1587" s="12" t="s">
        <v>2316</v>
      </c>
      <c r="D1587" s="81"/>
      <c r="E1587" s="67" t="str">
        <f>HYPERLINK("https://www.google.ru/search?q=CS152U-3&amp;newwindow=1&amp;tbm=isch","Еще фото")</f>
        <v>Еще фото</v>
      </c>
      <c r="F1587" s="14"/>
      <c r="G1587" s="11" t="s">
        <v>2317</v>
      </c>
      <c r="H1587" s="11" t="s">
        <v>69</v>
      </c>
      <c r="I1587" s="15" t="s">
        <v>713</v>
      </c>
      <c r="J1587" s="15" t="s">
        <v>162</v>
      </c>
      <c r="K1587" s="16" t="s">
        <v>71</v>
      </c>
      <c r="L1587" s="83" t="s">
        <v>2318</v>
      </c>
      <c r="M1587" s="15"/>
      <c r="N1587" s="15" t="s">
        <v>31</v>
      </c>
      <c r="O1587" s="15"/>
      <c r="P1587" s="16" t="s">
        <v>2319</v>
      </c>
      <c r="Q1587" s="17">
        <v>4399</v>
      </c>
      <c r="R1587" s="18">
        <v>40</v>
      </c>
      <c r="S1587" s="19">
        <v>3035.31</v>
      </c>
      <c r="T1587" s="20" t="s">
        <v>99</v>
      </c>
      <c r="U1587" s="21" t="s">
        <v>40</v>
      </c>
      <c r="V1587" s="23">
        <v>22</v>
      </c>
      <c r="W1587" s="23">
        <v>1</v>
      </c>
      <c r="X1587" s="24"/>
    </row>
    <row r="1588" spans="1:24" s="1" customFormat="1" ht="61.05" customHeight="1" x14ac:dyDescent="0.3">
      <c r="A1588" s="25" t="s">
        <v>1986</v>
      </c>
      <c r="B1588" s="25" t="s">
        <v>2101</v>
      </c>
      <c r="C1588" s="12" t="s">
        <v>2316</v>
      </c>
      <c r="D1588" s="82"/>
      <c r="E1588" s="67" t="str">
        <f>HYPERLINK("https://www.google.ru/search?q=CS152U-3&amp;newwindow=1&amp;tbm=isch","Еще фото")</f>
        <v>Еще фото</v>
      </c>
      <c r="F1588" s="14"/>
      <c r="G1588" s="25" t="s">
        <v>2317</v>
      </c>
      <c r="H1588" s="25" t="s">
        <v>69</v>
      </c>
      <c r="I1588" s="25" t="s">
        <v>713</v>
      </c>
      <c r="J1588" s="15" t="s">
        <v>162</v>
      </c>
      <c r="K1588" s="16" t="s">
        <v>71</v>
      </c>
      <c r="L1588" s="84"/>
      <c r="M1588" s="15"/>
      <c r="N1588" s="15" t="s">
        <v>31</v>
      </c>
      <c r="O1588" s="15"/>
      <c r="P1588" s="16" t="s">
        <v>2319</v>
      </c>
      <c r="Q1588" s="17">
        <v>4399</v>
      </c>
      <c r="R1588" s="18">
        <v>40</v>
      </c>
      <c r="S1588" s="19">
        <v>3035.31</v>
      </c>
      <c r="T1588" s="20" t="s">
        <v>99</v>
      </c>
      <c r="U1588" s="21" t="s">
        <v>42</v>
      </c>
      <c r="V1588" s="22" t="s">
        <v>2044</v>
      </c>
      <c r="W1588" s="23">
        <v>1</v>
      </c>
      <c r="X1588" s="24"/>
    </row>
    <row r="1589" spans="1:24" s="1" customFormat="1" ht="108" customHeight="1" x14ac:dyDescent="0.3">
      <c r="A1589" s="11" t="s">
        <v>1986</v>
      </c>
      <c r="B1589" s="11" t="s">
        <v>2320</v>
      </c>
      <c r="C1589" s="12" t="s">
        <v>2321</v>
      </c>
      <c r="D1589" s="13"/>
      <c r="E1589" s="67" t="str">
        <f>HYPERLINK("https://www.google.ru/search?q=CB949U-5&amp;newwindow=1&amp;tbm=isch","Еще фото")</f>
        <v>Еще фото</v>
      </c>
      <c r="F1589" s="14"/>
      <c r="G1589" s="11" t="s">
        <v>2322</v>
      </c>
      <c r="H1589" s="11" t="s">
        <v>69</v>
      </c>
      <c r="I1589" s="15" t="s">
        <v>2323</v>
      </c>
      <c r="J1589" s="15" t="s">
        <v>28</v>
      </c>
      <c r="K1589" s="16" t="s">
        <v>71</v>
      </c>
      <c r="L1589" s="15" t="s">
        <v>2324</v>
      </c>
      <c r="M1589" s="15"/>
      <c r="N1589" s="15" t="s">
        <v>38</v>
      </c>
      <c r="O1589" s="15"/>
      <c r="P1589" s="16" t="s">
        <v>1055</v>
      </c>
      <c r="Q1589" s="17">
        <v>2319</v>
      </c>
      <c r="R1589" s="18">
        <v>40</v>
      </c>
      <c r="S1589" s="19">
        <v>1600.11</v>
      </c>
      <c r="T1589" s="20" t="s">
        <v>75</v>
      </c>
      <c r="U1589" s="21" t="s">
        <v>2013</v>
      </c>
      <c r="V1589" s="22" t="s">
        <v>77</v>
      </c>
      <c r="W1589" s="23">
        <v>11</v>
      </c>
      <c r="X1589" s="24"/>
    </row>
    <row r="1590" spans="1:24" s="1" customFormat="1" ht="52.05" customHeight="1" x14ac:dyDescent="0.3">
      <c r="A1590" s="11" t="s">
        <v>1986</v>
      </c>
      <c r="B1590" s="11" t="s">
        <v>2325</v>
      </c>
      <c r="C1590" s="12" t="s">
        <v>2326</v>
      </c>
      <c r="D1590" s="81"/>
      <c r="E1590" s="67" t="str">
        <f>HYPERLINK("https://www.google.ru/search?q=CS152U-G&amp;newwindow=1&amp;tbm=isch","Еще фото")</f>
        <v>Еще фото</v>
      </c>
      <c r="F1590" s="14"/>
      <c r="G1590" s="11" t="s">
        <v>2327</v>
      </c>
      <c r="H1590" s="11" t="s">
        <v>69</v>
      </c>
      <c r="I1590" s="15" t="s">
        <v>287</v>
      </c>
      <c r="J1590" s="15" t="s">
        <v>28</v>
      </c>
      <c r="K1590" s="16" t="s">
        <v>71</v>
      </c>
      <c r="L1590" s="83" t="s">
        <v>2328</v>
      </c>
      <c r="M1590" s="15"/>
      <c r="N1590" s="15" t="s">
        <v>55</v>
      </c>
      <c r="O1590" s="15"/>
      <c r="P1590" s="16" t="s">
        <v>2319</v>
      </c>
      <c r="Q1590" s="17">
        <v>4399</v>
      </c>
      <c r="R1590" s="18">
        <v>40</v>
      </c>
      <c r="S1590" s="19">
        <v>3035.31</v>
      </c>
      <c r="T1590" s="20" t="s">
        <v>99</v>
      </c>
      <c r="U1590" s="21" t="s">
        <v>40</v>
      </c>
      <c r="V1590" s="23">
        <v>22</v>
      </c>
      <c r="W1590" s="23">
        <v>1</v>
      </c>
      <c r="X1590" s="24"/>
    </row>
    <row r="1591" spans="1:24" s="1" customFormat="1" ht="61.05" customHeight="1" x14ac:dyDescent="0.3">
      <c r="A1591" s="25" t="s">
        <v>1986</v>
      </c>
      <c r="B1591" s="25" t="s">
        <v>2325</v>
      </c>
      <c r="C1591" s="12" t="s">
        <v>2326</v>
      </c>
      <c r="D1591" s="82"/>
      <c r="E1591" s="67" t="str">
        <f>HYPERLINK("https://www.google.ru/search?q=CS152U-G&amp;newwindow=1&amp;tbm=isch","Еще фото")</f>
        <v>Еще фото</v>
      </c>
      <c r="F1591" s="14"/>
      <c r="G1591" s="25" t="s">
        <v>2327</v>
      </c>
      <c r="H1591" s="25" t="s">
        <v>69</v>
      </c>
      <c r="I1591" s="25" t="s">
        <v>287</v>
      </c>
      <c r="J1591" s="15" t="s">
        <v>28</v>
      </c>
      <c r="K1591" s="16" t="s">
        <v>71</v>
      </c>
      <c r="L1591" s="84"/>
      <c r="M1591" s="15"/>
      <c r="N1591" s="15" t="s">
        <v>55</v>
      </c>
      <c r="O1591" s="15"/>
      <c r="P1591" s="16" t="s">
        <v>2319</v>
      </c>
      <c r="Q1591" s="17">
        <v>4399</v>
      </c>
      <c r="R1591" s="18">
        <v>40</v>
      </c>
      <c r="S1591" s="19">
        <v>3035.31</v>
      </c>
      <c r="T1591" s="20" t="s">
        <v>99</v>
      </c>
      <c r="U1591" s="21" t="s">
        <v>42</v>
      </c>
      <c r="V1591" s="22" t="s">
        <v>2044</v>
      </c>
      <c r="W1591" s="23">
        <v>1</v>
      </c>
      <c r="X1591" s="24"/>
    </row>
    <row r="1592" spans="1:24" s="1" customFormat="1" ht="52.05" customHeight="1" x14ac:dyDescent="0.3">
      <c r="A1592" s="11" t="s">
        <v>1986</v>
      </c>
      <c r="B1592" s="11" t="s">
        <v>2329</v>
      </c>
      <c r="C1592" s="12" t="s">
        <v>2330</v>
      </c>
      <c r="D1592" s="81"/>
      <c r="E1592" s="67" t="str">
        <f>HYPERLINK("https://www.google.ru/search?q=CU70U-0&amp;newwindow=1&amp;tbm=isch","Еще фото")</f>
        <v>Еще фото</v>
      </c>
      <c r="F1592" s="14"/>
      <c r="G1592" s="11" t="s">
        <v>2331</v>
      </c>
      <c r="H1592" s="11" t="s">
        <v>69</v>
      </c>
      <c r="I1592" s="15" t="s">
        <v>287</v>
      </c>
      <c r="J1592" s="15" t="s">
        <v>162</v>
      </c>
      <c r="K1592" s="16" t="s">
        <v>71</v>
      </c>
      <c r="L1592" s="83" t="s">
        <v>2332</v>
      </c>
      <c r="M1592" s="15"/>
      <c r="N1592" s="15" t="s">
        <v>173</v>
      </c>
      <c r="O1592" s="15"/>
      <c r="P1592" s="16" t="s">
        <v>2333</v>
      </c>
      <c r="Q1592" s="17">
        <v>4299</v>
      </c>
      <c r="R1592" s="18">
        <v>40</v>
      </c>
      <c r="S1592" s="19">
        <v>2966.31</v>
      </c>
      <c r="T1592" s="20" t="s">
        <v>75</v>
      </c>
      <c r="U1592" s="21" t="s">
        <v>1999</v>
      </c>
      <c r="V1592" s="22" t="s">
        <v>2050</v>
      </c>
      <c r="W1592" s="23">
        <v>7</v>
      </c>
      <c r="X1592" s="24"/>
    </row>
    <row r="1593" spans="1:24" s="1" customFormat="1" ht="61.05" customHeight="1" x14ac:dyDescent="0.3">
      <c r="A1593" s="25" t="s">
        <v>1986</v>
      </c>
      <c r="B1593" s="25" t="s">
        <v>2329</v>
      </c>
      <c r="C1593" s="12" t="s">
        <v>2330</v>
      </c>
      <c r="D1593" s="82"/>
      <c r="E1593" s="67" t="str">
        <f>HYPERLINK("https://www.google.ru/search?q=CU70U-0&amp;newwindow=1&amp;tbm=isch","Еще фото")</f>
        <v>Еще фото</v>
      </c>
      <c r="F1593" s="14"/>
      <c r="G1593" s="25" t="s">
        <v>2331</v>
      </c>
      <c r="H1593" s="25" t="s">
        <v>69</v>
      </c>
      <c r="I1593" s="25" t="s">
        <v>287</v>
      </c>
      <c r="J1593" s="15" t="s">
        <v>162</v>
      </c>
      <c r="K1593" s="16" t="s">
        <v>71</v>
      </c>
      <c r="L1593" s="84"/>
      <c r="M1593" s="15"/>
      <c r="N1593" s="15" t="s">
        <v>173</v>
      </c>
      <c r="O1593" s="15"/>
      <c r="P1593" s="16" t="s">
        <v>2333</v>
      </c>
      <c r="Q1593" s="17">
        <v>4299</v>
      </c>
      <c r="R1593" s="18">
        <v>40</v>
      </c>
      <c r="S1593" s="19">
        <v>2966.31</v>
      </c>
      <c r="T1593" s="20" t="s">
        <v>75</v>
      </c>
      <c r="U1593" s="21" t="s">
        <v>2000</v>
      </c>
      <c r="V1593" s="22" t="s">
        <v>2056</v>
      </c>
      <c r="W1593" s="23">
        <v>5</v>
      </c>
      <c r="X1593" s="24"/>
    </row>
    <row r="1594" spans="1:24" s="1" customFormat="1" ht="52.05" customHeight="1" x14ac:dyDescent="0.3">
      <c r="A1594" s="11" t="s">
        <v>1986</v>
      </c>
      <c r="B1594" s="11" t="s">
        <v>2329</v>
      </c>
      <c r="C1594" s="12" t="s">
        <v>2334</v>
      </c>
      <c r="D1594" s="81"/>
      <c r="E1594" s="67" t="str">
        <f>HYPERLINK("https://www.google.ru/search?q=CU70U-5&amp;newwindow=1&amp;tbm=isch","Еще фото")</f>
        <v>Еще фото</v>
      </c>
      <c r="F1594" s="14"/>
      <c r="G1594" s="11" t="s">
        <v>2331</v>
      </c>
      <c r="H1594" s="11" t="s">
        <v>69</v>
      </c>
      <c r="I1594" s="15" t="s">
        <v>287</v>
      </c>
      <c r="J1594" s="15" t="s">
        <v>162</v>
      </c>
      <c r="K1594" s="16" t="s">
        <v>71</v>
      </c>
      <c r="L1594" s="83" t="s">
        <v>2332</v>
      </c>
      <c r="M1594" s="15"/>
      <c r="N1594" s="15" t="s">
        <v>38</v>
      </c>
      <c r="O1594" s="15"/>
      <c r="P1594" s="16" t="s">
        <v>2333</v>
      </c>
      <c r="Q1594" s="17">
        <v>4299</v>
      </c>
      <c r="R1594" s="18">
        <v>40</v>
      </c>
      <c r="S1594" s="19">
        <v>2966.31</v>
      </c>
      <c r="T1594" s="20" t="s">
        <v>75</v>
      </c>
      <c r="U1594" s="21" t="s">
        <v>1999</v>
      </c>
      <c r="V1594" s="22" t="s">
        <v>2050</v>
      </c>
      <c r="W1594" s="23">
        <v>7</v>
      </c>
      <c r="X1594" s="24"/>
    </row>
    <row r="1595" spans="1:24" s="1" customFormat="1" ht="61.05" customHeight="1" x14ac:dyDescent="0.3">
      <c r="A1595" s="25" t="s">
        <v>1986</v>
      </c>
      <c r="B1595" s="25" t="s">
        <v>2329</v>
      </c>
      <c r="C1595" s="12" t="s">
        <v>2334</v>
      </c>
      <c r="D1595" s="82"/>
      <c r="E1595" s="67" t="str">
        <f>HYPERLINK("https://www.google.ru/search?q=CU70U-5&amp;newwindow=1&amp;tbm=isch","Еще фото")</f>
        <v>Еще фото</v>
      </c>
      <c r="F1595" s="14"/>
      <c r="G1595" s="25" t="s">
        <v>2331</v>
      </c>
      <c r="H1595" s="25" t="s">
        <v>69</v>
      </c>
      <c r="I1595" s="25" t="s">
        <v>287</v>
      </c>
      <c r="J1595" s="15" t="s">
        <v>162</v>
      </c>
      <c r="K1595" s="16" t="s">
        <v>71</v>
      </c>
      <c r="L1595" s="84"/>
      <c r="M1595" s="15"/>
      <c r="N1595" s="15" t="s">
        <v>38</v>
      </c>
      <c r="O1595" s="15"/>
      <c r="P1595" s="16" t="s">
        <v>2333</v>
      </c>
      <c r="Q1595" s="17">
        <v>4299</v>
      </c>
      <c r="R1595" s="18">
        <v>40</v>
      </c>
      <c r="S1595" s="19">
        <v>2966.31</v>
      </c>
      <c r="T1595" s="20" t="s">
        <v>75</v>
      </c>
      <c r="U1595" s="21" t="s">
        <v>2000</v>
      </c>
      <c r="V1595" s="22" t="s">
        <v>2056</v>
      </c>
      <c r="W1595" s="23">
        <v>7</v>
      </c>
      <c r="X1595" s="24"/>
    </row>
    <row r="1596" spans="1:24" s="1" customFormat="1" ht="52.05" customHeight="1" x14ac:dyDescent="0.3">
      <c r="A1596" s="11" t="s">
        <v>1986</v>
      </c>
      <c r="B1596" s="11" t="s">
        <v>2335</v>
      </c>
      <c r="C1596" s="12" t="s">
        <v>2336</v>
      </c>
      <c r="D1596" s="81"/>
      <c r="E1596" s="67" t="str">
        <f>HYPERLINK("https://www.google.ru/search?q=CU71U-0&amp;newwindow=1&amp;tbm=isch","Еще фото")</f>
        <v>Еще фото</v>
      </c>
      <c r="F1596" s="14"/>
      <c r="G1596" s="11" t="s">
        <v>2331</v>
      </c>
      <c r="H1596" s="11" t="s">
        <v>69</v>
      </c>
      <c r="I1596" s="15" t="s">
        <v>287</v>
      </c>
      <c r="J1596" s="15" t="s">
        <v>162</v>
      </c>
      <c r="K1596" s="16" t="s">
        <v>71</v>
      </c>
      <c r="L1596" s="83" t="s">
        <v>2337</v>
      </c>
      <c r="M1596" s="15"/>
      <c r="N1596" s="15" t="s">
        <v>173</v>
      </c>
      <c r="O1596" s="15"/>
      <c r="P1596" s="16" t="s">
        <v>2333</v>
      </c>
      <c r="Q1596" s="17">
        <v>4299</v>
      </c>
      <c r="R1596" s="18">
        <v>40</v>
      </c>
      <c r="S1596" s="19">
        <v>2966.31</v>
      </c>
      <c r="T1596" s="20" t="s">
        <v>75</v>
      </c>
      <c r="U1596" s="21" t="s">
        <v>2000</v>
      </c>
      <c r="V1596" s="22" t="s">
        <v>2056</v>
      </c>
      <c r="W1596" s="23">
        <v>4</v>
      </c>
      <c r="X1596" s="24"/>
    </row>
    <row r="1597" spans="1:24" s="1" customFormat="1" ht="61.05" customHeight="1" x14ac:dyDescent="0.3">
      <c r="A1597" s="25" t="s">
        <v>1986</v>
      </c>
      <c r="B1597" s="25" t="s">
        <v>2335</v>
      </c>
      <c r="C1597" s="12" t="s">
        <v>2336</v>
      </c>
      <c r="D1597" s="82"/>
      <c r="E1597" s="67" t="str">
        <f>HYPERLINK("https://www.google.ru/search?q=CU71U-0&amp;newwindow=1&amp;tbm=isch","Еще фото")</f>
        <v>Еще фото</v>
      </c>
      <c r="F1597" s="14"/>
      <c r="G1597" s="25" t="s">
        <v>2331</v>
      </c>
      <c r="H1597" s="25" t="s">
        <v>69</v>
      </c>
      <c r="I1597" s="25" t="s">
        <v>287</v>
      </c>
      <c r="J1597" s="15" t="s">
        <v>162</v>
      </c>
      <c r="K1597" s="16" t="s">
        <v>71</v>
      </c>
      <c r="L1597" s="84"/>
      <c r="M1597" s="15"/>
      <c r="N1597" s="15" t="s">
        <v>173</v>
      </c>
      <c r="O1597" s="15"/>
      <c r="P1597" s="16" t="s">
        <v>2333</v>
      </c>
      <c r="Q1597" s="17">
        <v>4299</v>
      </c>
      <c r="R1597" s="18">
        <v>40</v>
      </c>
      <c r="S1597" s="19">
        <v>2966.31</v>
      </c>
      <c r="T1597" s="20" t="s">
        <v>75</v>
      </c>
      <c r="U1597" s="21" t="s">
        <v>2001</v>
      </c>
      <c r="V1597" s="22" t="s">
        <v>2051</v>
      </c>
      <c r="W1597" s="23">
        <v>9</v>
      </c>
      <c r="X1597" s="24"/>
    </row>
    <row r="1598" spans="1:24" s="1" customFormat="1" ht="52.05" customHeight="1" x14ac:dyDescent="0.3">
      <c r="A1598" s="11" t="s">
        <v>1986</v>
      </c>
      <c r="B1598" s="11" t="s">
        <v>2335</v>
      </c>
      <c r="C1598" s="12" t="s">
        <v>2338</v>
      </c>
      <c r="D1598" s="81"/>
      <c r="E1598" s="67" t="str">
        <f>HYPERLINK("https://www.google.ru/search?q=CU71U-5&amp;newwindow=1&amp;tbm=isch","Еще фото")</f>
        <v>Еще фото</v>
      </c>
      <c r="F1598" s="14"/>
      <c r="G1598" s="11" t="s">
        <v>2331</v>
      </c>
      <c r="H1598" s="11" t="s">
        <v>69</v>
      </c>
      <c r="I1598" s="15" t="s">
        <v>287</v>
      </c>
      <c r="J1598" s="15" t="s">
        <v>162</v>
      </c>
      <c r="K1598" s="16" t="s">
        <v>71</v>
      </c>
      <c r="L1598" s="83" t="s">
        <v>2337</v>
      </c>
      <c r="M1598" s="15"/>
      <c r="N1598" s="15" t="s">
        <v>38</v>
      </c>
      <c r="O1598" s="15"/>
      <c r="P1598" s="16" t="s">
        <v>2333</v>
      </c>
      <c r="Q1598" s="17">
        <v>4299</v>
      </c>
      <c r="R1598" s="18">
        <v>40</v>
      </c>
      <c r="S1598" s="19">
        <v>2966.31</v>
      </c>
      <c r="T1598" s="20" t="s">
        <v>75</v>
      </c>
      <c r="U1598" s="21" t="s">
        <v>2000</v>
      </c>
      <c r="V1598" s="22" t="s">
        <v>2056</v>
      </c>
      <c r="W1598" s="23">
        <v>21</v>
      </c>
      <c r="X1598" s="24"/>
    </row>
    <row r="1599" spans="1:24" s="1" customFormat="1" ht="61.05" customHeight="1" x14ac:dyDescent="0.3">
      <c r="A1599" s="25" t="s">
        <v>1986</v>
      </c>
      <c r="B1599" s="25" t="s">
        <v>2335</v>
      </c>
      <c r="C1599" s="12" t="s">
        <v>2338</v>
      </c>
      <c r="D1599" s="82"/>
      <c r="E1599" s="67" t="str">
        <f>HYPERLINK("https://www.google.ru/search?q=CU71U-5&amp;newwindow=1&amp;tbm=isch","Еще фото")</f>
        <v>Еще фото</v>
      </c>
      <c r="F1599" s="14"/>
      <c r="G1599" s="25" t="s">
        <v>2331</v>
      </c>
      <c r="H1599" s="25" t="s">
        <v>69</v>
      </c>
      <c r="I1599" s="25" t="s">
        <v>287</v>
      </c>
      <c r="J1599" s="15" t="s">
        <v>162</v>
      </c>
      <c r="K1599" s="16" t="s">
        <v>71</v>
      </c>
      <c r="L1599" s="84"/>
      <c r="M1599" s="15"/>
      <c r="N1599" s="15" t="s">
        <v>38</v>
      </c>
      <c r="O1599" s="15"/>
      <c r="P1599" s="16" t="s">
        <v>2333</v>
      </c>
      <c r="Q1599" s="17">
        <v>4299</v>
      </c>
      <c r="R1599" s="18">
        <v>40</v>
      </c>
      <c r="S1599" s="19">
        <v>2966.31</v>
      </c>
      <c r="T1599" s="20" t="s">
        <v>75</v>
      </c>
      <c r="U1599" s="21" t="s">
        <v>2001</v>
      </c>
      <c r="V1599" s="22" t="s">
        <v>2051</v>
      </c>
      <c r="W1599" s="23">
        <v>16</v>
      </c>
      <c r="X1599" s="24"/>
    </row>
    <row r="1600" spans="1:24" s="1" customFormat="1" ht="35" customHeight="1" x14ac:dyDescent="0.3">
      <c r="A1600" s="11" t="s">
        <v>1986</v>
      </c>
      <c r="B1600" s="11" t="s">
        <v>2339</v>
      </c>
      <c r="C1600" s="12" t="s">
        <v>2340</v>
      </c>
      <c r="D1600" s="85"/>
      <c r="E1600" s="67" t="str">
        <f>HYPERLINK("https://www.google.ru/search?q=C625TM-5&amp;newwindow=1&amp;tbm=isch","Еще фото")</f>
        <v>Еще фото</v>
      </c>
      <c r="F1600" s="14"/>
      <c r="G1600" s="11" t="s">
        <v>2341</v>
      </c>
      <c r="H1600" s="11" t="s">
        <v>27</v>
      </c>
      <c r="I1600" s="15" t="s">
        <v>1970</v>
      </c>
      <c r="J1600" s="15" t="s">
        <v>162</v>
      </c>
      <c r="K1600" s="16" t="s">
        <v>45</v>
      </c>
      <c r="L1600" s="83" t="s">
        <v>2342</v>
      </c>
      <c r="M1600" s="15"/>
      <c r="N1600" s="15" t="s">
        <v>38</v>
      </c>
      <c r="O1600" s="15"/>
      <c r="P1600" s="16" t="s">
        <v>2343</v>
      </c>
      <c r="Q1600" s="17">
        <v>12609</v>
      </c>
      <c r="R1600" s="18">
        <v>52.43</v>
      </c>
      <c r="S1600" s="19">
        <v>6897.4354999999996</v>
      </c>
      <c r="T1600" s="20" t="s">
        <v>99</v>
      </c>
      <c r="U1600" s="21" t="s">
        <v>52</v>
      </c>
      <c r="V1600" s="22" t="s">
        <v>41</v>
      </c>
      <c r="W1600" s="23">
        <v>3</v>
      </c>
      <c r="X1600" s="24"/>
    </row>
    <row r="1601" spans="1:24" s="1" customFormat="1" ht="35" customHeight="1" x14ac:dyDescent="0.3">
      <c r="A1601" s="25" t="s">
        <v>1986</v>
      </c>
      <c r="B1601" s="25" t="s">
        <v>2339</v>
      </c>
      <c r="C1601" s="12" t="s">
        <v>2340</v>
      </c>
      <c r="D1601" s="86"/>
      <c r="E1601" s="67" t="str">
        <f>HYPERLINK("https://www.google.ru/search?q=C625TM-5&amp;newwindow=1&amp;tbm=isch","Еще фото")</f>
        <v>Еще фото</v>
      </c>
      <c r="F1601" s="14"/>
      <c r="G1601" s="25" t="s">
        <v>2341</v>
      </c>
      <c r="H1601" s="25" t="s">
        <v>27</v>
      </c>
      <c r="I1601" s="25" t="s">
        <v>1970</v>
      </c>
      <c r="J1601" s="15" t="s">
        <v>162</v>
      </c>
      <c r="K1601" s="16" t="s">
        <v>45</v>
      </c>
      <c r="L1601" s="88"/>
      <c r="M1601" s="15"/>
      <c r="N1601" s="15" t="s">
        <v>38</v>
      </c>
      <c r="O1601" s="15"/>
      <c r="P1601" s="16" t="s">
        <v>2343</v>
      </c>
      <c r="Q1601" s="17">
        <v>12609</v>
      </c>
      <c r="R1601" s="18">
        <v>52.43</v>
      </c>
      <c r="S1601" s="19">
        <v>6897.4354999999996</v>
      </c>
      <c r="T1601" s="20" t="s">
        <v>99</v>
      </c>
      <c r="U1601" s="21" t="s">
        <v>40</v>
      </c>
      <c r="V1601" s="22" t="s">
        <v>43</v>
      </c>
      <c r="W1601" s="23">
        <v>5</v>
      </c>
      <c r="X1601" s="24"/>
    </row>
    <row r="1602" spans="1:24" s="1" customFormat="1" ht="37.049999999999997" customHeight="1" x14ac:dyDescent="0.3">
      <c r="A1602" s="25" t="s">
        <v>1986</v>
      </c>
      <c r="B1602" s="25" t="s">
        <v>2339</v>
      </c>
      <c r="C1602" s="12" t="s">
        <v>2340</v>
      </c>
      <c r="D1602" s="87"/>
      <c r="E1602" s="67" t="str">
        <f>HYPERLINK("https://www.google.ru/search?q=C625TM-5&amp;newwindow=1&amp;tbm=isch","Еще фото")</f>
        <v>Еще фото</v>
      </c>
      <c r="F1602" s="14"/>
      <c r="G1602" s="25" t="s">
        <v>2341</v>
      </c>
      <c r="H1602" s="25" t="s">
        <v>27</v>
      </c>
      <c r="I1602" s="25" t="s">
        <v>1970</v>
      </c>
      <c r="J1602" s="15" t="s">
        <v>162</v>
      </c>
      <c r="K1602" s="16" t="s">
        <v>45</v>
      </c>
      <c r="L1602" s="84"/>
      <c r="M1602" s="15"/>
      <c r="N1602" s="15" t="s">
        <v>38</v>
      </c>
      <c r="O1602" s="15"/>
      <c r="P1602" s="16" t="s">
        <v>2343</v>
      </c>
      <c r="Q1602" s="17">
        <v>12609</v>
      </c>
      <c r="R1602" s="18">
        <v>52.43</v>
      </c>
      <c r="S1602" s="19">
        <v>6897.4354999999996</v>
      </c>
      <c r="T1602" s="20" t="s">
        <v>99</v>
      </c>
      <c r="U1602" s="21" t="s">
        <v>34</v>
      </c>
      <c r="V1602" s="23">
        <v>44</v>
      </c>
      <c r="W1602" s="23">
        <v>2</v>
      </c>
      <c r="X1602" s="24"/>
    </row>
    <row r="1603" spans="1:24" s="1" customFormat="1" ht="35" customHeight="1" x14ac:dyDescent="0.3">
      <c r="A1603" s="11" t="s">
        <v>1986</v>
      </c>
      <c r="B1603" s="11" t="s">
        <v>2344</v>
      </c>
      <c r="C1603" s="12" t="s">
        <v>2345</v>
      </c>
      <c r="D1603" s="85"/>
      <c r="E1603" s="67" t="str">
        <f>HYPERLINK("https://www.google.ru/search?q=C625TW-5&amp;newwindow=1&amp;tbm=isch","Еще фото")</f>
        <v>Еще фото</v>
      </c>
      <c r="F1603" s="14"/>
      <c r="G1603" s="11" t="s">
        <v>2341</v>
      </c>
      <c r="H1603" s="11" t="s">
        <v>27</v>
      </c>
      <c r="I1603" s="15" t="s">
        <v>1970</v>
      </c>
      <c r="J1603" s="15" t="s">
        <v>162</v>
      </c>
      <c r="K1603" s="16" t="s">
        <v>29</v>
      </c>
      <c r="L1603" s="83" t="s">
        <v>2342</v>
      </c>
      <c r="M1603" s="15"/>
      <c r="N1603" s="15" t="s">
        <v>38</v>
      </c>
      <c r="O1603" s="15"/>
      <c r="P1603" s="16" t="s">
        <v>2343</v>
      </c>
      <c r="Q1603" s="17">
        <v>12609</v>
      </c>
      <c r="R1603" s="18">
        <v>52.43</v>
      </c>
      <c r="S1603" s="19">
        <v>6897.4354999999996</v>
      </c>
      <c r="T1603" s="20" t="s">
        <v>99</v>
      </c>
      <c r="U1603" s="21" t="s">
        <v>34</v>
      </c>
      <c r="V1603" s="22" t="s">
        <v>35</v>
      </c>
      <c r="W1603" s="23">
        <v>2</v>
      </c>
      <c r="X1603" s="24"/>
    </row>
    <row r="1604" spans="1:24" s="1" customFormat="1" ht="35" customHeight="1" x14ac:dyDescent="0.3">
      <c r="A1604" s="25" t="s">
        <v>1986</v>
      </c>
      <c r="B1604" s="25" t="s">
        <v>2344</v>
      </c>
      <c r="C1604" s="12" t="s">
        <v>2345</v>
      </c>
      <c r="D1604" s="86"/>
      <c r="E1604" s="67" t="str">
        <f>HYPERLINK("https://www.google.ru/search?q=C625TW-5&amp;newwindow=1&amp;tbm=isch","Еще фото")</f>
        <v>Еще фото</v>
      </c>
      <c r="F1604" s="14"/>
      <c r="G1604" s="25" t="s">
        <v>2341</v>
      </c>
      <c r="H1604" s="25" t="s">
        <v>27</v>
      </c>
      <c r="I1604" s="25" t="s">
        <v>1970</v>
      </c>
      <c r="J1604" s="15" t="s">
        <v>162</v>
      </c>
      <c r="K1604" s="16" t="s">
        <v>29</v>
      </c>
      <c r="L1604" s="88"/>
      <c r="M1604" s="15"/>
      <c r="N1604" s="15" t="s">
        <v>38</v>
      </c>
      <c r="O1604" s="15"/>
      <c r="P1604" s="16" t="s">
        <v>2343</v>
      </c>
      <c r="Q1604" s="17">
        <v>12609</v>
      </c>
      <c r="R1604" s="18">
        <v>52.43</v>
      </c>
      <c r="S1604" s="19">
        <v>6897.4354999999996</v>
      </c>
      <c r="T1604" s="20" t="s">
        <v>99</v>
      </c>
      <c r="U1604" s="21" t="s">
        <v>52</v>
      </c>
      <c r="V1604" s="22" t="s">
        <v>53</v>
      </c>
      <c r="W1604" s="23">
        <v>2</v>
      </c>
      <c r="X1604" s="24"/>
    </row>
    <row r="1605" spans="1:24" s="1" customFormat="1" ht="37.049999999999997" customHeight="1" x14ac:dyDescent="0.3">
      <c r="A1605" s="25" t="s">
        <v>1986</v>
      </c>
      <c r="B1605" s="25" t="s">
        <v>2344</v>
      </c>
      <c r="C1605" s="12" t="s">
        <v>2345</v>
      </c>
      <c r="D1605" s="87"/>
      <c r="E1605" s="67" t="str">
        <f>HYPERLINK("https://www.google.ru/search?q=C625TW-5&amp;newwindow=1&amp;tbm=isch","Еще фото")</f>
        <v>Еще фото</v>
      </c>
      <c r="F1605" s="14"/>
      <c r="G1605" s="25" t="s">
        <v>2341</v>
      </c>
      <c r="H1605" s="25" t="s">
        <v>27</v>
      </c>
      <c r="I1605" s="25" t="s">
        <v>1970</v>
      </c>
      <c r="J1605" s="15" t="s">
        <v>162</v>
      </c>
      <c r="K1605" s="16" t="s">
        <v>29</v>
      </c>
      <c r="L1605" s="84"/>
      <c r="M1605" s="15"/>
      <c r="N1605" s="15" t="s">
        <v>38</v>
      </c>
      <c r="O1605" s="15"/>
      <c r="P1605" s="16" t="s">
        <v>2343</v>
      </c>
      <c r="Q1605" s="17">
        <v>12609</v>
      </c>
      <c r="R1605" s="18">
        <v>52.43</v>
      </c>
      <c r="S1605" s="19">
        <v>6897.4354999999996</v>
      </c>
      <c r="T1605" s="20" t="s">
        <v>99</v>
      </c>
      <c r="U1605" s="21" t="s">
        <v>40</v>
      </c>
      <c r="V1605" s="22" t="s">
        <v>41</v>
      </c>
      <c r="W1605" s="23">
        <v>1</v>
      </c>
      <c r="X1605" s="24"/>
    </row>
    <row r="1606" spans="1:24" s="1" customFormat="1" ht="35" customHeight="1" x14ac:dyDescent="0.3">
      <c r="A1606" s="11" t="s">
        <v>1986</v>
      </c>
      <c r="B1606" s="11" t="s">
        <v>2346</v>
      </c>
      <c r="C1606" s="12" t="s">
        <v>2347</v>
      </c>
      <c r="D1606" s="85"/>
      <c r="E1606" s="67" t="str">
        <f>HYPERLINK("https://www.google.ru/search?q=CT88M-5&amp;newwindow=1&amp;tbm=isch","Еще фото")</f>
        <v>Еще фото</v>
      </c>
      <c r="F1606" s="14"/>
      <c r="G1606" s="11" t="s">
        <v>1657</v>
      </c>
      <c r="H1606" s="11" t="s">
        <v>27</v>
      </c>
      <c r="I1606" s="15" t="s">
        <v>301</v>
      </c>
      <c r="J1606" s="15" t="s">
        <v>162</v>
      </c>
      <c r="K1606" s="16" t="s">
        <v>45</v>
      </c>
      <c r="L1606" s="83" t="s">
        <v>2348</v>
      </c>
      <c r="M1606" s="15"/>
      <c r="N1606" s="15" t="s">
        <v>38</v>
      </c>
      <c r="O1606" s="15"/>
      <c r="P1606" s="16" t="s">
        <v>2349</v>
      </c>
      <c r="Q1606" s="17">
        <v>14999</v>
      </c>
      <c r="R1606" s="18">
        <v>52.35</v>
      </c>
      <c r="S1606" s="19">
        <v>8219.9354999999996</v>
      </c>
      <c r="T1606" s="20" t="s">
        <v>99</v>
      </c>
      <c r="U1606" s="21" t="s">
        <v>52</v>
      </c>
      <c r="V1606" s="22" t="s">
        <v>41</v>
      </c>
      <c r="W1606" s="23">
        <v>3</v>
      </c>
      <c r="X1606" s="24"/>
    </row>
    <row r="1607" spans="1:24" s="1" customFormat="1" ht="35" customHeight="1" x14ac:dyDescent="0.3">
      <c r="A1607" s="25" t="s">
        <v>1986</v>
      </c>
      <c r="B1607" s="25" t="s">
        <v>2346</v>
      </c>
      <c r="C1607" s="12" t="s">
        <v>2347</v>
      </c>
      <c r="D1607" s="86"/>
      <c r="E1607" s="67" t="str">
        <f>HYPERLINK("https://www.google.ru/search?q=CT88M-5&amp;newwindow=1&amp;tbm=isch","Еще фото")</f>
        <v>Еще фото</v>
      </c>
      <c r="F1607" s="14"/>
      <c r="G1607" s="25" t="s">
        <v>1657</v>
      </c>
      <c r="H1607" s="25" t="s">
        <v>27</v>
      </c>
      <c r="I1607" s="25" t="s">
        <v>301</v>
      </c>
      <c r="J1607" s="15" t="s">
        <v>162</v>
      </c>
      <c r="K1607" s="16" t="s">
        <v>45</v>
      </c>
      <c r="L1607" s="88"/>
      <c r="M1607" s="15"/>
      <c r="N1607" s="15" t="s">
        <v>38</v>
      </c>
      <c r="O1607" s="15"/>
      <c r="P1607" s="16" t="s">
        <v>2349</v>
      </c>
      <c r="Q1607" s="17">
        <v>14999</v>
      </c>
      <c r="R1607" s="18">
        <v>52.35</v>
      </c>
      <c r="S1607" s="19">
        <v>8219.9354999999996</v>
      </c>
      <c r="T1607" s="20" t="s">
        <v>99</v>
      </c>
      <c r="U1607" s="21" t="s">
        <v>40</v>
      </c>
      <c r="V1607" s="22" t="s">
        <v>43</v>
      </c>
      <c r="W1607" s="23">
        <v>2</v>
      </c>
      <c r="X1607" s="24"/>
    </row>
    <row r="1608" spans="1:24" s="1" customFormat="1" ht="37.049999999999997" customHeight="1" x14ac:dyDescent="0.3">
      <c r="A1608" s="25" t="s">
        <v>1986</v>
      </c>
      <c r="B1608" s="25" t="s">
        <v>2346</v>
      </c>
      <c r="C1608" s="12" t="s">
        <v>2347</v>
      </c>
      <c r="D1608" s="87"/>
      <c r="E1608" s="67" t="str">
        <f>HYPERLINK("https://www.google.ru/search?q=CT88M-5&amp;newwindow=1&amp;tbm=isch","Еще фото")</f>
        <v>Еще фото</v>
      </c>
      <c r="F1608" s="14"/>
      <c r="G1608" s="25" t="s">
        <v>1657</v>
      </c>
      <c r="H1608" s="25" t="s">
        <v>27</v>
      </c>
      <c r="I1608" s="25" t="s">
        <v>301</v>
      </c>
      <c r="J1608" s="15" t="s">
        <v>162</v>
      </c>
      <c r="K1608" s="16" t="s">
        <v>45</v>
      </c>
      <c r="L1608" s="84"/>
      <c r="M1608" s="15"/>
      <c r="N1608" s="15" t="s">
        <v>38</v>
      </c>
      <c r="O1608" s="15"/>
      <c r="P1608" s="16" t="s">
        <v>2349</v>
      </c>
      <c r="Q1608" s="17">
        <v>14999</v>
      </c>
      <c r="R1608" s="18">
        <v>52.35</v>
      </c>
      <c r="S1608" s="19">
        <v>8219.9354999999996</v>
      </c>
      <c r="T1608" s="20" t="s">
        <v>99</v>
      </c>
      <c r="U1608" s="21" t="s">
        <v>34</v>
      </c>
      <c r="V1608" s="23">
        <v>44</v>
      </c>
      <c r="W1608" s="23">
        <v>1</v>
      </c>
      <c r="X1608" s="24"/>
    </row>
    <row r="1609" spans="1:24" s="1" customFormat="1" ht="108" customHeight="1" x14ac:dyDescent="0.3">
      <c r="A1609" s="11" t="s">
        <v>1986</v>
      </c>
      <c r="B1609" s="11" t="s">
        <v>2350</v>
      </c>
      <c r="C1609" s="12" t="s">
        <v>2351</v>
      </c>
      <c r="D1609" s="13"/>
      <c r="E1609" s="67" t="str">
        <f>HYPERLINK("https://www.google.ru/search?q=CT80W-5&amp;newwindow=1&amp;tbm=isch","Еще фото")</f>
        <v>Еще фото</v>
      </c>
      <c r="F1609" s="14"/>
      <c r="G1609" s="11" t="s">
        <v>315</v>
      </c>
      <c r="H1609" s="11" t="s">
        <v>27</v>
      </c>
      <c r="I1609" s="15" t="s">
        <v>316</v>
      </c>
      <c r="J1609" s="15" t="s">
        <v>162</v>
      </c>
      <c r="K1609" s="16" t="s">
        <v>29</v>
      </c>
      <c r="L1609" s="15" t="s">
        <v>2352</v>
      </c>
      <c r="M1609" s="15"/>
      <c r="N1609" s="15" t="s">
        <v>38</v>
      </c>
      <c r="O1609" s="15"/>
      <c r="P1609" s="16" t="s">
        <v>2353</v>
      </c>
      <c r="Q1609" s="17">
        <v>5999</v>
      </c>
      <c r="R1609" s="18">
        <v>66.86</v>
      </c>
      <c r="S1609" s="19">
        <v>2285.9354999999996</v>
      </c>
      <c r="T1609" s="20" t="s">
        <v>99</v>
      </c>
      <c r="U1609" s="21" t="s">
        <v>442</v>
      </c>
      <c r="V1609" s="22" t="s">
        <v>1910</v>
      </c>
      <c r="W1609" s="23">
        <v>1</v>
      </c>
      <c r="X1609" s="24"/>
    </row>
    <row r="1610" spans="1:24" s="1" customFormat="1" ht="26" customHeight="1" x14ac:dyDescent="0.3">
      <c r="A1610" s="11" t="s">
        <v>1986</v>
      </c>
      <c r="B1610" s="11" t="s">
        <v>2350</v>
      </c>
      <c r="C1610" s="12" t="s">
        <v>2354</v>
      </c>
      <c r="D1610" s="85"/>
      <c r="E1610" s="67" t="str">
        <f>HYPERLINK("https://www.google.ru/search?q=CT80W-I&amp;newwindow=1&amp;tbm=isch","Еще фото")</f>
        <v>Еще фото</v>
      </c>
      <c r="F1610" s="14"/>
      <c r="G1610" s="11" t="s">
        <v>315</v>
      </c>
      <c r="H1610" s="11" t="s">
        <v>27</v>
      </c>
      <c r="I1610" s="15" t="s">
        <v>316</v>
      </c>
      <c r="J1610" s="15" t="s">
        <v>162</v>
      </c>
      <c r="K1610" s="16" t="s">
        <v>29</v>
      </c>
      <c r="L1610" s="83" t="s">
        <v>2352</v>
      </c>
      <c r="M1610" s="15"/>
      <c r="N1610" s="15" t="s">
        <v>173</v>
      </c>
      <c r="O1610" s="15"/>
      <c r="P1610" s="16" t="s">
        <v>2353</v>
      </c>
      <c r="Q1610" s="17">
        <v>4999</v>
      </c>
      <c r="R1610" s="18">
        <v>61.44</v>
      </c>
      <c r="S1610" s="19">
        <v>2216.9354999999996</v>
      </c>
      <c r="T1610" s="20" t="s">
        <v>99</v>
      </c>
      <c r="U1610" s="21" t="s">
        <v>442</v>
      </c>
      <c r="V1610" s="22" t="s">
        <v>1910</v>
      </c>
      <c r="W1610" s="23">
        <v>1</v>
      </c>
      <c r="X1610" s="24"/>
    </row>
    <row r="1611" spans="1:24" s="1" customFormat="1" ht="26" customHeight="1" x14ac:dyDescent="0.3">
      <c r="A1611" s="25" t="s">
        <v>1986</v>
      </c>
      <c r="B1611" s="25" t="s">
        <v>2350</v>
      </c>
      <c r="C1611" s="12" t="s">
        <v>2354</v>
      </c>
      <c r="D1611" s="86"/>
      <c r="E1611" s="67" t="str">
        <f>HYPERLINK("https://www.google.ru/search?q=CT80W-I&amp;newwindow=1&amp;tbm=isch","Еще фото")</f>
        <v>Еще фото</v>
      </c>
      <c r="F1611" s="14"/>
      <c r="G1611" s="25" t="s">
        <v>315</v>
      </c>
      <c r="H1611" s="25" t="s">
        <v>27</v>
      </c>
      <c r="I1611" s="25" t="s">
        <v>316</v>
      </c>
      <c r="J1611" s="15" t="s">
        <v>162</v>
      </c>
      <c r="K1611" s="16" t="s">
        <v>29</v>
      </c>
      <c r="L1611" s="88"/>
      <c r="M1611" s="15"/>
      <c r="N1611" s="15" t="s">
        <v>173</v>
      </c>
      <c r="O1611" s="15"/>
      <c r="P1611" s="16" t="s">
        <v>2353</v>
      </c>
      <c r="Q1611" s="17">
        <v>4999</v>
      </c>
      <c r="R1611" s="18">
        <v>61.44</v>
      </c>
      <c r="S1611" s="19">
        <v>2216.9354999999996</v>
      </c>
      <c r="T1611" s="20" t="s">
        <v>99</v>
      </c>
      <c r="U1611" s="21" t="s">
        <v>34</v>
      </c>
      <c r="V1611" s="22" t="s">
        <v>35</v>
      </c>
      <c r="W1611" s="23">
        <v>7</v>
      </c>
      <c r="X1611" s="24"/>
    </row>
    <row r="1612" spans="1:24" s="1" customFormat="1" ht="26" customHeight="1" x14ac:dyDescent="0.3">
      <c r="A1612" s="25" t="s">
        <v>1986</v>
      </c>
      <c r="B1612" s="25" t="s">
        <v>2350</v>
      </c>
      <c r="C1612" s="12" t="s">
        <v>2354</v>
      </c>
      <c r="D1612" s="86"/>
      <c r="E1612" s="67" t="str">
        <f>HYPERLINK("https://www.google.ru/search?q=CT80W-I&amp;newwindow=1&amp;tbm=isch","Еще фото")</f>
        <v>Еще фото</v>
      </c>
      <c r="F1612" s="14"/>
      <c r="G1612" s="25" t="s">
        <v>315</v>
      </c>
      <c r="H1612" s="25" t="s">
        <v>27</v>
      </c>
      <c r="I1612" s="25" t="s">
        <v>316</v>
      </c>
      <c r="J1612" s="15" t="s">
        <v>162</v>
      </c>
      <c r="K1612" s="16" t="s">
        <v>29</v>
      </c>
      <c r="L1612" s="88"/>
      <c r="M1612" s="15"/>
      <c r="N1612" s="15" t="s">
        <v>173</v>
      </c>
      <c r="O1612" s="15"/>
      <c r="P1612" s="16" t="s">
        <v>2353</v>
      </c>
      <c r="Q1612" s="17">
        <v>4999</v>
      </c>
      <c r="R1612" s="18">
        <v>61.44</v>
      </c>
      <c r="S1612" s="19">
        <v>2216.9354999999996</v>
      </c>
      <c r="T1612" s="20" t="s">
        <v>99</v>
      </c>
      <c r="U1612" s="21" t="s">
        <v>52</v>
      </c>
      <c r="V1612" s="22" t="s">
        <v>53</v>
      </c>
      <c r="W1612" s="23">
        <v>4</v>
      </c>
      <c r="X1612" s="24"/>
    </row>
    <row r="1613" spans="1:24" s="1" customFormat="1" ht="26" customHeight="1" x14ac:dyDescent="0.3">
      <c r="A1613" s="25" t="s">
        <v>1986</v>
      </c>
      <c r="B1613" s="25" t="s">
        <v>2350</v>
      </c>
      <c r="C1613" s="12" t="s">
        <v>2354</v>
      </c>
      <c r="D1613" s="87"/>
      <c r="E1613" s="67" t="str">
        <f>HYPERLINK("https://www.google.ru/search?q=CT80W-I&amp;newwindow=1&amp;tbm=isch","Еще фото")</f>
        <v>Еще фото</v>
      </c>
      <c r="F1613" s="14"/>
      <c r="G1613" s="25" t="s">
        <v>315</v>
      </c>
      <c r="H1613" s="25" t="s">
        <v>27</v>
      </c>
      <c r="I1613" s="25" t="s">
        <v>316</v>
      </c>
      <c r="J1613" s="15" t="s">
        <v>162</v>
      </c>
      <c r="K1613" s="16" t="s">
        <v>29</v>
      </c>
      <c r="L1613" s="84"/>
      <c r="M1613" s="15"/>
      <c r="N1613" s="15" t="s">
        <v>173</v>
      </c>
      <c r="O1613" s="15"/>
      <c r="P1613" s="16" t="s">
        <v>2353</v>
      </c>
      <c r="Q1613" s="17">
        <v>4999</v>
      </c>
      <c r="R1613" s="18">
        <v>61.44</v>
      </c>
      <c r="S1613" s="19">
        <v>2216.9354999999996</v>
      </c>
      <c r="T1613" s="20" t="s">
        <v>99</v>
      </c>
      <c r="U1613" s="21" t="s">
        <v>40</v>
      </c>
      <c r="V1613" s="22" t="s">
        <v>41</v>
      </c>
      <c r="W1613" s="23">
        <v>1</v>
      </c>
      <c r="X1613" s="24"/>
    </row>
    <row r="1614" spans="1:24" s="1" customFormat="1" ht="52.05" customHeight="1" x14ac:dyDescent="0.3">
      <c r="A1614" s="11" t="s">
        <v>1986</v>
      </c>
      <c r="B1614" s="11" t="s">
        <v>2350</v>
      </c>
      <c r="C1614" s="12" t="s">
        <v>2355</v>
      </c>
      <c r="D1614" s="81"/>
      <c r="E1614" s="67" t="str">
        <f>HYPERLINK("https://www.google.ru/search?q=CT80W-W&amp;newwindow=1&amp;tbm=isch","Еще фото")</f>
        <v>Еще фото</v>
      </c>
      <c r="F1614" s="14"/>
      <c r="G1614" s="11" t="s">
        <v>315</v>
      </c>
      <c r="H1614" s="11" t="s">
        <v>27</v>
      </c>
      <c r="I1614" s="15" t="s">
        <v>316</v>
      </c>
      <c r="J1614" s="15" t="s">
        <v>162</v>
      </c>
      <c r="K1614" s="16" t="s">
        <v>29</v>
      </c>
      <c r="L1614" s="83" t="s">
        <v>2352</v>
      </c>
      <c r="M1614" s="15"/>
      <c r="N1614" s="15" t="s">
        <v>173</v>
      </c>
      <c r="O1614" s="15"/>
      <c r="P1614" s="16" t="s">
        <v>2353</v>
      </c>
      <c r="Q1614" s="17">
        <v>4999</v>
      </c>
      <c r="R1614" s="18">
        <v>61.44</v>
      </c>
      <c r="S1614" s="19">
        <v>2216.9354999999996</v>
      </c>
      <c r="T1614" s="20" t="s">
        <v>99</v>
      </c>
      <c r="U1614" s="21" t="s">
        <v>34</v>
      </c>
      <c r="V1614" s="22" t="s">
        <v>35</v>
      </c>
      <c r="W1614" s="23">
        <v>1</v>
      </c>
      <c r="X1614" s="24"/>
    </row>
    <row r="1615" spans="1:24" s="1" customFormat="1" ht="61.05" customHeight="1" x14ac:dyDescent="0.3">
      <c r="A1615" s="25" t="s">
        <v>1986</v>
      </c>
      <c r="B1615" s="25" t="s">
        <v>2350</v>
      </c>
      <c r="C1615" s="12" t="s">
        <v>2355</v>
      </c>
      <c r="D1615" s="82"/>
      <c r="E1615" s="67" t="str">
        <f>HYPERLINK("https://www.google.ru/search?q=CT80W-W&amp;newwindow=1&amp;tbm=isch","Еще фото")</f>
        <v>Еще фото</v>
      </c>
      <c r="F1615" s="14"/>
      <c r="G1615" s="25" t="s">
        <v>315</v>
      </c>
      <c r="H1615" s="25" t="s">
        <v>27</v>
      </c>
      <c r="I1615" s="25" t="s">
        <v>316</v>
      </c>
      <c r="J1615" s="15" t="s">
        <v>162</v>
      </c>
      <c r="K1615" s="16" t="s">
        <v>29</v>
      </c>
      <c r="L1615" s="84"/>
      <c r="M1615" s="15"/>
      <c r="N1615" s="15" t="s">
        <v>173</v>
      </c>
      <c r="O1615" s="15"/>
      <c r="P1615" s="16" t="s">
        <v>2353</v>
      </c>
      <c r="Q1615" s="17">
        <v>4999</v>
      </c>
      <c r="R1615" s="18">
        <v>61.44</v>
      </c>
      <c r="S1615" s="19">
        <v>2216.9354999999996</v>
      </c>
      <c r="T1615" s="20" t="s">
        <v>99</v>
      </c>
      <c r="U1615" s="21" t="s">
        <v>52</v>
      </c>
      <c r="V1615" s="22" t="s">
        <v>53</v>
      </c>
      <c r="W1615" s="23">
        <v>2</v>
      </c>
      <c r="X1615" s="24"/>
    </row>
    <row r="1616" spans="1:24" s="1" customFormat="1" ht="52.05" customHeight="1" x14ac:dyDescent="0.3">
      <c r="A1616" s="11" t="s">
        <v>1986</v>
      </c>
      <c r="B1616" s="11" t="s">
        <v>2350</v>
      </c>
      <c r="C1616" s="12" t="s">
        <v>2356</v>
      </c>
      <c r="D1616" s="81"/>
      <c r="E1616" s="67" t="str">
        <f>HYPERLINK("https://www.google.ru/search?q=CT80M-2&amp;newwindow=1&amp;tbm=isch","Еще фото")</f>
        <v>Еще фото</v>
      </c>
      <c r="F1616" s="14"/>
      <c r="G1616" s="11" t="s">
        <v>315</v>
      </c>
      <c r="H1616" s="11" t="s">
        <v>27</v>
      </c>
      <c r="I1616" s="15" t="s">
        <v>316</v>
      </c>
      <c r="J1616" s="15" t="s">
        <v>162</v>
      </c>
      <c r="K1616" s="16" t="s">
        <v>45</v>
      </c>
      <c r="L1616" s="83" t="s">
        <v>2357</v>
      </c>
      <c r="M1616" s="15"/>
      <c r="N1616" s="15" t="s">
        <v>218</v>
      </c>
      <c r="O1616" s="15"/>
      <c r="P1616" s="16" t="s">
        <v>2353</v>
      </c>
      <c r="Q1616" s="17">
        <v>5999</v>
      </c>
      <c r="R1616" s="18">
        <v>54.2</v>
      </c>
      <c r="S1616" s="19">
        <v>3159.9354999999996</v>
      </c>
      <c r="T1616" s="20" t="s">
        <v>99</v>
      </c>
      <c r="U1616" s="21" t="s">
        <v>34</v>
      </c>
      <c r="V1616" s="22" t="s">
        <v>53</v>
      </c>
      <c r="W1616" s="23">
        <v>2</v>
      </c>
      <c r="X1616" s="24"/>
    </row>
    <row r="1617" spans="1:24" s="1" customFormat="1" ht="61.05" customHeight="1" x14ac:dyDescent="0.3">
      <c r="A1617" s="25" t="s">
        <v>1986</v>
      </c>
      <c r="B1617" s="25" t="s">
        <v>2350</v>
      </c>
      <c r="C1617" s="12" t="s">
        <v>2356</v>
      </c>
      <c r="D1617" s="82"/>
      <c r="E1617" s="67" t="str">
        <f>HYPERLINK("https://www.google.ru/search?q=CT80M-2&amp;newwindow=1&amp;tbm=isch","Еще фото")</f>
        <v>Еще фото</v>
      </c>
      <c r="F1617" s="14"/>
      <c r="G1617" s="25" t="s">
        <v>315</v>
      </c>
      <c r="H1617" s="25" t="s">
        <v>27</v>
      </c>
      <c r="I1617" s="25" t="s">
        <v>316</v>
      </c>
      <c r="J1617" s="15" t="s">
        <v>162</v>
      </c>
      <c r="K1617" s="16" t="s">
        <v>45</v>
      </c>
      <c r="L1617" s="84"/>
      <c r="M1617" s="15"/>
      <c r="N1617" s="15" t="s">
        <v>218</v>
      </c>
      <c r="O1617" s="15"/>
      <c r="P1617" s="16" t="s">
        <v>2353</v>
      </c>
      <c r="Q1617" s="17">
        <v>5999</v>
      </c>
      <c r="R1617" s="18">
        <v>54.2</v>
      </c>
      <c r="S1617" s="19">
        <v>3159.9354999999996</v>
      </c>
      <c r="T1617" s="20" t="s">
        <v>99</v>
      </c>
      <c r="U1617" s="21" t="s">
        <v>40</v>
      </c>
      <c r="V1617" s="22" t="s">
        <v>43</v>
      </c>
      <c r="W1617" s="23">
        <v>1</v>
      </c>
      <c r="X1617" s="24"/>
    </row>
    <row r="1618" spans="1:24" s="1" customFormat="1" ht="108" customHeight="1" x14ac:dyDescent="0.3">
      <c r="A1618" s="11" t="s">
        <v>1986</v>
      </c>
      <c r="B1618" s="11" t="s">
        <v>2358</v>
      </c>
      <c r="C1618" s="12" t="s">
        <v>2359</v>
      </c>
      <c r="D1618" s="13"/>
      <c r="E1618" s="67" t="str">
        <f>HYPERLINK("https://www.google.ru/search?q=CT82M-5&amp;newwindow=1&amp;tbm=isch","Еще фото")</f>
        <v>Еще фото</v>
      </c>
      <c r="F1618" s="14"/>
      <c r="G1618" s="11" t="s">
        <v>315</v>
      </c>
      <c r="H1618" s="11" t="s">
        <v>27</v>
      </c>
      <c r="I1618" s="15" t="s">
        <v>316</v>
      </c>
      <c r="J1618" s="15" t="s">
        <v>162</v>
      </c>
      <c r="K1618" s="16" t="s">
        <v>45</v>
      </c>
      <c r="L1618" s="15" t="s">
        <v>2360</v>
      </c>
      <c r="M1618" s="15"/>
      <c r="N1618" s="15" t="s">
        <v>38</v>
      </c>
      <c r="O1618" s="15"/>
      <c r="P1618" s="16" t="s">
        <v>2353</v>
      </c>
      <c r="Q1618" s="17">
        <v>5999</v>
      </c>
      <c r="R1618" s="18">
        <v>54.2</v>
      </c>
      <c r="S1618" s="19">
        <v>3159.9354999999996</v>
      </c>
      <c r="T1618" s="20" t="s">
        <v>99</v>
      </c>
      <c r="U1618" s="21" t="s">
        <v>34</v>
      </c>
      <c r="V1618" s="22" t="s">
        <v>53</v>
      </c>
      <c r="W1618" s="23">
        <v>2</v>
      </c>
      <c r="X1618" s="24"/>
    </row>
    <row r="1619" spans="1:24" s="1" customFormat="1" ht="26" customHeight="1" x14ac:dyDescent="0.3">
      <c r="A1619" s="11" t="s">
        <v>1986</v>
      </c>
      <c r="B1619" s="11" t="s">
        <v>2361</v>
      </c>
      <c r="C1619" s="12" t="s">
        <v>2362</v>
      </c>
      <c r="D1619" s="85"/>
      <c r="E1619" s="67" t="str">
        <f>HYPERLINK("https://www.google.ru/search?q=C845MM-5&amp;newwindow=1&amp;tbm=isch","Еще фото")</f>
        <v>Еще фото</v>
      </c>
      <c r="F1619" s="14"/>
      <c r="G1619" s="11" t="s">
        <v>2363</v>
      </c>
      <c r="H1619" s="11" t="s">
        <v>27</v>
      </c>
      <c r="I1619" s="15" t="s">
        <v>316</v>
      </c>
      <c r="J1619" s="15" t="s">
        <v>28</v>
      </c>
      <c r="K1619" s="16" t="s">
        <v>45</v>
      </c>
      <c r="L1619" s="83" t="s">
        <v>2364</v>
      </c>
      <c r="M1619" s="15"/>
      <c r="N1619" s="15" t="s">
        <v>38</v>
      </c>
      <c r="O1619" s="15"/>
      <c r="P1619" s="16" t="s">
        <v>2365</v>
      </c>
      <c r="Q1619" s="17">
        <v>9999</v>
      </c>
      <c r="R1619" s="18">
        <v>52.42</v>
      </c>
      <c r="S1619" s="19">
        <v>5471.4355000000005</v>
      </c>
      <c r="T1619" s="20" t="s">
        <v>99</v>
      </c>
      <c r="U1619" s="21" t="s">
        <v>34</v>
      </c>
      <c r="V1619" s="22" t="s">
        <v>53</v>
      </c>
      <c r="W1619" s="23">
        <v>3</v>
      </c>
      <c r="X1619" s="24"/>
    </row>
    <row r="1620" spans="1:24" s="1" customFormat="1" ht="26" customHeight="1" x14ac:dyDescent="0.3">
      <c r="A1620" s="25" t="s">
        <v>1986</v>
      </c>
      <c r="B1620" s="25" t="s">
        <v>2361</v>
      </c>
      <c r="C1620" s="12" t="s">
        <v>2362</v>
      </c>
      <c r="D1620" s="86"/>
      <c r="E1620" s="67" t="str">
        <f>HYPERLINK("https://www.google.ru/search?q=C845MM-5&amp;newwindow=1&amp;tbm=isch","Еще фото")</f>
        <v>Еще фото</v>
      </c>
      <c r="F1620" s="14"/>
      <c r="G1620" s="25" t="s">
        <v>2363</v>
      </c>
      <c r="H1620" s="25" t="s">
        <v>27</v>
      </c>
      <c r="I1620" s="25" t="s">
        <v>316</v>
      </c>
      <c r="J1620" s="15" t="s">
        <v>28</v>
      </c>
      <c r="K1620" s="16" t="s">
        <v>45</v>
      </c>
      <c r="L1620" s="88"/>
      <c r="M1620" s="15"/>
      <c r="N1620" s="15" t="s">
        <v>38</v>
      </c>
      <c r="O1620" s="15"/>
      <c r="P1620" s="16" t="s">
        <v>2365</v>
      </c>
      <c r="Q1620" s="17">
        <v>9999</v>
      </c>
      <c r="R1620" s="18">
        <v>52.42</v>
      </c>
      <c r="S1620" s="19">
        <v>5471.4355000000005</v>
      </c>
      <c r="T1620" s="20" t="s">
        <v>99</v>
      </c>
      <c r="U1620" s="21" t="s">
        <v>52</v>
      </c>
      <c r="V1620" s="22" t="s">
        <v>41</v>
      </c>
      <c r="W1620" s="23">
        <v>5</v>
      </c>
      <c r="X1620" s="24"/>
    </row>
    <row r="1621" spans="1:24" s="1" customFormat="1" ht="26" customHeight="1" x14ac:dyDescent="0.3">
      <c r="A1621" s="25" t="s">
        <v>1986</v>
      </c>
      <c r="B1621" s="25" t="s">
        <v>2361</v>
      </c>
      <c r="C1621" s="12" t="s">
        <v>2362</v>
      </c>
      <c r="D1621" s="86"/>
      <c r="E1621" s="67" t="str">
        <f>HYPERLINK("https://www.google.ru/search?q=C845MM-5&amp;newwindow=1&amp;tbm=isch","Еще фото")</f>
        <v>Еще фото</v>
      </c>
      <c r="F1621" s="14"/>
      <c r="G1621" s="25" t="s">
        <v>2363</v>
      </c>
      <c r="H1621" s="25" t="s">
        <v>27</v>
      </c>
      <c r="I1621" s="25" t="s">
        <v>316</v>
      </c>
      <c r="J1621" s="15" t="s">
        <v>28</v>
      </c>
      <c r="K1621" s="16" t="s">
        <v>45</v>
      </c>
      <c r="L1621" s="88"/>
      <c r="M1621" s="15"/>
      <c r="N1621" s="15" t="s">
        <v>38</v>
      </c>
      <c r="O1621" s="15"/>
      <c r="P1621" s="16" t="s">
        <v>2365</v>
      </c>
      <c r="Q1621" s="17">
        <v>9999</v>
      </c>
      <c r="R1621" s="18">
        <v>52.42</v>
      </c>
      <c r="S1621" s="19">
        <v>5471.4355000000005</v>
      </c>
      <c r="T1621" s="20" t="s">
        <v>99</v>
      </c>
      <c r="U1621" s="21" t="s">
        <v>40</v>
      </c>
      <c r="V1621" s="22" t="s">
        <v>43</v>
      </c>
      <c r="W1621" s="23">
        <v>4</v>
      </c>
      <c r="X1621" s="24"/>
    </row>
    <row r="1622" spans="1:24" s="1" customFormat="1" ht="26" customHeight="1" x14ac:dyDescent="0.3">
      <c r="A1622" s="25" t="s">
        <v>1986</v>
      </c>
      <c r="B1622" s="25" t="s">
        <v>2361</v>
      </c>
      <c r="C1622" s="12" t="s">
        <v>2362</v>
      </c>
      <c r="D1622" s="87"/>
      <c r="E1622" s="67" t="str">
        <f>HYPERLINK("https://www.google.ru/search?q=C845MM-5&amp;newwindow=1&amp;tbm=isch","Еще фото")</f>
        <v>Еще фото</v>
      </c>
      <c r="F1622" s="14"/>
      <c r="G1622" s="25" t="s">
        <v>2363</v>
      </c>
      <c r="H1622" s="25" t="s">
        <v>27</v>
      </c>
      <c r="I1622" s="25" t="s">
        <v>316</v>
      </c>
      <c r="J1622" s="15" t="s">
        <v>28</v>
      </c>
      <c r="K1622" s="16" t="s">
        <v>45</v>
      </c>
      <c r="L1622" s="84"/>
      <c r="M1622" s="15"/>
      <c r="N1622" s="15" t="s">
        <v>38</v>
      </c>
      <c r="O1622" s="15"/>
      <c r="P1622" s="16" t="s">
        <v>2365</v>
      </c>
      <c r="Q1622" s="17">
        <v>9999</v>
      </c>
      <c r="R1622" s="18">
        <v>52.42</v>
      </c>
      <c r="S1622" s="19">
        <v>5471.4355000000005</v>
      </c>
      <c r="T1622" s="20" t="s">
        <v>99</v>
      </c>
      <c r="U1622" s="21" t="s">
        <v>42</v>
      </c>
      <c r="V1622" s="22" t="s">
        <v>48</v>
      </c>
      <c r="W1622" s="23">
        <v>2</v>
      </c>
      <c r="X1622" s="24"/>
    </row>
    <row r="1623" spans="1:24" s="1" customFormat="1" ht="35" customHeight="1" x14ac:dyDescent="0.3">
      <c r="A1623" s="11" t="s">
        <v>1986</v>
      </c>
      <c r="B1623" s="11" t="s">
        <v>2366</v>
      </c>
      <c r="C1623" s="12" t="s">
        <v>2367</v>
      </c>
      <c r="D1623" s="85"/>
      <c r="E1623" s="67" t="str">
        <f>HYPERLINK("https://www.google.ru/search?q=CT81M-5&amp;newwindow=1&amp;tbm=isch","Еще фото")</f>
        <v>Еще фото</v>
      </c>
      <c r="F1623" s="14"/>
      <c r="G1623" s="11" t="s">
        <v>1974</v>
      </c>
      <c r="H1623" s="11" t="s">
        <v>27</v>
      </c>
      <c r="I1623" s="15" t="s">
        <v>316</v>
      </c>
      <c r="J1623" s="15" t="s">
        <v>162</v>
      </c>
      <c r="K1623" s="16" t="s">
        <v>45</v>
      </c>
      <c r="L1623" s="83" t="s">
        <v>2368</v>
      </c>
      <c r="M1623" s="15"/>
      <c r="N1623" s="15" t="s">
        <v>31</v>
      </c>
      <c r="O1623" s="15"/>
      <c r="P1623" s="16" t="s">
        <v>2353</v>
      </c>
      <c r="Q1623" s="17">
        <v>5999</v>
      </c>
      <c r="R1623" s="18">
        <v>52.36</v>
      </c>
      <c r="S1623" s="19">
        <v>3286.4354999999996</v>
      </c>
      <c r="T1623" s="20" t="s">
        <v>99</v>
      </c>
      <c r="U1623" s="21" t="s">
        <v>34</v>
      </c>
      <c r="V1623" s="22" t="s">
        <v>53</v>
      </c>
      <c r="W1623" s="23">
        <v>1</v>
      </c>
      <c r="X1623" s="24"/>
    </row>
    <row r="1624" spans="1:24" s="1" customFormat="1" ht="35" customHeight="1" x14ac:dyDescent="0.3">
      <c r="A1624" s="25" t="s">
        <v>1986</v>
      </c>
      <c r="B1624" s="25" t="s">
        <v>2366</v>
      </c>
      <c r="C1624" s="12" t="s">
        <v>2367</v>
      </c>
      <c r="D1624" s="86"/>
      <c r="E1624" s="67" t="str">
        <f>HYPERLINK("https://www.google.ru/search?q=CT81M-5&amp;newwindow=1&amp;tbm=isch","Еще фото")</f>
        <v>Еще фото</v>
      </c>
      <c r="F1624" s="14"/>
      <c r="G1624" s="25" t="s">
        <v>1974</v>
      </c>
      <c r="H1624" s="25" t="s">
        <v>27</v>
      </c>
      <c r="I1624" s="25" t="s">
        <v>316</v>
      </c>
      <c r="J1624" s="15" t="s">
        <v>162</v>
      </c>
      <c r="K1624" s="16" t="s">
        <v>45</v>
      </c>
      <c r="L1624" s="88"/>
      <c r="M1624" s="15"/>
      <c r="N1624" s="15" t="s">
        <v>31</v>
      </c>
      <c r="O1624" s="15"/>
      <c r="P1624" s="16" t="s">
        <v>2353</v>
      </c>
      <c r="Q1624" s="17">
        <v>5999</v>
      </c>
      <c r="R1624" s="18">
        <v>52.36</v>
      </c>
      <c r="S1624" s="19">
        <v>3286.4354999999996</v>
      </c>
      <c r="T1624" s="20" t="s">
        <v>99</v>
      </c>
      <c r="U1624" s="21" t="s">
        <v>52</v>
      </c>
      <c r="V1624" s="22" t="s">
        <v>41</v>
      </c>
      <c r="W1624" s="23">
        <v>2</v>
      </c>
      <c r="X1624" s="24"/>
    </row>
    <row r="1625" spans="1:24" s="1" customFormat="1" ht="37.049999999999997" customHeight="1" x14ac:dyDescent="0.3">
      <c r="A1625" s="25" t="s">
        <v>1986</v>
      </c>
      <c r="B1625" s="25" t="s">
        <v>2366</v>
      </c>
      <c r="C1625" s="12" t="s">
        <v>2367</v>
      </c>
      <c r="D1625" s="87"/>
      <c r="E1625" s="67" t="str">
        <f>HYPERLINK("https://www.google.ru/search?q=CT81M-5&amp;newwindow=1&amp;tbm=isch","Еще фото")</f>
        <v>Еще фото</v>
      </c>
      <c r="F1625" s="14"/>
      <c r="G1625" s="25" t="s">
        <v>1974</v>
      </c>
      <c r="H1625" s="25" t="s">
        <v>27</v>
      </c>
      <c r="I1625" s="25" t="s">
        <v>316</v>
      </c>
      <c r="J1625" s="15" t="s">
        <v>162</v>
      </c>
      <c r="K1625" s="16" t="s">
        <v>45</v>
      </c>
      <c r="L1625" s="84"/>
      <c r="M1625" s="15"/>
      <c r="N1625" s="15" t="s">
        <v>31</v>
      </c>
      <c r="O1625" s="15"/>
      <c r="P1625" s="16" t="s">
        <v>2353</v>
      </c>
      <c r="Q1625" s="17">
        <v>5999</v>
      </c>
      <c r="R1625" s="18">
        <v>52.36</v>
      </c>
      <c r="S1625" s="19">
        <v>3286.4354999999996</v>
      </c>
      <c r="T1625" s="20" t="s">
        <v>99</v>
      </c>
      <c r="U1625" s="21" t="s">
        <v>40</v>
      </c>
      <c r="V1625" s="22" t="s">
        <v>43</v>
      </c>
      <c r="W1625" s="23">
        <v>2</v>
      </c>
      <c r="X1625" s="24"/>
    </row>
    <row r="1626" spans="1:24" s="1" customFormat="1" ht="108" customHeight="1" x14ac:dyDescent="0.3">
      <c r="A1626" s="11" t="s">
        <v>1986</v>
      </c>
      <c r="B1626" s="11" t="s">
        <v>2369</v>
      </c>
      <c r="C1626" s="12" t="s">
        <v>2370</v>
      </c>
      <c r="D1626" s="13"/>
      <c r="E1626" s="67" t="str">
        <f>HYPERLINK("https://www.google.ru/search?q=C84BTM-5&amp;newwindow=1&amp;tbm=isch","Еще фото")</f>
        <v>Еще фото</v>
      </c>
      <c r="F1626" s="14"/>
      <c r="G1626" s="11" t="s">
        <v>2371</v>
      </c>
      <c r="H1626" s="11" t="s">
        <v>27</v>
      </c>
      <c r="I1626" s="15" t="s">
        <v>316</v>
      </c>
      <c r="J1626" s="15" t="s">
        <v>162</v>
      </c>
      <c r="K1626" s="16" t="s">
        <v>45</v>
      </c>
      <c r="L1626" s="15" t="s">
        <v>2372</v>
      </c>
      <c r="M1626" s="15"/>
      <c r="N1626" s="15" t="s">
        <v>38</v>
      </c>
      <c r="O1626" s="15"/>
      <c r="P1626" s="16" t="s">
        <v>2373</v>
      </c>
      <c r="Q1626" s="17">
        <v>7359</v>
      </c>
      <c r="R1626" s="18">
        <v>47.71</v>
      </c>
      <c r="S1626" s="19">
        <v>4424.9354999999996</v>
      </c>
      <c r="T1626" s="20" t="s">
        <v>99</v>
      </c>
      <c r="U1626" s="21" t="s">
        <v>52</v>
      </c>
      <c r="V1626" s="22" t="s">
        <v>41</v>
      </c>
      <c r="W1626" s="23">
        <v>1</v>
      </c>
      <c r="X1626" s="24"/>
    </row>
    <row r="1627" spans="1:24" s="1" customFormat="1" ht="108" customHeight="1" x14ac:dyDescent="0.3">
      <c r="A1627" s="11" t="s">
        <v>1986</v>
      </c>
      <c r="B1627" s="11" t="s">
        <v>2350</v>
      </c>
      <c r="C1627" s="12" t="s">
        <v>2374</v>
      </c>
      <c r="D1627" s="13"/>
      <c r="E1627" s="67" t="str">
        <f>HYPERLINK("https://www.google.ru/search?q=CT80M-5&amp;newwindow=1&amp;tbm=isch","Еще фото")</f>
        <v>Еще фото</v>
      </c>
      <c r="F1627" s="14"/>
      <c r="G1627" s="11" t="s">
        <v>315</v>
      </c>
      <c r="H1627" s="11" t="s">
        <v>27</v>
      </c>
      <c r="I1627" s="15" t="s">
        <v>316</v>
      </c>
      <c r="J1627" s="15" t="s">
        <v>162</v>
      </c>
      <c r="K1627" s="16" t="s">
        <v>45</v>
      </c>
      <c r="L1627" s="15" t="s">
        <v>2357</v>
      </c>
      <c r="M1627" s="15"/>
      <c r="N1627" s="15" t="s">
        <v>38</v>
      </c>
      <c r="O1627" s="15"/>
      <c r="P1627" s="16" t="s">
        <v>2353</v>
      </c>
      <c r="Q1627" s="17">
        <v>5999</v>
      </c>
      <c r="R1627" s="18">
        <v>46.66</v>
      </c>
      <c r="S1627" s="19">
        <v>3679.9884999999995</v>
      </c>
      <c r="T1627" s="20" t="s">
        <v>99</v>
      </c>
      <c r="U1627" s="21" t="s">
        <v>34</v>
      </c>
      <c r="V1627" s="22" t="s">
        <v>53</v>
      </c>
      <c r="W1627" s="23">
        <v>3</v>
      </c>
      <c r="X1627" s="24"/>
    </row>
    <row r="1628" spans="1:24" s="1" customFormat="1" ht="108" customHeight="1" x14ac:dyDescent="0.3">
      <c r="A1628" s="11" t="s">
        <v>1986</v>
      </c>
      <c r="B1628" s="11" t="s">
        <v>2358</v>
      </c>
      <c r="C1628" s="12" t="s">
        <v>2375</v>
      </c>
      <c r="D1628" s="13"/>
      <c r="E1628" s="67" t="str">
        <f>HYPERLINK("https://www.google.ru/search?q=CT82M-2&amp;newwindow=1&amp;tbm=isch","Еще фото")</f>
        <v>Еще фото</v>
      </c>
      <c r="F1628" s="14"/>
      <c r="G1628" s="11" t="s">
        <v>315</v>
      </c>
      <c r="H1628" s="11" t="s">
        <v>27</v>
      </c>
      <c r="I1628" s="15" t="s">
        <v>316</v>
      </c>
      <c r="J1628" s="15" t="s">
        <v>162</v>
      </c>
      <c r="K1628" s="16" t="s">
        <v>45</v>
      </c>
      <c r="L1628" s="15" t="s">
        <v>2360</v>
      </c>
      <c r="M1628" s="15"/>
      <c r="N1628" s="15" t="s">
        <v>218</v>
      </c>
      <c r="O1628" s="15"/>
      <c r="P1628" s="16" t="s">
        <v>2353</v>
      </c>
      <c r="Q1628" s="17">
        <v>5999</v>
      </c>
      <c r="R1628" s="18">
        <v>46.66</v>
      </c>
      <c r="S1628" s="19">
        <v>3679.9884999999995</v>
      </c>
      <c r="T1628" s="20" t="s">
        <v>99</v>
      </c>
      <c r="U1628" s="21" t="s">
        <v>34</v>
      </c>
      <c r="V1628" s="22" t="s">
        <v>53</v>
      </c>
      <c r="W1628" s="23">
        <v>1</v>
      </c>
      <c r="X1628" s="24"/>
    </row>
    <row r="1629" spans="1:24" s="1" customFormat="1" ht="108" customHeight="1" x14ac:dyDescent="0.3">
      <c r="A1629" s="11" t="s">
        <v>1986</v>
      </c>
      <c r="B1629" s="11" t="s">
        <v>2376</v>
      </c>
      <c r="C1629" s="12" t="s">
        <v>2377</v>
      </c>
      <c r="D1629" s="13"/>
      <c r="E1629" s="67" t="str">
        <f>HYPERLINK("https://www.google.ru/search?q=C821W-5&amp;newwindow=1&amp;tbm=isch","Еще фото")</f>
        <v>Еще фото</v>
      </c>
      <c r="F1629" s="14"/>
      <c r="G1629" s="11" t="s">
        <v>2378</v>
      </c>
      <c r="H1629" s="11" t="s">
        <v>27</v>
      </c>
      <c r="I1629" s="15" t="s">
        <v>316</v>
      </c>
      <c r="J1629" s="15" t="s">
        <v>162</v>
      </c>
      <c r="K1629" s="16" t="s">
        <v>29</v>
      </c>
      <c r="L1629" s="15" t="s">
        <v>2379</v>
      </c>
      <c r="M1629" s="15"/>
      <c r="N1629" s="15" t="s">
        <v>38</v>
      </c>
      <c r="O1629" s="15" t="s">
        <v>400</v>
      </c>
      <c r="P1629" s="16" t="s">
        <v>2380</v>
      </c>
      <c r="Q1629" s="17">
        <v>5569</v>
      </c>
      <c r="R1629" s="18">
        <v>46.13</v>
      </c>
      <c r="S1629" s="19">
        <v>3449.9884999999995</v>
      </c>
      <c r="T1629" s="20" t="s">
        <v>99</v>
      </c>
      <c r="U1629" s="21" t="s">
        <v>442</v>
      </c>
      <c r="V1629" s="22" t="s">
        <v>1910</v>
      </c>
      <c r="W1629" s="23">
        <v>1</v>
      </c>
      <c r="X1629" s="24"/>
    </row>
    <row r="1630" spans="1:24" s="1" customFormat="1" ht="26" customHeight="1" x14ac:dyDescent="0.3">
      <c r="A1630" s="11" t="s">
        <v>1986</v>
      </c>
      <c r="B1630" s="11" t="s">
        <v>2361</v>
      </c>
      <c r="C1630" s="12" t="s">
        <v>2381</v>
      </c>
      <c r="D1630" s="85"/>
      <c r="E1630" s="67" t="str">
        <f>HYPERLINK("https://www.google.ru/search?q=C801M-5&amp;newwindow=1&amp;tbm=isch","Еще фото")</f>
        <v>Еще фото</v>
      </c>
      <c r="F1630" s="14"/>
      <c r="G1630" s="11" t="s">
        <v>2382</v>
      </c>
      <c r="H1630" s="11" t="s">
        <v>27</v>
      </c>
      <c r="I1630" s="15" t="s">
        <v>316</v>
      </c>
      <c r="J1630" s="15" t="s">
        <v>162</v>
      </c>
      <c r="K1630" s="16" t="s">
        <v>45</v>
      </c>
      <c r="L1630" s="83" t="s">
        <v>2383</v>
      </c>
      <c r="M1630" s="15"/>
      <c r="N1630" s="15" t="s">
        <v>38</v>
      </c>
      <c r="O1630" s="15"/>
      <c r="P1630" s="16" t="s">
        <v>2380</v>
      </c>
      <c r="Q1630" s="17">
        <v>6399</v>
      </c>
      <c r="R1630" s="18">
        <v>40</v>
      </c>
      <c r="S1630" s="19">
        <v>4415.3099999999995</v>
      </c>
      <c r="T1630" s="20" t="s">
        <v>99</v>
      </c>
      <c r="U1630" s="21" t="s">
        <v>34</v>
      </c>
      <c r="V1630" s="22" t="s">
        <v>53</v>
      </c>
      <c r="W1630" s="23">
        <v>1</v>
      </c>
      <c r="X1630" s="24"/>
    </row>
    <row r="1631" spans="1:24" s="1" customFormat="1" ht="26" customHeight="1" x14ac:dyDescent="0.3">
      <c r="A1631" s="25" t="s">
        <v>1986</v>
      </c>
      <c r="B1631" s="25" t="s">
        <v>2361</v>
      </c>
      <c r="C1631" s="12" t="s">
        <v>2381</v>
      </c>
      <c r="D1631" s="86"/>
      <c r="E1631" s="67" t="str">
        <f>HYPERLINK("https://www.google.ru/search?q=C801M-5&amp;newwindow=1&amp;tbm=isch","Еще фото")</f>
        <v>Еще фото</v>
      </c>
      <c r="F1631" s="14"/>
      <c r="G1631" s="25" t="s">
        <v>2382</v>
      </c>
      <c r="H1631" s="25" t="s">
        <v>27</v>
      </c>
      <c r="I1631" s="25" t="s">
        <v>316</v>
      </c>
      <c r="J1631" s="15" t="s">
        <v>162</v>
      </c>
      <c r="K1631" s="16" t="s">
        <v>45</v>
      </c>
      <c r="L1631" s="88"/>
      <c r="M1631" s="15"/>
      <c r="N1631" s="15" t="s">
        <v>38</v>
      </c>
      <c r="O1631" s="15"/>
      <c r="P1631" s="16" t="s">
        <v>2380</v>
      </c>
      <c r="Q1631" s="17">
        <v>6399</v>
      </c>
      <c r="R1631" s="18">
        <v>40</v>
      </c>
      <c r="S1631" s="19">
        <v>4415.3099999999995</v>
      </c>
      <c r="T1631" s="20" t="s">
        <v>99</v>
      </c>
      <c r="U1631" s="21" t="s">
        <v>52</v>
      </c>
      <c r="V1631" s="22" t="s">
        <v>41</v>
      </c>
      <c r="W1631" s="23">
        <v>6</v>
      </c>
      <c r="X1631" s="24"/>
    </row>
    <row r="1632" spans="1:24" s="1" customFormat="1" ht="26" customHeight="1" x14ac:dyDescent="0.3">
      <c r="A1632" s="25" t="s">
        <v>1986</v>
      </c>
      <c r="B1632" s="25" t="s">
        <v>2361</v>
      </c>
      <c r="C1632" s="12" t="s">
        <v>2381</v>
      </c>
      <c r="D1632" s="86"/>
      <c r="E1632" s="67" t="str">
        <f>HYPERLINK("https://www.google.ru/search?q=C801M-5&amp;newwindow=1&amp;tbm=isch","Еще фото")</f>
        <v>Еще фото</v>
      </c>
      <c r="F1632" s="14"/>
      <c r="G1632" s="25" t="s">
        <v>2382</v>
      </c>
      <c r="H1632" s="25" t="s">
        <v>27</v>
      </c>
      <c r="I1632" s="25" t="s">
        <v>316</v>
      </c>
      <c r="J1632" s="15" t="s">
        <v>162</v>
      </c>
      <c r="K1632" s="16" t="s">
        <v>45</v>
      </c>
      <c r="L1632" s="88"/>
      <c r="M1632" s="15"/>
      <c r="N1632" s="15" t="s">
        <v>38</v>
      </c>
      <c r="O1632" s="15"/>
      <c r="P1632" s="16" t="s">
        <v>2380</v>
      </c>
      <c r="Q1632" s="17">
        <v>6399</v>
      </c>
      <c r="R1632" s="18">
        <v>40</v>
      </c>
      <c r="S1632" s="19">
        <v>4415.3099999999995</v>
      </c>
      <c r="T1632" s="20" t="s">
        <v>99</v>
      </c>
      <c r="U1632" s="21" t="s">
        <v>40</v>
      </c>
      <c r="V1632" s="22" t="s">
        <v>43</v>
      </c>
      <c r="W1632" s="23">
        <v>6</v>
      </c>
      <c r="X1632" s="24"/>
    </row>
    <row r="1633" spans="1:24" s="1" customFormat="1" ht="26" customHeight="1" x14ac:dyDescent="0.3">
      <c r="A1633" s="25" t="s">
        <v>1986</v>
      </c>
      <c r="B1633" s="25" t="s">
        <v>2361</v>
      </c>
      <c r="C1633" s="12" t="s">
        <v>2381</v>
      </c>
      <c r="D1633" s="87"/>
      <c r="E1633" s="67" t="str">
        <f>HYPERLINK("https://www.google.ru/search?q=C801M-5&amp;newwindow=1&amp;tbm=isch","Еще фото")</f>
        <v>Еще фото</v>
      </c>
      <c r="F1633" s="14"/>
      <c r="G1633" s="25" t="s">
        <v>2382</v>
      </c>
      <c r="H1633" s="25" t="s">
        <v>27</v>
      </c>
      <c r="I1633" s="25" t="s">
        <v>316</v>
      </c>
      <c r="J1633" s="15" t="s">
        <v>162</v>
      </c>
      <c r="K1633" s="16" t="s">
        <v>45</v>
      </c>
      <c r="L1633" s="84"/>
      <c r="M1633" s="15"/>
      <c r="N1633" s="15" t="s">
        <v>38</v>
      </c>
      <c r="O1633" s="15"/>
      <c r="P1633" s="16" t="s">
        <v>2380</v>
      </c>
      <c r="Q1633" s="17">
        <v>6399</v>
      </c>
      <c r="R1633" s="18">
        <v>40</v>
      </c>
      <c r="S1633" s="19">
        <v>4415.3099999999995</v>
      </c>
      <c r="T1633" s="20" t="s">
        <v>99</v>
      </c>
      <c r="U1633" s="21" t="s">
        <v>42</v>
      </c>
      <c r="V1633" s="22" t="s">
        <v>48</v>
      </c>
      <c r="W1633" s="23">
        <v>2</v>
      </c>
      <c r="X1633" s="24"/>
    </row>
    <row r="1634" spans="1:24" s="1" customFormat="1" ht="108" customHeight="1" x14ac:dyDescent="0.3">
      <c r="A1634" s="11" t="s">
        <v>1986</v>
      </c>
      <c r="B1634" s="11" t="s">
        <v>2384</v>
      </c>
      <c r="C1634" s="12" t="s">
        <v>2385</v>
      </c>
      <c r="D1634" s="13"/>
      <c r="E1634" s="67" t="str">
        <f>HYPERLINK("https://www.google.ru/search?q=CB941U-0&amp;newwindow=1&amp;tbm=isch","Еще фото")</f>
        <v>Еще фото</v>
      </c>
      <c r="F1634" s="14"/>
      <c r="G1634" s="11" t="s">
        <v>2386</v>
      </c>
      <c r="H1634" s="11" t="s">
        <v>69</v>
      </c>
      <c r="I1634" s="15" t="s">
        <v>2387</v>
      </c>
      <c r="J1634" s="15" t="s">
        <v>162</v>
      </c>
      <c r="K1634" s="16" t="s">
        <v>71</v>
      </c>
      <c r="L1634" s="15" t="s">
        <v>2388</v>
      </c>
      <c r="M1634" s="15"/>
      <c r="N1634" s="15" t="s">
        <v>173</v>
      </c>
      <c r="O1634" s="15"/>
      <c r="P1634" s="16" t="s">
        <v>106</v>
      </c>
      <c r="Q1634" s="17">
        <v>3199</v>
      </c>
      <c r="R1634" s="18">
        <v>67.87</v>
      </c>
      <c r="S1634" s="19">
        <v>1181.9354999999998</v>
      </c>
      <c r="T1634" s="20" t="s">
        <v>75</v>
      </c>
      <c r="U1634" s="21" t="s">
        <v>2013</v>
      </c>
      <c r="V1634" s="22" t="s">
        <v>77</v>
      </c>
      <c r="W1634" s="23">
        <v>17</v>
      </c>
      <c r="X1634" s="24"/>
    </row>
    <row r="1635" spans="1:24" s="1" customFormat="1" ht="108" customHeight="1" x14ac:dyDescent="0.3">
      <c r="A1635" s="11" t="s">
        <v>1986</v>
      </c>
      <c r="B1635" s="11" t="s">
        <v>2384</v>
      </c>
      <c r="C1635" s="12" t="s">
        <v>2389</v>
      </c>
      <c r="D1635" s="13"/>
      <c r="E1635" s="67" t="str">
        <f>HYPERLINK("https://www.google.ru/search?q=CB941U-3&amp;newwindow=1&amp;tbm=isch","Еще фото")</f>
        <v>Еще фото</v>
      </c>
      <c r="F1635" s="14"/>
      <c r="G1635" s="11" t="s">
        <v>2386</v>
      </c>
      <c r="H1635" s="11" t="s">
        <v>69</v>
      </c>
      <c r="I1635" s="15" t="s">
        <v>2387</v>
      </c>
      <c r="J1635" s="15" t="s">
        <v>162</v>
      </c>
      <c r="K1635" s="16" t="s">
        <v>71</v>
      </c>
      <c r="L1635" s="15" t="s">
        <v>2388</v>
      </c>
      <c r="M1635" s="15"/>
      <c r="N1635" s="15" t="s">
        <v>31</v>
      </c>
      <c r="O1635" s="15"/>
      <c r="P1635" s="16" t="s">
        <v>106</v>
      </c>
      <c r="Q1635" s="17">
        <v>3199</v>
      </c>
      <c r="R1635" s="18">
        <v>40</v>
      </c>
      <c r="S1635" s="19">
        <v>2207.31</v>
      </c>
      <c r="T1635" s="20" t="s">
        <v>75</v>
      </c>
      <c r="U1635" s="21" t="s">
        <v>2013</v>
      </c>
      <c r="V1635" s="22" t="s">
        <v>77</v>
      </c>
      <c r="W1635" s="23">
        <v>7</v>
      </c>
      <c r="X1635" s="24"/>
    </row>
    <row r="1636" spans="1:24" s="1" customFormat="1" ht="108" customHeight="1" x14ac:dyDescent="0.3">
      <c r="A1636" s="11" t="s">
        <v>1986</v>
      </c>
      <c r="B1636" s="11" t="s">
        <v>2384</v>
      </c>
      <c r="C1636" s="12" t="s">
        <v>2390</v>
      </c>
      <c r="D1636" s="13"/>
      <c r="E1636" s="67" t="str">
        <f>HYPERLINK("https://www.google.ru/search?q=CB941U-5&amp;newwindow=1&amp;tbm=isch","Еще фото")</f>
        <v>Еще фото</v>
      </c>
      <c r="F1636" s="14"/>
      <c r="G1636" s="11" t="s">
        <v>2386</v>
      </c>
      <c r="H1636" s="11" t="s">
        <v>69</v>
      </c>
      <c r="I1636" s="15" t="s">
        <v>2387</v>
      </c>
      <c r="J1636" s="15" t="s">
        <v>162</v>
      </c>
      <c r="K1636" s="16" t="s">
        <v>71</v>
      </c>
      <c r="L1636" s="15" t="s">
        <v>2388</v>
      </c>
      <c r="M1636" s="15"/>
      <c r="N1636" s="15" t="s">
        <v>38</v>
      </c>
      <c r="O1636" s="15"/>
      <c r="P1636" s="16" t="s">
        <v>106</v>
      </c>
      <c r="Q1636" s="17">
        <v>3199</v>
      </c>
      <c r="R1636" s="18">
        <v>40</v>
      </c>
      <c r="S1636" s="19">
        <v>2207.31</v>
      </c>
      <c r="T1636" s="20" t="s">
        <v>75</v>
      </c>
      <c r="U1636" s="21" t="s">
        <v>2013</v>
      </c>
      <c r="V1636" s="22" t="s">
        <v>77</v>
      </c>
      <c r="W1636" s="23">
        <v>4</v>
      </c>
      <c r="X1636" s="24"/>
    </row>
    <row r="1637" spans="1:24" s="1" customFormat="1" ht="108" customHeight="1" x14ac:dyDescent="0.3">
      <c r="A1637" s="11" t="s">
        <v>1986</v>
      </c>
      <c r="B1637" s="11" t="s">
        <v>2391</v>
      </c>
      <c r="C1637" s="12" t="s">
        <v>2392</v>
      </c>
      <c r="D1637" s="13"/>
      <c r="E1637" s="67" t="str">
        <f>HYPERLINK("https://www.google.ru/search?q=CB947U-0&amp;newwindow=1&amp;tbm=isch","Еще фото")</f>
        <v>Еще фото</v>
      </c>
      <c r="F1637" s="14"/>
      <c r="G1637" s="11" t="s">
        <v>2393</v>
      </c>
      <c r="H1637" s="11" t="s">
        <v>69</v>
      </c>
      <c r="I1637" s="15" t="s">
        <v>2394</v>
      </c>
      <c r="J1637" s="15" t="s">
        <v>28</v>
      </c>
      <c r="K1637" s="16" t="s">
        <v>71</v>
      </c>
      <c r="L1637" s="15" t="s">
        <v>2395</v>
      </c>
      <c r="M1637" s="15"/>
      <c r="N1637" s="15" t="s">
        <v>173</v>
      </c>
      <c r="O1637" s="15"/>
      <c r="P1637" s="16" t="s">
        <v>1055</v>
      </c>
      <c r="Q1637" s="17">
        <v>2419</v>
      </c>
      <c r="R1637" s="18">
        <v>40</v>
      </c>
      <c r="S1637" s="19">
        <v>1669.11</v>
      </c>
      <c r="T1637" s="20" t="s">
        <v>75</v>
      </c>
      <c r="U1637" s="21" t="s">
        <v>2013</v>
      </c>
      <c r="V1637" s="22" t="s">
        <v>77</v>
      </c>
      <c r="W1637" s="23">
        <v>2</v>
      </c>
      <c r="X1637" s="24"/>
    </row>
    <row r="1638" spans="1:24" s="1" customFormat="1" ht="108" customHeight="1" x14ac:dyDescent="0.3">
      <c r="A1638" s="11" t="s">
        <v>1986</v>
      </c>
      <c r="B1638" s="11" t="s">
        <v>2391</v>
      </c>
      <c r="C1638" s="12" t="s">
        <v>2396</v>
      </c>
      <c r="D1638" s="13"/>
      <c r="E1638" s="67" t="str">
        <f>HYPERLINK("https://www.google.ru/search?q=CB947U-3&amp;newwindow=1&amp;tbm=isch","Еще фото")</f>
        <v>Еще фото</v>
      </c>
      <c r="F1638" s="14"/>
      <c r="G1638" s="11" t="s">
        <v>2393</v>
      </c>
      <c r="H1638" s="11" t="s">
        <v>69</v>
      </c>
      <c r="I1638" s="15" t="s">
        <v>2394</v>
      </c>
      <c r="J1638" s="15" t="s">
        <v>28</v>
      </c>
      <c r="K1638" s="16" t="s">
        <v>71</v>
      </c>
      <c r="L1638" s="15" t="s">
        <v>2395</v>
      </c>
      <c r="M1638" s="15"/>
      <c r="N1638" s="15" t="s">
        <v>31</v>
      </c>
      <c r="O1638" s="15"/>
      <c r="P1638" s="16" t="s">
        <v>1055</v>
      </c>
      <c r="Q1638" s="17">
        <v>2419</v>
      </c>
      <c r="R1638" s="18">
        <v>40</v>
      </c>
      <c r="S1638" s="19">
        <v>1669.11</v>
      </c>
      <c r="T1638" s="20" t="s">
        <v>75</v>
      </c>
      <c r="U1638" s="21" t="s">
        <v>2013</v>
      </c>
      <c r="V1638" s="22" t="s">
        <v>77</v>
      </c>
      <c r="W1638" s="23">
        <v>5</v>
      </c>
      <c r="X1638" s="24"/>
    </row>
    <row r="1639" spans="1:24" s="1" customFormat="1" ht="108" customHeight="1" x14ac:dyDescent="0.3">
      <c r="A1639" s="11" t="s">
        <v>1986</v>
      </c>
      <c r="B1639" s="11" t="s">
        <v>2391</v>
      </c>
      <c r="C1639" s="12" t="s">
        <v>2397</v>
      </c>
      <c r="D1639" s="13"/>
      <c r="E1639" s="67" t="str">
        <f>HYPERLINK("https://www.google.ru/search?q=CB947U-5&amp;newwindow=1&amp;tbm=isch","Еще фото")</f>
        <v>Еще фото</v>
      </c>
      <c r="F1639" s="14"/>
      <c r="G1639" s="11" t="s">
        <v>2393</v>
      </c>
      <c r="H1639" s="11" t="s">
        <v>69</v>
      </c>
      <c r="I1639" s="15" t="s">
        <v>2394</v>
      </c>
      <c r="J1639" s="15" t="s">
        <v>28</v>
      </c>
      <c r="K1639" s="16" t="s">
        <v>71</v>
      </c>
      <c r="L1639" s="15" t="s">
        <v>2395</v>
      </c>
      <c r="M1639" s="15"/>
      <c r="N1639" s="15" t="s">
        <v>38</v>
      </c>
      <c r="O1639" s="15"/>
      <c r="P1639" s="16" t="s">
        <v>1055</v>
      </c>
      <c r="Q1639" s="17">
        <v>2419</v>
      </c>
      <c r="R1639" s="18">
        <v>40</v>
      </c>
      <c r="S1639" s="19">
        <v>1669.11</v>
      </c>
      <c r="T1639" s="20" t="s">
        <v>75</v>
      </c>
      <c r="U1639" s="21" t="s">
        <v>2013</v>
      </c>
      <c r="V1639" s="22" t="s">
        <v>77</v>
      </c>
      <c r="W1639" s="23">
        <v>1</v>
      </c>
      <c r="X1639" s="24"/>
    </row>
    <row r="1640" spans="1:24" s="1" customFormat="1" ht="108" customHeight="1" x14ac:dyDescent="0.3">
      <c r="A1640" s="11" t="s">
        <v>1986</v>
      </c>
      <c r="B1640" s="11" t="s">
        <v>2391</v>
      </c>
      <c r="C1640" s="12" t="s">
        <v>2398</v>
      </c>
      <c r="D1640" s="13"/>
      <c r="E1640" s="67" t="str">
        <f>HYPERLINK("https://www.google.ru/search?q=CB947U-H&amp;newwindow=1&amp;tbm=isch","Еще фото")</f>
        <v>Еще фото</v>
      </c>
      <c r="F1640" s="14"/>
      <c r="G1640" s="11" t="s">
        <v>2393</v>
      </c>
      <c r="H1640" s="11" t="s">
        <v>69</v>
      </c>
      <c r="I1640" s="15" t="s">
        <v>2394</v>
      </c>
      <c r="J1640" s="15" t="s">
        <v>28</v>
      </c>
      <c r="K1640" s="16" t="s">
        <v>71</v>
      </c>
      <c r="L1640" s="15" t="s">
        <v>2395</v>
      </c>
      <c r="M1640" s="15"/>
      <c r="N1640" s="15" t="s">
        <v>55</v>
      </c>
      <c r="O1640" s="15"/>
      <c r="P1640" s="16" t="s">
        <v>1055</v>
      </c>
      <c r="Q1640" s="17">
        <v>2419</v>
      </c>
      <c r="R1640" s="18">
        <v>40</v>
      </c>
      <c r="S1640" s="19">
        <v>1669.11</v>
      </c>
      <c r="T1640" s="20" t="s">
        <v>75</v>
      </c>
      <c r="U1640" s="21" t="s">
        <v>2013</v>
      </c>
      <c r="V1640" s="22" t="s">
        <v>77</v>
      </c>
      <c r="W1640" s="23">
        <v>2</v>
      </c>
      <c r="X1640" s="24"/>
    </row>
    <row r="1641" spans="1:24" s="1" customFormat="1" ht="21" customHeight="1" x14ac:dyDescent="0.3">
      <c r="A1641" s="11" t="s">
        <v>1986</v>
      </c>
      <c r="B1641" s="11" t="s">
        <v>2399</v>
      </c>
      <c r="C1641" s="27" t="s">
        <v>2400</v>
      </c>
      <c r="D1641" s="85"/>
      <c r="E1641" s="67" t="str">
        <f>HYPERLINK("https://www.google.ru/search?q=C48W-5&amp;newwindow=1&amp;tbm=isch","Еще фото")</f>
        <v>Еще фото</v>
      </c>
      <c r="F1641" s="14"/>
      <c r="G1641" s="11" t="s">
        <v>2401</v>
      </c>
      <c r="H1641" s="11" t="s">
        <v>27</v>
      </c>
      <c r="I1641" s="15" t="s">
        <v>439</v>
      </c>
      <c r="J1641" s="15" t="s">
        <v>162</v>
      </c>
      <c r="K1641" s="16" t="s">
        <v>29</v>
      </c>
      <c r="L1641" s="83" t="s">
        <v>2402</v>
      </c>
      <c r="M1641" s="15" t="s">
        <v>2403</v>
      </c>
      <c r="N1641" s="15" t="s">
        <v>38</v>
      </c>
      <c r="O1641" s="15" t="s">
        <v>400</v>
      </c>
      <c r="P1641" s="16" t="s">
        <v>2404</v>
      </c>
      <c r="Q1641" s="17">
        <v>12609</v>
      </c>
      <c r="R1641" s="18">
        <v>64.88</v>
      </c>
      <c r="S1641" s="19">
        <v>5091.9355000000005</v>
      </c>
      <c r="T1641" s="20" t="s">
        <v>99</v>
      </c>
      <c r="U1641" s="21" t="s">
        <v>40</v>
      </c>
      <c r="V1641" s="22" t="s">
        <v>41</v>
      </c>
      <c r="W1641" s="23">
        <v>4</v>
      </c>
      <c r="X1641" s="24"/>
    </row>
    <row r="1642" spans="1:24" s="1" customFormat="1" ht="21" customHeight="1" x14ac:dyDescent="0.3">
      <c r="A1642" s="25" t="s">
        <v>1986</v>
      </c>
      <c r="B1642" s="25" t="s">
        <v>2399</v>
      </c>
      <c r="C1642" s="28" t="s">
        <v>2400</v>
      </c>
      <c r="D1642" s="86"/>
      <c r="E1642" s="67" t="str">
        <f>HYPERLINK("https://www.google.ru/search?q=C48W-5&amp;newwindow=1&amp;tbm=isch","Еще фото")</f>
        <v>Еще фото</v>
      </c>
      <c r="F1642" s="14"/>
      <c r="G1642" s="25" t="s">
        <v>2401</v>
      </c>
      <c r="H1642" s="25" t="s">
        <v>27</v>
      </c>
      <c r="I1642" s="25" t="s">
        <v>439</v>
      </c>
      <c r="J1642" s="15" t="s">
        <v>162</v>
      </c>
      <c r="K1642" s="16" t="s">
        <v>29</v>
      </c>
      <c r="L1642" s="88"/>
      <c r="M1642" s="15" t="s">
        <v>2403</v>
      </c>
      <c r="N1642" s="15" t="s">
        <v>38</v>
      </c>
      <c r="O1642" s="15" t="s">
        <v>400</v>
      </c>
      <c r="P1642" s="16" t="s">
        <v>2404</v>
      </c>
      <c r="Q1642" s="17">
        <v>12609</v>
      </c>
      <c r="R1642" s="18">
        <v>64.88</v>
      </c>
      <c r="S1642" s="19">
        <v>5091.9355000000005</v>
      </c>
      <c r="T1642" s="20" t="s">
        <v>99</v>
      </c>
      <c r="U1642" s="21" t="s">
        <v>52</v>
      </c>
      <c r="V1642" s="22" t="s">
        <v>2405</v>
      </c>
      <c r="W1642" s="23">
        <v>13</v>
      </c>
      <c r="X1642" s="24"/>
    </row>
    <row r="1643" spans="1:24" s="1" customFormat="1" ht="21" customHeight="1" x14ac:dyDescent="0.3">
      <c r="A1643" s="25" t="s">
        <v>1986</v>
      </c>
      <c r="B1643" s="25" t="s">
        <v>2399</v>
      </c>
      <c r="C1643" s="28" t="s">
        <v>2400</v>
      </c>
      <c r="D1643" s="86"/>
      <c r="E1643" s="67" t="str">
        <f>HYPERLINK("https://www.google.ru/search?q=C48W-5&amp;newwindow=1&amp;tbm=isch","Еще фото")</f>
        <v>Еще фото</v>
      </c>
      <c r="F1643" s="14"/>
      <c r="G1643" s="25" t="s">
        <v>2401</v>
      </c>
      <c r="H1643" s="25" t="s">
        <v>27</v>
      </c>
      <c r="I1643" s="25" t="s">
        <v>439</v>
      </c>
      <c r="J1643" s="15" t="s">
        <v>162</v>
      </c>
      <c r="K1643" s="16" t="s">
        <v>29</v>
      </c>
      <c r="L1643" s="88"/>
      <c r="M1643" s="15" t="s">
        <v>2403</v>
      </c>
      <c r="N1643" s="15" t="s">
        <v>38</v>
      </c>
      <c r="O1643" s="15" t="s">
        <v>400</v>
      </c>
      <c r="P1643" s="16" t="s">
        <v>2404</v>
      </c>
      <c r="Q1643" s="17">
        <v>12609</v>
      </c>
      <c r="R1643" s="18">
        <v>64.88</v>
      </c>
      <c r="S1643" s="19">
        <v>5091.9355000000005</v>
      </c>
      <c r="T1643" s="20" t="s">
        <v>99</v>
      </c>
      <c r="U1643" s="21" t="s">
        <v>34</v>
      </c>
      <c r="V1643" s="22" t="s">
        <v>35</v>
      </c>
      <c r="W1643" s="23">
        <v>12</v>
      </c>
      <c r="X1643" s="24"/>
    </row>
    <row r="1644" spans="1:24" s="1" customFormat="1" ht="21" customHeight="1" x14ac:dyDescent="0.3">
      <c r="A1644" s="25" t="s">
        <v>1986</v>
      </c>
      <c r="B1644" s="25" t="s">
        <v>2399</v>
      </c>
      <c r="C1644" s="28" t="s">
        <v>2400</v>
      </c>
      <c r="D1644" s="86"/>
      <c r="E1644" s="67" t="str">
        <f>HYPERLINK("https://www.google.ru/search?q=C48W-5&amp;newwindow=1&amp;tbm=isch","Еще фото")</f>
        <v>Еще фото</v>
      </c>
      <c r="F1644" s="14"/>
      <c r="G1644" s="25" t="s">
        <v>2401</v>
      </c>
      <c r="H1644" s="25" t="s">
        <v>27</v>
      </c>
      <c r="I1644" s="25" t="s">
        <v>439</v>
      </c>
      <c r="J1644" s="15" t="s">
        <v>162</v>
      </c>
      <c r="K1644" s="16" t="s">
        <v>29</v>
      </c>
      <c r="L1644" s="88"/>
      <c r="M1644" s="15" t="s">
        <v>2403</v>
      </c>
      <c r="N1644" s="15" t="s">
        <v>38</v>
      </c>
      <c r="O1644" s="15" t="s">
        <v>400</v>
      </c>
      <c r="P1644" s="16" t="s">
        <v>2404</v>
      </c>
      <c r="Q1644" s="17">
        <v>12609</v>
      </c>
      <c r="R1644" s="18">
        <v>64.88</v>
      </c>
      <c r="S1644" s="19">
        <v>5091.9355000000005</v>
      </c>
      <c r="T1644" s="20" t="s">
        <v>99</v>
      </c>
      <c r="U1644" s="21" t="s">
        <v>442</v>
      </c>
      <c r="V1644" s="22" t="s">
        <v>1910</v>
      </c>
      <c r="W1644" s="23">
        <v>3</v>
      </c>
      <c r="X1644" s="24"/>
    </row>
    <row r="1645" spans="1:24" s="1" customFormat="1" ht="32" customHeight="1" x14ac:dyDescent="0.3">
      <c r="A1645" s="25" t="s">
        <v>1986</v>
      </c>
      <c r="B1645" s="25" t="s">
        <v>2399</v>
      </c>
      <c r="C1645" s="28" t="s">
        <v>2400</v>
      </c>
      <c r="D1645" s="87"/>
      <c r="E1645" s="67" t="str">
        <f>HYPERLINK("https://www.google.ru/search?q=C48W-5&amp;newwindow=1&amp;tbm=isch","Еще фото")</f>
        <v>Еще фото</v>
      </c>
      <c r="F1645" s="14"/>
      <c r="G1645" s="25" t="s">
        <v>2401</v>
      </c>
      <c r="H1645" s="25" t="s">
        <v>27</v>
      </c>
      <c r="I1645" s="25" t="s">
        <v>439</v>
      </c>
      <c r="J1645" s="15" t="s">
        <v>162</v>
      </c>
      <c r="K1645" s="16" t="s">
        <v>29</v>
      </c>
      <c r="L1645" s="84"/>
      <c r="M1645" s="15" t="s">
        <v>2403</v>
      </c>
      <c r="N1645" s="15" t="s">
        <v>38</v>
      </c>
      <c r="O1645" s="15" t="s">
        <v>400</v>
      </c>
      <c r="P1645" s="16" t="s">
        <v>2404</v>
      </c>
      <c r="Q1645" s="17">
        <v>12609</v>
      </c>
      <c r="R1645" s="18">
        <v>64.88</v>
      </c>
      <c r="S1645" s="19">
        <v>5091.9355000000005</v>
      </c>
      <c r="T1645" s="20" t="s">
        <v>99</v>
      </c>
      <c r="U1645" s="21" t="s">
        <v>42</v>
      </c>
      <c r="V1645" s="22" t="s">
        <v>43</v>
      </c>
      <c r="W1645" s="23">
        <v>1</v>
      </c>
      <c r="X1645" s="24"/>
    </row>
    <row r="1646" spans="1:24" s="1" customFormat="1" ht="52.05" customHeight="1" x14ac:dyDescent="0.3">
      <c r="A1646" s="11" t="s">
        <v>1986</v>
      </c>
      <c r="B1646" s="11" t="s">
        <v>2406</v>
      </c>
      <c r="C1646" s="12" t="s">
        <v>2407</v>
      </c>
      <c r="D1646" s="81"/>
      <c r="E1646" s="67" t="str">
        <f>HYPERLINK("https://www.google.ru/search?q=CT45M-N&amp;newwindow=1&amp;tbm=isch","Еще фото")</f>
        <v>Еще фото</v>
      </c>
      <c r="F1646" s="14"/>
      <c r="G1646" s="11" t="s">
        <v>439</v>
      </c>
      <c r="H1646" s="11" t="s">
        <v>27</v>
      </c>
      <c r="I1646" s="15" t="s">
        <v>439</v>
      </c>
      <c r="J1646" s="15" t="s">
        <v>162</v>
      </c>
      <c r="K1646" s="16" t="s">
        <v>45</v>
      </c>
      <c r="L1646" s="83" t="s">
        <v>2408</v>
      </c>
      <c r="M1646" s="15"/>
      <c r="N1646" s="15" t="s">
        <v>31</v>
      </c>
      <c r="O1646" s="15"/>
      <c r="P1646" s="16" t="s">
        <v>2409</v>
      </c>
      <c r="Q1646" s="17">
        <v>5999</v>
      </c>
      <c r="R1646" s="18">
        <v>61.53</v>
      </c>
      <c r="S1646" s="19">
        <v>2653.9354999999996</v>
      </c>
      <c r="T1646" s="20" t="s">
        <v>99</v>
      </c>
      <c r="U1646" s="21" t="s">
        <v>52</v>
      </c>
      <c r="V1646" s="22" t="s">
        <v>41</v>
      </c>
      <c r="W1646" s="23">
        <v>1</v>
      </c>
      <c r="X1646" s="24"/>
    </row>
    <row r="1647" spans="1:24" s="1" customFormat="1" ht="61.05" customHeight="1" x14ac:dyDescent="0.3">
      <c r="A1647" s="25" t="s">
        <v>1986</v>
      </c>
      <c r="B1647" s="25" t="s">
        <v>2406</v>
      </c>
      <c r="C1647" s="12" t="s">
        <v>2407</v>
      </c>
      <c r="D1647" s="82"/>
      <c r="E1647" s="67" t="str">
        <f>HYPERLINK("https://www.google.ru/search?q=CT45M-N&amp;newwindow=1&amp;tbm=isch","Еще фото")</f>
        <v>Еще фото</v>
      </c>
      <c r="F1647" s="14"/>
      <c r="G1647" s="25" t="s">
        <v>439</v>
      </c>
      <c r="H1647" s="25" t="s">
        <v>27</v>
      </c>
      <c r="I1647" s="25" t="s">
        <v>439</v>
      </c>
      <c r="J1647" s="15" t="s">
        <v>162</v>
      </c>
      <c r="K1647" s="16" t="s">
        <v>45</v>
      </c>
      <c r="L1647" s="84"/>
      <c r="M1647" s="15"/>
      <c r="N1647" s="15" t="s">
        <v>31</v>
      </c>
      <c r="O1647" s="15"/>
      <c r="P1647" s="16" t="s">
        <v>2409</v>
      </c>
      <c r="Q1647" s="17">
        <v>5999</v>
      </c>
      <c r="R1647" s="18">
        <v>61.53</v>
      </c>
      <c r="S1647" s="19">
        <v>2653.9354999999996</v>
      </c>
      <c r="T1647" s="20" t="s">
        <v>99</v>
      </c>
      <c r="U1647" s="21" t="s">
        <v>40</v>
      </c>
      <c r="V1647" s="22" t="s">
        <v>43</v>
      </c>
      <c r="W1647" s="23">
        <v>3</v>
      </c>
      <c r="X1647" s="24"/>
    </row>
    <row r="1648" spans="1:24" s="1" customFormat="1" ht="21" customHeight="1" x14ac:dyDescent="0.3">
      <c r="A1648" s="11" t="s">
        <v>1986</v>
      </c>
      <c r="B1648" s="11" t="s">
        <v>2399</v>
      </c>
      <c r="C1648" s="27" t="s">
        <v>2410</v>
      </c>
      <c r="D1648" s="85"/>
      <c r="E1648" s="67" t="str">
        <f>HYPERLINK("https://www.google.ru/search?q=C48M-5&amp;newwindow=1&amp;tbm=isch","Еще фото")</f>
        <v>Еще фото</v>
      </c>
      <c r="F1648" s="14"/>
      <c r="G1648" s="11" t="s">
        <v>2411</v>
      </c>
      <c r="H1648" s="11" t="s">
        <v>27</v>
      </c>
      <c r="I1648" s="15" t="s">
        <v>439</v>
      </c>
      <c r="J1648" s="15" t="s">
        <v>162</v>
      </c>
      <c r="K1648" s="16" t="s">
        <v>45</v>
      </c>
      <c r="L1648" s="83" t="s">
        <v>2402</v>
      </c>
      <c r="M1648" s="15"/>
      <c r="N1648" s="15" t="s">
        <v>38</v>
      </c>
      <c r="O1648" s="15"/>
      <c r="P1648" s="16" t="s">
        <v>2412</v>
      </c>
      <c r="Q1648" s="17">
        <v>12609</v>
      </c>
      <c r="R1648" s="18">
        <v>55.76</v>
      </c>
      <c r="S1648" s="19">
        <v>6414.4354999999996</v>
      </c>
      <c r="T1648" s="20" t="s">
        <v>99</v>
      </c>
      <c r="U1648" s="21" t="s">
        <v>34</v>
      </c>
      <c r="V1648" s="22" t="s">
        <v>53</v>
      </c>
      <c r="W1648" s="23">
        <v>11</v>
      </c>
      <c r="X1648" s="24"/>
    </row>
    <row r="1649" spans="1:24" s="1" customFormat="1" ht="21" customHeight="1" x14ac:dyDescent="0.3">
      <c r="A1649" s="25" t="s">
        <v>1986</v>
      </c>
      <c r="B1649" s="25" t="s">
        <v>2399</v>
      </c>
      <c r="C1649" s="28" t="s">
        <v>2410</v>
      </c>
      <c r="D1649" s="86"/>
      <c r="E1649" s="67" t="str">
        <f>HYPERLINK("https://www.google.ru/search?q=C48M-5&amp;newwindow=1&amp;tbm=isch","Еще фото")</f>
        <v>Еще фото</v>
      </c>
      <c r="F1649" s="14"/>
      <c r="G1649" s="25" t="s">
        <v>2411</v>
      </c>
      <c r="H1649" s="25" t="s">
        <v>27</v>
      </c>
      <c r="I1649" s="25" t="s">
        <v>439</v>
      </c>
      <c r="J1649" s="15" t="s">
        <v>162</v>
      </c>
      <c r="K1649" s="16" t="s">
        <v>45</v>
      </c>
      <c r="L1649" s="88"/>
      <c r="M1649" s="15"/>
      <c r="N1649" s="15" t="s">
        <v>38</v>
      </c>
      <c r="O1649" s="15"/>
      <c r="P1649" s="16" t="s">
        <v>2412</v>
      </c>
      <c r="Q1649" s="17">
        <v>12609</v>
      </c>
      <c r="R1649" s="18">
        <v>55.76</v>
      </c>
      <c r="S1649" s="19">
        <v>6414.4354999999996</v>
      </c>
      <c r="T1649" s="20" t="s">
        <v>99</v>
      </c>
      <c r="U1649" s="21" t="s">
        <v>52</v>
      </c>
      <c r="V1649" s="22" t="s">
        <v>41</v>
      </c>
      <c r="W1649" s="23">
        <v>23</v>
      </c>
      <c r="X1649" s="24"/>
    </row>
    <row r="1650" spans="1:24" s="1" customFormat="1" ht="21" customHeight="1" x14ac:dyDescent="0.3">
      <c r="A1650" s="25" t="s">
        <v>1986</v>
      </c>
      <c r="B1650" s="25" t="s">
        <v>2399</v>
      </c>
      <c r="C1650" s="28" t="s">
        <v>2410</v>
      </c>
      <c r="D1650" s="86"/>
      <c r="E1650" s="67" t="str">
        <f>HYPERLINK("https://www.google.ru/search?q=C48M-5&amp;newwindow=1&amp;tbm=isch","Еще фото")</f>
        <v>Еще фото</v>
      </c>
      <c r="F1650" s="14"/>
      <c r="G1650" s="25" t="s">
        <v>2411</v>
      </c>
      <c r="H1650" s="25" t="s">
        <v>27</v>
      </c>
      <c r="I1650" s="25" t="s">
        <v>439</v>
      </c>
      <c r="J1650" s="15" t="s">
        <v>162</v>
      </c>
      <c r="K1650" s="16" t="s">
        <v>45</v>
      </c>
      <c r="L1650" s="88"/>
      <c r="M1650" s="15"/>
      <c r="N1650" s="15" t="s">
        <v>38</v>
      </c>
      <c r="O1650" s="15"/>
      <c r="P1650" s="16" t="s">
        <v>2412</v>
      </c>
      <c r="Q1650" s="17">
        <v>12609</v>
      </c>
      <c r="R1650" s="18">
        <v>55.76</v>
      </c>
      <c r="S1650" s="19">
        <v>6414.4354999999996</v>
      </c>
      <c r="T1650" s="20" t="s">
        <v>99</v>
      </c>
      <c r="U1650" s="21" t="s">
        <v>40</v>
      </c>
      <c r="V1650" s="22" t="s">
        <v>43</v>
      </c>
      <c r="W1650" s="23">
        <v>13</v>
      </c>
      <c r="X1650" s="24"/>
    </row>
    <row r="1651" spans="1:24" s="1" customFormat="1" ht="21" customHeight="1" x14ac:dyDescent="0.3">
      <c r="A1651" s="25" t="s">
        <v>1986</v>
      </c>
      <c r="B1651" s="25" t="s">
        <v>2399</v>
      </c>
      <c r="C1651" s="28" t="s">
        <v>2410</v>
      </c>
      <c r="D1651" s="86"/>
      <c r="E1651" s="67" t="str">
        <f>HYPERLINK("https://www.google.ru/search?q=C48M-5&amp;newwindow=1&amp;tbm=isch","Еще фото")</f>
        <v>Еще фото</v>
      </c>
      <c r="F1651" s="14"/>
      <c r="G1651" s="25" t="s">
        <v>2411</v>
      </c>
      <c r="H1651" s="25" t="s">
        <v>27</v>
      </c>
      <c r="I1651" s="25" t="s">
        <v>439</v>
      </c>
      <c r="J1651" s="15" t="s">
        <v>162</v>
      </c>
      <c r="K1651" s="16" t="s">
        <v>45</v>
      </c>
      <c r="L1651" s="88"/>
      <c r="M1651" s="15"/>
      <c r="N1651" s="15" t="s">
        <v>38</v>
      </c>
      <c r="O1651" s="15"/>
      <c r="P1651" s="16" t="s">
        <v>2412</v>
      </c>
      <c r="Q1651" s="17">
        <v>12609</v>
      </c>
      <c r="R1651" s="18">
        <v>55.76</v>
      </c>
      <c r="S1651" s="19">
        <v>6414.4354999999996</v>
      </c>
      <c r="T1651" s="20" t="s">
        <v>99</v>
      </c>
      <c r="U1651" s="21" t="s">
        <v>42</v>
      </c>
      <c r="V1651" s="22" t="s">
        <v>48</v>
      </c>
      <c r="W1651" s="23">
        <v>5</v>
      </c>
      <c r="X1651" s="24"/>
    </row>
    <row r="1652" spans="1:24" s="1" customFormat="1" ht="32" customHeight="1" x14ac:dyDescent="0.3">
      <c r="A1652" s="25" t="s">
        <v>1986</v>
      </c>
      <c r="B1652" s="25" t="s">
        <v>2399</v>
      </c>
      <c r="C1652" s="28" t="s">
        <v>2410</v>
      </c>
      <c r="D1652" s="87"/>
      <c r="E1652" s="67" t="str">
        <f>HYPERLINK("https://www.google.ru/search?q=C48M-5&amp;newwindow=1&amp;tbm=isch","Еще фото")</f>
        <v>Еще фото</v>
      </c>
      <c r="F1652" s="14"/>
      <c r="G1652" s="25" t="s">
        <v>2411</v>
      </c>
      <c r="H1652" s="25" t="s">
        <v>27</v>
      </c>
      <c r="I1652" s="25" t="s">
        <v>439</v>
      </c>
      <c r="J1652" s="15" t="s">
        <v>162</v>
      </c>
      <c r="K1652" s="16" t="s">
        <v>45</v>
      </c>
      <c r="L1652" s="84"/>
      <c r="M1652" s="15"/>
      <c r="N1652" s="15" t="s">
        <v>38</v>
      </c>
      <c r="O1652" s="15"/>
      <c r="P1652" s="16" t="s">
        <v>2412</v>
      </c>
      <c r="Q1652" s="17">
        <v>12609</v>
      </c>
      <c r="R1652" s="18">
        <v>55.76</v>
      </c>
      <c r="S1652" s="19">
        <v>6414.4354999999996</v>
      </c>
      <c r="T1652" s="20" t="s">
        <v>99</v>
      </c>
      <c r="U1652" s="21" t="s">
        <v>493</v>
      </c>
      <c r="V1652" s="22" t="s">
        <v>49</v>
      </c>
      <c r="W1652" s="23">
        <v>4</v>
      </c>
      <c r="X1652" s="24"/>
    </row>
    <row r="1653" spans="1:24" s="1" customFormat="1" ht="108" customHeight="1" x14ac:dyDescent="0.3">
      <c r="A1653" s="11" t="s">
        <v>1986</v>
      </c>
      <c r="B1653" s="11" t="s">
        <v>2413</v>
      </c>
      <c r="C1653" s="12" t="s">
        <v>2414</v>
      </c>
      <c r="D1653" s="13"/>
      <c r="E1653" s="67" t="str">
        <f>HYPERLINK("https://www.google.ru/search?q=C4UW-0&amp;newwindow=1&amp;tbm=isch","Еще фото")</f>
        <v>Еще фото</v>
      </c>
      <c r="F1653" s="14"/>
      <c r="G1653" s="11" t="s">
        <v>439</v>
      </c>
      <c r="H1653" s="11" t="s">
        <v>27</v>
      </c>
      <c r="I1653" s="15" t="s">
        <v>439</v>
      </c>
      <c r="J1653" s="15" t="s">
        <v>162</v>
      </c>
      <c r="K1653" s="16" t="s">
        <v>29</v>
      </c>
      <c r="L1653" s="15" t="s">
        <v>2415</v>
      </c>
      <c r="M1653" s="15"/>
      <c r="N1653" s="15" t="s">
        <v>173</v>
      </c>
      <c r="O1653" s="15"/>
      <c r="P1653" s="16" t="s">
        <v>2416</v>
      </c>
      <c r="Q1653" s="17">
        <v>6199</v>
      </c>
      <c r="R1653" s="18">
        <v>40</v>
      </c>
      <c r="S1653" s="19">
        <v>4277.3099999999995</v>
      </c>
      <c r="T1653" s="20" t="s">
        <v>99</v>
      </c>
      <c r="U1653" s="21" t="s">
        <v>40</v>
      </c>
      <c r="V1653" s="22" t="s">
        <v>41</v>
      </c>
      <c r="W1653" s="23">
        <v>1</v>
      </c>
      <c r="X1653" s="24"/>
    </row>
    <row r="1654" spans="1:24" s="1" customFormat="1" ht="21" customHeight="1" x14ac:dyDescent="0.3">
      <c r="A1654" s="11" t="s">
        <v>1986</v>
      </c>
      <c r="B1654" s="11" t="s">
        <v>2406</v>
      </c>
      <c r="C1654" s="27" t="s">
        <v>2417</v>
      </c>
      <c r="D1654" s="85"/>
      <c r="E1654" s="67" t="str">
        <f>HYPERLINK("https://www.google.ru/search?q=CT45M-5&amp;newwindow=1&amp;tbm=isch","Еще фото")</f>
        <v>Еще фото</v>
      </c>
      <c r="F1654" s="14"/>
      <c r="G1654" s="11" t="s">
        <v>439</v>
      </c>
      <c r="H1654" s="11" t="s">
        <v>27</v>
      </c>
      <c r="I1654" s="15" t="s">
        <v>439</v>
      </c>
      <c r="J1654" s="15" t="s">
        <v>162</v>
      </c>
      <c r="K1654" s="16" t="s">
        <v>45</v>
      </c>
      <c r="L1654" s="83" t="s">
        <v>2408</v>
      </c>
      <c r="M1654" s="15"/>
      <c r="N1654" s="15" t="s">
        <v>38</v>
      </c>
      <c r="O1654" s="15"/>
      <c r="P1654" s="16" t="s">
        <v>2409</v>
      </c>
      <c r="Q1654" s="17">
        <v>5999</v>
      </c>
      <c r="R1654" s="18">
        <v>40</v>
      </c>
      <c r="S1654" s="19">
        <v>4139.3099999999995</v>
      </c>
      <c r="T1654" s="20" t="s">
        <v>99</v>
      </c>
      <c r="U1654" s="21" t="s">
        <v>34</v>
      </c>
      <c r="V1654" s="22" t="s">
        <v>53</v>
      </c>
      <c r="W1654" s="23">
        <v>4</v>
      </c>
      <c r="X1654" s="24"/>
    </row>
    <row r="1655" spans="1:24" s="1" customFormat="1" ht="21" customHeight="1" x14ac:dyDescent="0.3">
      <c r="A1655" s="25" t="s">
        <v>1986</v>
      </c>
      <c r="B1655" s="25" t="s">
        <v>2406</v>
      </c>
      <c r="C1655" s="28" t="s">
        <v>2417</v>
      </c>
      <c r="D1655" s="86"/>
      <c r="E1655" s="67" t="str">
        <f>HYPERLINK("https://www.google.ru/search?q=CT45M-5&amp;newwindow=1&amp;tbm=isch","Еще фото")</f>
        <v>Еще фото</v>
      </c>
      <c r="F1655" s="14"/>
      <c r="G1655" s="25" t="s">
        <v>439</v>
      </c>
      <c r="H1655" s="25" t="s">
        <v>27</v>
      </c>
      <c r="I1655" s="25" t="s">
        <v>439</v>
      </c>
      <c r="J1655" s="15" t="s">
        <v>162</v>
      </c>
      <c r="K1655" s="16" t="s">
        <v>45</v>
      </c>
      <c r="L1655" s="88"/>
      <c r="M1655" s="15"/>
      <c r="N1655" s="15" t="s">
        <v>38</v>
      </c>
      <c r="O1655" s="15"/>
      <c r="P1655" s="16" t="s">
        <v>2409</v>
      </c>
      <c r="Q1655" s="17">
        <v>5999</v>
      </c>
      <c r="R1655" s="18">
        <v>40</v>
      </c>
      <c r="S1655" s="19">
        <v>4139.3099999999995</v>
      </c>
      <c r="T1655" s="20" t="s">
        <v>99</v>
      </c>
      <c r="U1655" s="21" t="s">
        <v>52</v>
      </c>
      <c r="V1655" s="22" t="s">
        <v>41</v>
      </c>
      <c r="W1655" s="23">
        <v>3</v>
      </c>
      <c r="X1655" s="24"/>
    </row>
    <row r="1656" spans="1:24" s="1" customFormat="1" ht="21" customHeight="1" x14ac:dyDescent="0.3">
      <c r="A1656" s="25" t="s">
        <v>1986</v>
      </c>
      <c r="B1656" s="25" t="s">
        <v>2406</v>
      </c>
      <c r="C1656" s="28" t="s">
        <v>2417</v>
      </c>
      <c r="D1656" s="86"/>
      <c r="E1656" s="67" t="str">
        <f>HYPERLINK("https://www.google.ru/search?q=CT45M-5&amp;newwindow=1&amp;tbm=isch","Еще фото")</f>
        <v>Еще фото</v>
      </c>
      <c r="F1656" s="14"/>
      <c r="G1656" s="25" t="s">
        <v>439</v>
      </c>
      <c r="H1656" s="25" t="s">
        <v>27</v>
      </c>
      <c r="I1656" s="25" t="s">
        <v>439</v>
      </c>
      <c r="J1656" s="15" t="s">
        <v>162</v>
      </c>
      <c r="K1656" s="16" t="s">
        <v>45</v>
      </c>
      <c r="L1656" s="88"/>
      <c r="M1656" s="15"/>
      <c r="N1656" s="15" t="s">
        <v>38</v>
      </c>
      <c r="O1656" s="15"/>
      <c r="P1656" s="16" t="s">
        <v>2409</v>
      </c>
      <c r="Q1656" s="17">
        <v>5999</v>
      </c>
      <c r="R1656" s="18">
        <v>40</v>
      </c>
      <c r="S1656" s="19">
        <v>4139.3099999999995</v>
      </c>
      <c r="T1656" s="20" t="s">
        <v>99</v>
      </c>
      <c r="U1656" s="21" t="s">
        <v>40</v>
      </c>
      <c r="V1656" s="22" t="s">
        <v>43</v>
      </c>
      <c r="W1656" s="23">
        <v>1</v>
      </c>
      <c r="X1656" s="24"/>
    </row>
    <row r="1657" spans="1:24" s="1" customFormat="1" ht="21" customHeight="1" x14ac:dyDescent="0.3">
      <c r="A1657" s="25" t="s">
        <v>1986</v>
      </c>
      <c r="B1657" s="25" t="s">
        <v>2406</v>
      </c>
      <c r="C1657" s="28" t="s">
        <v>2417</v>
      </c>
      <c r="D1657" s="86"/>
      <c r="E1657" s="67" t="str">
        <f>HYPERLINK("https://www.google.ru/search?q=CT45M-5&amp;newwindow=1&amp;tbm=isch","Еще фото")</f>
        <v>Еще фото</v>
      </c>
      <c r="F1657" s="14"/>
      <c r="G1657" s="25" t="s">
        <v>439</v>
      </c>
      <c r="H1657" s="25" t="s">
        <v>27</v>
      </c>
      <c r="I1657" s="25" t="s">
        <v>439</v>
      </c>
      <c r="J1657" s="15" t="s">
        <v>162</v>
      </c>
      <c r="K1657" s="16" t="s">
        <v>45</v>
      </c>
      <c r="L1657" s="88"/>
      <c r="M1657" s="15"/>
      <c r="N1657" s="15" t="s">
        <v>38</v>
      </c>
      <c r="O1657" s="15"/>
      <c r="P1657" s="16" t="s">
        <v>2409</v>
      </c>
      <c r="Q1657" s="17">
        <v>5999</v>
      </c>
      <c r="R1657" s="18">
        <v>40</v>
      </c>
      <c r="S1657" s="19">
        <v>4139.3099999999995</v>
      </c>
      <c r="T1657" s="20" t="s">
        <v>99</v>
      </c>
      <c r="U1657" s="21" t="s">
        <v>42</v>
      </c>
      <c r="V1657" s="22" t="s">
        <v>48</v>
      </c>
      <c r="W1657" s="23">
        <v>3</v>
      </c>
      <c r="X1657" s="24"/>
    </row>
    <row r="1658" spans="1:24" s="1" customFormat="1" ht="32" customHeight="1" x14ac:dyDescent="0.3">
      <c r="A1658" s="25" t="s">
        <v>1986</v>
      </c>
      <c r="B1658" s="25" t="s">
        <v>2406</v>
      </c>
      <c r="C1658" s="28" t="s">
        <v>2417</v>
      </c>
      <c r="D1658" s="87"/>
      <c r="E1658" s="67" t="str">
        <f>HYPERLINK("https://www.google.ru/search?q=CT45M-5&amp;newwindow=1&amp;tbm=isch","Еще фото")</f>
        <v>Еще фото</v>
      </c>
      <c r="F1658" s="14"/>
      <c r="G1658" s="25" t="s">
        <v>439</v>
      </c>
      <c r="H1658" s="25" t="s">
        <v>27</v>
      </c>
      <c r="I1658" s="25" t="s">
        <v>439</v>
      </c>
      <c r="J1658" s="15" t="s">
        <v>162</v>
      </c>
      <c r="K1658" s="16" t="s">
        <v>45</v>
      </c>
      <c r="L1658" s="84"/>
      <c r="M1658" s="15"/>
      <c r="N1658" s="15" t="s">
        <v>38</v>
      </c>
      <c r="O1658" s="15"/>
      <c r="P1658" s="16" t="s">
        <v>2409</v>
      </c>
      <c r="Q1658" s="17">
        <v>5999</v>
      </c>
      <c r="R1658" s="18">
        <v>40</v>
      </c>
      <c r="S1658" s="19">
        <v>4139.3099999999995</v>
      </c>
      <c r="T1658" s="20" t="s">
        <v>99</v>
      </c>
      <c r="U1658" s="21" t="s">
        <v>493</v>
      </c>
      <c r="V1658" s="22" t="s">
        <v>49</v>
      </c>
      <c r="W1658" s="23">
        <v>1</v>
      </c>
      <c r="X1658" s="24"/>
    </row>
    <row r="1659" spans="1:24" s="1" customFormat="1" ht="26" customHeight="1" x14ac:dyDescent="0.3">
      <c r="A1659" s="11" t="s">
        <v>1986</v>
      </c>
      <c r="B1659" s="11" t="s">
        <v>2418</v>
      </c>
      <c r="C1659" s="12" t="s">
        <v>2419</v>
      </c>
      <c r="D1659" s="85"/>
      <c r="E1659" s="67" t="str">
        <f>HYPERLINK("https://www.google.ru/search?q=CT45W-5&amp;newwindow=1&amp;tbm=isch","Еще фото")</f>
        <v>Еще фото</v>
      </c>
      <c r="F1659" s="14"/>
      <c r="G1659" s="11" t="s">
        <v>439</v>
      </c>
      <c r="H1659" s="11" t="s">
        <v>27</v>
      </c>
      <c r="I1659" s="15" t="s">
        <v>439</v>
      </c>
      <c r="J1659" s="15" t="s">
        <v>1996</v>
      </c>
      <c r="K1659" s="16" t="s">
        <v>29</v>
      </c>
      <c r="L1659" s="83" t="s">
        <v>2420</v>
      </c>
      <c r="M1659" s="15"/>
      <c r="N1659" s="15" t="s">
        <v>38</v>
      </c>
      <c r="O1659" s="15"/>
      <c r="P1659" s="16" t="s">
        <v>2409</v>
      </c>
      <c r="Q1659" s="17">
        <v>5999</v>
      </c>
      <c r="R1659" s="18">
        <v>40</v>
      </c>
      <c r="S1659" s="19">
        <v>4139.3099999999995</v>
      </c>
      <c r="T1659" s="20" t="s">
        <v>99</v>
      </c>
      <c r="U1659" s="21" t="s">
        <v>40</v>
      </c>
      <c r="V1659" s="22" t="s">
        <v>41</v>
      </c>
      <c r="W1659" s="23">
        <v>2</v>
      </c>
      <c r="X1659" s="24"/>
    </row>
    <row r="1660" spans="1:24" s="1" customFormat="1" ht="26" customHeight="1" x14ac:dyDescent="0.3">
      <c r="A1660" s="25" t="s">
        <v>1986</v>
      </c>
      <c r="B1660" s="25" t="s">
        <v>2418</v>
      </c>
      <c r="C1660" s="12" t="s">
        <v>2419</v>
      </c>
      <c r="D1660" s="86"/>
      <c r="E1660" s="67" t="str">
        <f>HYPERLINK("https://www.google.ru/search?q=CT45W-5&amp;newwindow=1&amp;tbm=isch","Еще фото")</f>
        <v>Еще фото</v>
      </c>
      <c r="F1660" s="14"/>
      <c r="G1660" s="25" t="s">
        <v>439</v>
      </c>
      <c r="H1660" s="25" t="s">
        <v>27</v>
      </c>
      <c r="I1660" s="25" t="s">
        <v>439</v>
      </c>
      <c r="J1660" s="15" t="s">
        <v>1996</v>
      </c>
      <c r="K1660" s="16" t="s">
        <v>29</v>
      </c>
      <c r="L1660" s="88"/>
      <c r="M1660" s="15"/>
      <c r="N1660" s="15" t="s">
        <v>38</v>
      </c>
      <c r="O1660" s="15"/>
      <c r="P1660" s="16" t="s">
        <v>2409</v>
      </c>
      <c r="Q1660" s="17">
        <v>5999</v>
      </c>
      <c r="R1660" s="18">
        <v>40</v>
      </c>
      <c r="S1660" s="19">
        <v>4139.3099999999995</v>
      </c>
      <c r="T1660" s="20" t="s">
        <v>99</v>
      </c>
      <c r="U1660" s="21" t="s">
        <v>52</v>
      </c>
      <c r="V1660" s="22" t="s">
        <v>2405</v>
      </c>
      <c r="W1660" s="23">
        <v>4</v>
      </c>
      <c r="X1660" s="24"/>
    </row>
    <row r="1661" spans="1:24" s="1" customFormat="1" ht="26" customHeight="1" x14ac:dyDescent="0.3">
      <c r="A1661" s="25" t="s">
        <v>1986</v>
      </c>
      <c r="B1661" s="25" t="s">
        <v>2418</v>
      </c>
      <c r="C1661" s="12" t="s">
        <v>2419</v>
      </c>
      <c r="D1661" s="86"/>
      <c r="E1661" s="67" t="str">
        <f>HYPERLINK("https://www.google.ru/search?q=CT45W-5&amp;newwindow=1&amp;tbm=isch","Еще фото")</f>
        <v>Еще фото</v>
      </c>
      <c r="F1661" s="14"/>
      <c r="G1661" s="25" t="s">
        <v>439</v>
      </c>
      <c r="H1661" s="25" t="s">
        <v>27</v>
      </c>
      <c r="I1661" s="25" t="s">
        <v>439</v>
      </c>
      <c r="J1661" s="15" t="s">
        <v>1996</v>
      </c>
      <c r="K1661" s="16" t="s">
        <v>29</v>
      </c>
      <c r="L1661" s="88"/>
      <c r="M1661" s="15"/>
      <c r="N1661" s="15" t="s">
        <v>38</v>
      </c>
      <c r="O1661" s="15"/>
      <c r="P1661" s="16" t="s">
        <v>2409</v>
      </c>
      <c r="Q1661" s="17">
        <v>5999</v>
      </c>
      <c r="R1661" s="18">
        <v>40</v>
      </c>
      <c r="S1661" s="19">
        <v>4139.3099999999995</v>
      </c>
      <c r="T1661" s="20" t="s">
        <v>99</v>
      </c>
      <c r="U1661" s="21" t="s">
        <v>34</v>
      </c>
      <c r="V1661" s="22" t="s">
        <v>35</v>
      </c>
      <c r="W1661" s="23">
        <v>5</v>
      </c>
      <c r="X1661" s="24"/>
    </row>
    <row r="1662" spans="1:24" s="1" customFormat="1" ht="26" customHeight="1" x14ac:dyDescent="0.3">
      <c r="A1662" s="25" t="s">
        <v>1986</v>
      </c>
      <c r="B1662" s="25" t="s">
        <v>2418</v>
      </c>
      <c r="C1662" s="12" t="s">
        <v>2419</v>
      </c>
      <c r="D1662" s="87"/>
      <c r="E1662" s="67" t="str">
        <f>HYPERLINK("https://www.google.ru/search?q=CT45W-5&amp;newwindow=1&amp;tbm=isch","Еще фото")</f>
        <v>Еще фото</v>
      </c>
      <c r="F1662" s="14"/>
      <c r="G1662" s="25" t="s">
        <v>439</v>
      </c>
      <c r="H1662" s="25" t="s">
        <v>27</v>
      </c>
      <c r="I1662" s="25" t="s">
        <v>439</v>
      </c>
      <c r="J1662" s="15" t="s">
        <v>1996</v>
      </c>
      <c r="K1662" s="16" t="s">
        <v>29</v>
      </c>
      <c r="L1662" s="84"/>
      <c r="M1662" s="15"/>
      <c r="N1662" s="15" t="s">
        <v>38</v>
      </c>
      <c r="O1662" s="15"/>
      <c r="P1662" s="16" t="s">
        <v>2409</v>
      </c>
      <c r="Q1662" s="17">
        <v>5999</v>
      </c>
      <c r="R1662" s="18">
        <v>40</v>
      </c>
      <c r="S1662" s="19">
        <v>4139.3099999999995</v>
      </c>
      <c r="T1662" s="20" t="s">
        <v>99</v>
      </c>
      <c r="U1662" s="21" t="s">
        <v>442</v>
      </c>
      <c r="V1662" s="22" t="s">
        <v>1910</v>
      </c>
      <c r="W1662" s="23">
        <v>1</v>
      </c>
      <c r="X1662" s="24"/>
    </row>
    <row r="1663" spans="1:24" s="1" customFormat="1" ht="108" customHeight="1" x14ac:dyDescent="0.3">
      <c r="A1663" s="11" t="s">
        <v>1986</v>
      </c>
      <c r="B1663" s="11" t="s">
        <v>2399</v>
      </c>
      <c r="C1663" s="12" t="s">
        <v>2421</v>
      </c>
      <c r="D1663" s="13"/>
      <c r="E1663" s="67" t="str">
        <f>HYPERLINK("https://www.google.ru/search?q=CU41M-5&amp;newwindow=1&amp;tbm=isch","Еще фото")</f>
        <v>Еще фото</v>
      </c>
      <c r="F1663" s="14"/>
      <c r="G1663" s="11" t="s">
        <v>2422</v>
      </c>
      <c r="H1663" s="11" t="s">
        <v>27</v>
      </c>
      <c r="I1663" s="15" t="s">
        <v>439</v>
      </c>
      <c r="J1663" s="15" t="s">
        <v>28</v>
      </c>
      <c r="K1663" s="16" t="s">
        <v>45</v>
      </c>
      <c r="L1663" s="15" t="s">
        <v>2423</v>
      </c>
      <c r="M1663" s="15"/>
      <c r="N1663" s="15" t="s">
        <v>38</v>
      </c>
      <c r="O1663" s="15"/>
      <c r="P1663" s="16" t="s">
        <v>2424</v>
      </c>
      <c r="Q1663" s="17">
        <v>12699</v>
      </c>
      <c r="R1663" s="18">
        <v>40</v>
      </c>
      <c r="S1663" s="19">
        <v>8762.31</v>
      </c>
      <c r="T1663" s="20" t="s">
        <v>99</v>
      </c>
      <c r="U1663" s="21" t="s">
        <v>52</v>
      </c>
      <c r="V1663" s="22" t="s">
        <v>41</v>
      </c>
      <c r="W1663" s="23">
        <v>1</v>
      </c>
      <c r="X1663" s="24"/>
    </row>
    <row r="1664" spans="1:24" s="1" customFormat="1" ht="108" customHeight="1" x14ac:dyDescent="0.3">
      <c r="A1664" s="62">
        <v>4</v>
      </c>
      <c r="B1664" s="11" t="s">
        <v>2425</v>
      </c>
      <c r="C1664" s="12" t="s">
        <v>2426</v>
      </c>
      <c r="D1664" s="13"/>
      <c r="E1664" s="67" t="str">
        <f>HYPERLINK("https://www.google.ru/search?q=4FAW23TTROF475-56S&amp;newwindow=1&amp;tbm=isch","Еще фото")</f>
        <v>Еще фото</v>
      </c>
      <c r="F1664" s="14"/>
      <c r="G1664" s="11" t="s">
        <v>26</v>
      </c>
      <c r="H1664" s="11" t="s">
        <v>27</v>
      </c>
      <c r="I1664" s="15" t="s">
        <v>26</v>
      </c>
      <c r="J1664" s="15" t="s">
        <v>28</v>
      </c>
      <c r="K1664" s="16" t="s">
        <v>29</v>
      </c>
      <c r="L1664" s="15" t="s">
        <v>2427</v>
      </c>
      <c r="M1664" s="15"/>
      <c r="N1664" s="15" t="s">
        <v>212</v>
      </c>
      <c r="O1664" s="15"/>
      <c r="P1664" s="16" t="s">
        <v>2428</v>
      </c>
      <c r="Q1664" s="17">
        <v>3699</v>
      </c>
      <c r="R1664" s="18">
        <v>68.7</v>
      </c>
      <c r="S1664" s="19">
        <v>1331.4354999999998</v>
      </c>
      <c r="T1664" s="20" t="s">
        <v>99</v>
      </c>
      <c r="U1664" s="21" t="s">
        <v>40</v>
      </c>
      <c r="V1664" s="23">
        <v>48</v>
      </c>
      <c r="W1664" s="23">
        <v>1</v>
      </c>
      <c r="X1664" s="24"/>
    </row>
    <row r="1665" spans="1:24" s="1" customFormat="1" ht="108" customHeight="1" x14ac:dyDescent="0.3">
      <c r="A1665" s="62">
        <v>4</v>
      </c>
      <c r="B1665" s="11" t="s">
        <v>2429</v>
      </c>
      <c r="C1665" s="12" t="s">
        <v>2430</v>
      </c>
      <c r="D1665" s="13"/>
      <c r="E1665" s="67" t="str">
        <f>HYPERLINK("https://www.google.ru/search?q=4FSS23TTROF229-56S&amp;newwindow=1&amp;tbm=isch","Еще фото")</f>
        <v>Еще фото</v>
      </c>
      <c r="F1665" s="14"/>
      <c r="G1665" s="11" t="s">
        <v>26</v>
      </c>
      <c r="H1665" s="11" t="s">
        <v>27</v>
      </c>
      <c r="I1665" s="15" t="s">
        <v>26</v>
      </c>
      <c r="J1665" s="15" t="s">
        <v>28</v>
      </c>
      <c r="K1665" s="16" t="s">
        <v>29</v>
      </c>
      <c r="L1665" s="15" t="s">
        <v>2431</v>
      </c>
      <c r="M1665" s="15"/>
      <c r="N1665" s="15" t="s">
        <v>212</v>
      </c>
      <c r="O1665" s="15"/>
      <c r="P1665" s="16" t="s">
        <v>2432</v>
      </c>
      <c r="Q1665" s="17">
        <v>2599</v>
      </c>
      <c r="R1665" s="18">
        <v>53.53</v>
      </c>
      <c r="S1665" s="19">
        <v>1388.9354999999998</v>
      </c>
      <c r="T1665" s="20" t="s">
        <v>99</v>
      </c>
      <c r="U1665" s="21" t="s">
        <v>42</v>
      </c>
      <c r="V1665" s="23">
        <v>50</v>
      </c>
      <c r="W1665" s="23">
        <v>2</v>
      </c>
      <c r="X1665" s="24"/>
    </row>
    <row r="1666" spans="1:24" s="1" customFormat="1" ht="108" customHeight="1" x14ac:dyDescent="0.3">
      <c r="A1666" s="62">
        <v>4</v>
      </c>
      <c r="B1666" s="11" t="s">
        <v>2433</v>
      </c>
      <c r="C1666" s="12" t="s">
        <v>2434</v>
      </c>
      <c r="D1666" s="13"/>
      <c r="E1666" s="67" t="str">
        <f>HYPERLINK("https://www.google.ru/search?q=4FSS23TFTRM294-23S&amp;newwindow=1&amp;tbm=isch","Еще фото")</f>
        <v>Еще фото</v>
      </c>
      <c r="F1666" s="14"/>
      <c r="G1666" s="11" t="s">
        <v>26</v>
      </c>
      <c r="H1666" s="11" t="s">
        <v>27</v>
      </c>
      <c r="I1666" s="15" t="s">
        <v>26</v>
      </c>
      <c r="J1666" s="15" t="s">
        <v>28</v>
      </c>
      <c r="K1666" s="16" t="s">
        <v>45</v>
      </c>
      <c r="L1666" s="15" t="s">
        <v>2435</v>
      </c>
      <c r="M1666" s="15"/>
      <c r="N1666" s="15" t="s">
        <v>218</v>
      </c>
      <c r="O1666" s="15"/>
      <c r="P1666" s="16" t="s">
        <v>2436</v>
      </c>
      <c r="Q1666" s="17">
        <v>4699</v>
      </c>
      <c r="R1666" s="18">
        <v>52.59</v>
      </c>
      <c r="S1666" s="19">
        <v>2561.9354999999996</v>
      </c>
      <c r="T1666" s="20" t="s">
        <v>99</v>
      </c>
      <c r="U1666" s="21" t="s">
        <v>52</v>
      </c>
      <c r="V1666" s="23">
        <v>48</v>
      </c>
      <c r="W1666" s="23">
        <v>1</v>
      </c>
      <c r="X1666" s="24"/>
    </row>
    <row r="1667" spans="1:24" s="1" customFormat="1" ht="108" customHeight="1" x14ac:dyDescent="0.3">
      <c r="A1667" s="62">
        <v>4</v>
      </c>
      <c r="B1667" s="11" t="s">
        <v>2437</v>
      </c>
      <c r="C1667" s="12" t="s">
        <v>2438</v>
      </c>
      <c r="D1667" s="13"/>
      <c r="E1667" s="67" t="str">
        <f>HYPERLINK("https://www.google.ru/search?q=4FAW23TTIGF108-20S&amp;newwindow=1&amp;tbm=isch","Еще фото")</f>
        <v>Еще фото</v>
      </c>
      <c r="F1667" s="14"/>
      <c r="G1667" s="11" t="s">
        <v>617</v>
      </c>
      <c r="H1667" s="11" t="s">
        <v>27</v>
      </c>
      <c r="I1667" s="15" t="s">
        <v>26</v>
      </c>
      <c r="J1667" s="15" t="s">
        <v>28</v>
      </c>
      <c r="K1667" s="16" t="s">
        <v>29</v>
      </c>
      <c r="L1667" s="15" t="s">
        <v>2439</v>
      </c>
      <c r="M1667" s="15"/>
      <c r="N1667" s="15" t="s">
        <v>38</v>
      </c>
      <c r="O1667" s="15"/>
      <c r="P1667" s="16" t="s">
        <v>2440</v>
      </c>
      <c r="Q1667" s="17">
        <v>2399</v>
      </c>
      <c r="R1667" s="18">
        <v>52.16</v>
      </c>
      <c r="S1667" s="19">
        <v>1319.9354999999998</v>
      </c>
      <c r="T1667" s="20" t="s">
        <v>99</v>
      </c>
      <c r="U1667" s="21" t="s">
        <v>40</v>
      </c>
      <c r="V1667" s="23">
        <v>48</v>
      </c>
      <c r="W1667" s="23">
        <v>1</v>
      </c>
      <c r="X1667" s="24"/>
    </row>
    <row r="1668" spans="1:24" s="1" customFormat="1" ht="108" customHeight="1" x14ac:dyDescent="0.3">
      <c r="A1668" s="62">
        <v>4</v>
      </c>
      <c r="B1668" s="11" t="s">
        <v>2441</v>
      </c>
      <c r="C1668" s="12" t="s">
        <v>2442</v>
      </c>
      <c r="D1668" s="13"/>
      <c r="E1668" s="67" t="str">
        <f>HYPERLINK("https://www.google.ru/search?q=H4Z22-SPDD013-52S&amp;newwindow=1&amp;tbm=isch","Еще фото")</f>
        <v>Еще фото</v>
      </c>
      <c r="F1668" s="14"/>
      <c r="G1668" s="11" t="s">
        <v>26</v>
      </c>
      <c r="H1668" s="11" t="s">
        <v>27</v>
      </c>
      <c r="I1668" s="15" t="s">
        <v>26</v>
      </c>
      <c r="J1668" s="15" t="s">
        <v>28</v>
      </c>
      <c r="K1668" s="16" t="s">
        <v>29</v>
      </c>
      <c r="L1668" s="15" t="s">
        <v>2443</v>
      </c>
      <c r="M1668" s="15"/>
      <c r="N1668" s="15" t="s">
        <v>413</v>
      </c>
      <c r="O1668" s="15"/>
      <c r="P1668" s="16" t="s">
        <v>2444</v>
      </c>
      <c r="Q1668" s="17">
        <v>3399</v>
      </c>
      <c r="R1668" s="18">
        <v>50.64</v>
      </c>
      <c r="S1668" s="19">
        <v>1929.4354999999998</v>
      </c>
      <c r="T1668" s="20" t="s">
        <v>99</v>
      </c>
      <c r="U1668" s="21" t="s">
        <v>442</v>
      </c>
      <c r="V1668" s="23">
        <v>42</v>
      </c>
      <c r="W1668" s="23">
        <v>1</v>
      </c>
      <c r="X1668" s="24"/>
    </row>
    <row r="1669" spans="1:24" s="1" customFormat="1" ht="108" customHeight="1" x14ac:dyDescent="0.3">
      <c r="A1669" s="62">
        <v>4</v>
      </c>
      <c r="B1669" s="11" t="s">
        <v>2445</v>
      </c>
      <c r="C1669" s="12" t="s">
        <v>2446</v>
      </c>
      <c r="D1669" s="13"/>
      <c r="E1669" s="67" t="str">
        <f>HYPERLINK("https://www.google.ru/search?q=4FSS23TTIGF041-64S&amp;newwindow=1&amp;tbm=isch","Еще фото")</f>
        <v>Еще фото</v>
      </c>
      <c r="F1669" s="14"/>
      <c r="G1669" s="11" t="s">
        <v>439</v>
      </c>
      <c r="H1669" s="11" t="s">
        <v>27</v>
      </c>
      <c r="I1669" s="15" t="s">
        <v>26</v>
      </c>
      <c r="J1669" s="15" t="s">
        <v>162</v>
      </c>
      <c r="K1669" s="16" t="s">
        <v>29</v>
      </c>
      <c r="L1669" s="15" t="s">
        <v>2447</v>
      </c>
      <c r="M1669" s="15"/>
      <c r="N1669" s="15" t="s">
        <v>212</v>
      </c>
      <c r="O1669" s="15"/>
      <c r="P1669" s="16" t="s">
        <v>2448</v>
      </c>
      <c r="Q1669" s="17">
        <v>2199</v>
      </c>
      <c r="R1669" s="18">
        <v>48.71</v>
      </c>
      <c r="S1669" s="19">
        <v>1296.9354999999998</v>
      </c>
      <c r="T1669" s="20" t="s">
        <v>99</v>
      </c>
      <c r="U1669" s="21" t="s">
        <v>40</v>
      </c>
      <c r="V1669" s="23">
        <v>48</v>
      </c>
      <c r="W1669" s="23">
        <v>1</v>
      </c>
      <c r="X1669" s="24"/>
    </row>
    <row r="1670" spans="1:24" s="1" customFormat="1" ht="108" customHeight="1" x14ac:dyDescent="0.3">
      <c r="A1670" s="62">
        <v>4</v>
      </c>
      <c r="B1670" s="11" t="s">
        <v>2449</v>
      </c>
      <c r="C1670" s="12" t="s">
        <v>2450</v>
      </c>
      <c r="D1670" s="13"/>
      <c r="E1670" s="67" t="str">
        <f>HYPERLINK("https://www.google.ru/search?q=H4Z20-SPDD012-20S&amp;newwindow=1&amp;tbm=isch","Еще фото")</f>
        <v>Еще фото</v>
      </c>
      <c r="F1670" s="14"/>
      <c r="G1670" s="11" t="s">
        <v>26</v>
      </c>
      <c r="H1670" s="11" t="s">
        <v>27</v>
      </c>
      <c r="I1670" s="15" t="s">
        <v>26</v>
      </c>
      <c r="J1670" s="15" t="s">
        <v>28</v>
      </c>
      <c r="K1670" s="16" t="s">
        <v>29</v>
      </c>
      <c r="L1670" s="15" t="s">
        <v>2451</v>
      </c>
      <c r="M1670" s="15"/>
      <c r="N1670" s="15" t="s">
        <v>38</v>
      </c>
      <c r="O1670" s="15"/>
      <c r="P1670" s="16" t="s">
        <v>2452</v>
      </c>
      <c r="Q1670" s="17">
        <v>6490</v>
      </c>
      <c r="R1670" s="18">
        <v>46.07</v>
      </c>
      <c r="S1670" s="19">
        <v>4024.9884999999995</v>
      </c>
      <c r="T1670" s="20" t="s">
        <v>99</v>
      </c>
      <c r="U1670" s="21" t="s">
        <v>442</v>
      </c>
      <c r="V1670" s="23">
        <v>42</v>
      </c>
      <c r="W1670" s="23">
        <v>1</v>
      </c>
      <c r="X1670" s="24"/>
    </row>
    <row r="1671" spans="1:24" s="1" customFormat="1" ht="26" customHeight="1" x14ac:dyDescent="0.3">
      <c r="A1671" s="62">
        <v>4</v>
      </c>
      <c r="B1671" s="11" t="s">
        <v>2453</v>
      </c>
      <c r="C1671" s="12" t="s">
        <v>2454</v>
      </c>
      <c r="D1671" s="85"/>
      <c r="E1671" s="67" t="str">
        <f>HYPERLINK("https://www.google.ru/search?q=4FWAW23TDJAM348-44S&amp;newwindow=1&amp;tbm=isch","Еще фото")</f>
        <v>Еще фото</v>
      </c>
      <c r="F1671" s="14"/>
      <c r="G1671" s="11" t="s">
        <v>129</v>
      </c>
      <c r="H1671" s="11" t="s">
        <v>27</v>
      </c>
      <c r="I1671" s="15" t="s">
        <v>130</v>
      </c>
      <c r="J1671" s="15" t="s">
        <v>28</v>
      </c>
      <c r="K1671" s="16" t="s">
        <v>45</v>
      </c>
      <c r="L1671" s="83" t="s">
        <v>2455</v>
      </c>
      <c r="M1671" s="15"/>
      <c r="N1671" s="15" t="s">
        <v>55</v>
      </c>
      <c r="O1671" s="15"/>
      <c r="P1671" s="16" t="s">
        <v>106</v>
      </c>
      <c r="Q1671" s="17">
        <v>11699</v>
      </c>
      <c r="R1671" s="18">
        <v>84.63</v>
      </c>
      <c r="S1671" s="19">
        <v>2067.4354999999996</v>
      </c>
      <c r="T1671" s="20" t="s">
        <v>99</v>
      </c>
      <c r="U1671" s="21" t="s">
        <v>34</v>
      </c>
      <c r="V1671" s="23">
        <v>46</v>
      </c>
      <c r="W1671" s="23">
        <v>18</v>
      </c>
      <c r="X1671" s="24"/>
    </row>
    <row r="1672" spans="1:24" s="1" customFormat="1" ht="26" customHeight="1" x14ac:dyDescent="0.3">
      <c r="A1672" s="63">
        <v>4</v>
      </c>
      <c r="B1672" s="25" t="s">
        <v>2453</v>
      </c>
      <c r="C1672" s="12" t="s">
        <v>2454</v>
      </c>
      <c r="D1672" s="86"/>
      <c r="E1672" s="67" t="str">
        <f>HYPERLINK("https://www.google.ru/search?q=4FWAW23TDJAM348-44S&amp;newwindow=1&amp;tbm=isch","Еще фото")</f>
        <v>Еще фото</v>
      </c>
      <c r="F1672" s="14"/>
      <c r="G1672" s="25" t="s">
        <v>129</v>
      </c>
      <c r="H1672" s="25" t="s">
        <v>27</v>
      </c>
      <c r="I1672" s="25" t="s">
        <v>130</v>
      </c>
      <c r="J1672" s="15" t="s">
        <v>28</v>
      </c>
      <c r="K1672" s="16" t="s">
        <v>45</v>
      </c>
      <c r="L1672" s="88"/>
      <c r="M1672" s="15"/>
      <c r="N1672" s="15" t="s">
        <v>55</v>
      </c>
      <c r="O1672" s="15"/>
      <c r="P1672" s="16" t="s">
        <v>106</v>
      </c>
      <c r="Q1672" s="17">
        <v>11699</v>
      </c>
      <c r="R1672" s="18">
        <v>84.63</v>
      </c>
      <c r="S1672" s="19">
        <v>2067.4354999999996</v>
      </c>
      <c r="T1672" s="20" t="s">
        <v>99</v>
      </c>
      <c r="U1672" s="21" t="s">
        <v>52</v>
      </c>
      <c r="V1672" s="23">
        <v>48</v>
      </c>
      <c r="W1672" s="23">
        <v>31</v>
      </c>
      <c r="X1672" s="24"/>
    </row>
    <row r="1673" spans="1:24" s="1" customFormat="1" ht="26" customHeight="1" x14ac:dyDescent="0.3">
      <c r="A1673" s="63">
        <v>4</v>
      </c>
      <c r="B1673" s="25" t="s">
        <v>2453</v>
      </c>
      <c r="C1673" s="12" t="s">
        <v>2454</v>
      </c>
      <c r="D1673" s="86"/>
      <c r="E1673" s="67" t="str">
        <f>HYPERLINK("https://www.google.ru/search?q=4FWAW23TDJAM348-44S&amp;newwindow=1&amp;tbm=isch","Еще фото")</f>
        <v>Еще фото</v>
      </c>
      <c r="F1673" s="14"/>
      <c r="G1673" s="25" t="s">
        <v>129</v>
      </c>
      <c r="H1673" s="25" t="s">
        <v>27</v>
      </c>
      <c r="I1673" s="25" t="s">
        <v>130</v>
      </c>
      <c r="J1673" s="15" t="s">
        <v>28</v>
      </c>
      <c r="K1673" s="16" t="s">
        <v>45</v>
      </c>
      <c r="L1673" s="88"/>
      <c r="M1673" s="15"/>
      <c r="N1673" s="15" t="s">
        <v>55</v>
      </c>
      <c r="O1673" s="15"/>
      <c r="P1673" s="16" t="s">
        <v>106</v>
      </c>
      <c r="Q1673" s="17">
        <v>11699</v>
      </c>
      <c r="R1673" s="18">
        <v>84.63</v>
      </c>
      <c r="S1673" s="19">
        <v>2067.4354999999996</v>
      </c>
      <c r="T1673" s="20" t="s">
        <v>99</v>
      </c>
      <c r="U1673" s="21" t="s">
        <v>40</v>
      </c>
      <c r="V1673" s="23">
        <v>50</v>
      </c>
      <c r="W1673" s="23">
        <v>35</v>
      </c>
      <c r="X1673" s="24"/>
    </row>
    <row r="1674" spans="1:24" s="1" customFormat="1" ht="26" customHeight="1" x14ac:dyDescent="0.3">
      <c r="A1674" s="63">
        <v>4</v>
      </c>
      <c r="B1674" s="25" t="s">
        <v>2453</v>
      </c>
      <c r="C1674" s="12" t="s">
        <v>2454</v>
      </c>
      <c r="D1674" s="87"/>
      <c r="E1674" s="67" t="str">
        <f>HYPERLINK("https://www.google.ru/search?q=4FWAW23TDJAM348-44S&amp;newwindow=1&amp;tbm=isch","Еще фото")</f>
        <v>Еще фото</v>
      </c>
      <c r="F1674" s="14"/>
      <c r="G1674" s="25" t="s">
        <v>129</v>
      </c>
      <c r="H1674" s="25" t="s">
        <v>27</v>
      </c>
      <c r="I1674" s="25" t="s">
        <v>130</v>
      </c>
      <c r="J1674" s="15" t="s">
        <v>28</v>
      </c>
      <c r="K1674" s="16" t="s">
        <v>45</v>
      </c>
      <c r="L1674" s="84"/>
      <c r="M1674" s="15"/>
      <c r="N1674" s="15" t="s">
        <v>55</v>
      </c>
      <c r="O1674" s="15"/>
      <c r="P1674" s="16" t="s">
        <v>106</v>
      </c>
      <c r="Q1674" s="17">
        <v>11699</v>
      </c>
      <c r="R1674" s="18">
        <v>84.63</v>
      </c>
      <c r="S1674" s="19">
        <v>2067.4354999999996</v>
      </c>
      <c r="T1674" s="20" t="s">
        <v>99</v>
      </c>
      <c r="U1674" s="21" t="s">
        <v>42</v>
      </c>
      <c r="V1674" s="23">
        <v>52</v>
      </c>
      <c r="W1674" s="23">
        <v>9</v>
      </c>
      <c r="X1674" s="24"/>
    </row>
    <row r="1675" spans="1:24" s="1" customFormat="1" ht="26" customHeight="1" x14ac:dyDescent="0.3">
      <c r="A1675" s="62">
        <v>4</v>
      </c>
      <c r="B1675" s="11" t="s">
        <v>2456</v>
      </c>
      <c r="C1675" s="12" t="s">
        <v>2457</v>
      </c>
      <c r="D1675" s="85"/>
      <c r="E1675" s="67" t="str">
        <f>HYPERLINK("https://www.google.ru/search?q=4FAW23TDJAM249-32S&amp;newwindow=1&amp;tbm=isch","Еще фото")</f>
        <v>Еще фото</v>
      </c>
      <c r="F1675" s="14"/>
      <c r="G1675" s="11" t="s">
        <v>129</v>
      </c>
      <c r="H1675" s="11" t="s">
        <v>27</v>
      </c>
      <c r="I1675" s="15" t="s">
        <v>130</v>
      </c>
      <c r="J1675" s="15" t="s">
        <v>28</v>
      </c>
      <c r="K1675" s="16" t="s">
        <v>45</v>
      </c>
      <c r="L1675" s="83" t="s">
        <v>2458</v>
      </c>
      <c r="M1675" s="15"/>
      <c r="N1675" s="15" t="s">
        <v>31</v>
      </c>
      <c r="O1675" s="15"/>
      <c r="P1675" s="16" t="s">
        <v>106</v>
      </c>
      <c r="Q1675" s="17">
        <v>14999</v>
      </c>
      <c r="R1675" s="18">
        <v>82.81</v>
      </c>
      <c r="S1675" s="19">
        <v>2964.4354999999996</v>
      </c>
      <c r="T1675" s="20" t="s">
        <v>99</v>
      </c>
      <c r="U1675" s="21" t="s">
        <v>34</v>
      </c>
      <c r="V1675" s="23">
        <v>46</v>
      </c>
      <c r="W1675" s="23">
        <v>22</v>
      </c>
      <c r="X1675" s="24"/>
    </row>
    <row r="1676" spans="1:24" s="1" customFormat="1" ht="26" customHeight="1" x14ac:dyDescent="0.3">
      <c r="A1676" s="63">
        <v>4</v>
      </c>
      <c r="B1676" s="25" t="s">
        <v>2456</v>
      </c>
      <c r="C1676" s="12" t="s">
        <v>2457</v>
      </c>
      <c r="D1676" s="86"/>
      <c r="E1676" s="67" t="str">
        <f>HYPERLINK("https://www.google.ru/search?q=4FAW23TDJAM249-32S&amp;newwindow=1&amp;tbm=isch","Еще фото")</f>
        <v>Еще фото</v>
      </c>
      <c r="F1676" s="14"/>
      <c r="G1676" s="25" t="s">
        <v>129</v>
      </c>
      <c r="H1676" s="25" t="s">
        <v>27</v>
      </c>
      <c r="I1676" s="25" t="s">
        <v>130</v>
      </c>
      <c r="J1676" s="15" t="s">
        <v>28</v>
      </c>
      <c r="K1676" s="16" t="s">
        <v>45</v>
      </c>
      <c r="L1676" s="88"/>
      <c r="M1676" s="15"/>
      <c r="N1676" s="15" t="s">
        <v>31</v>
      </c>
      <c r="O1676" s="15"/>
      <c r="P1676" s="16" t="s">
        <v>106</v>
      </c>
      <c r="Q1676" s="17">
        <v>14999</v>
      </c>
      <c r="R1676" s="18">
        <v>82.81</v>
      </c>
      <c r="S1676" s="19">
        <v>2964.4354999999996</v>
      </c>
      <c r="T1676" s="20" t="s">
        <v>99</v>
      </c>
      <c r="U1676" s="21" t="s">
        <v>52</v>
      </c>
      <c r="V1676" s="23">
        <v>48</v>
      </c>
      <c r="W1676" s="23">
        <v>36</v>
      </c>
      <c r="X1676" s="24"/>
    </row>
    <row r="1677" spans="1:24" s="1" customFormat="1" ht="26" customHeight="1" x14ac:dyDescent="0.3">
      <c r="A1677" s="63">
        <v>4</v>
      </c>
      <c r="B1677" s="25" t="s">
        <v>2456</v>
      </c>
      <c r="C1677" s="12" t="s">
        <v>2457</v>
      </c>
      <c r="D1677" s="86"/>
      <c r="E1677" s="67" t="str">
        <f>HYPERLINK("https://www.google.ru/search?q=4FAW23TDJAM249-32S&amp;newwindow=1&amp;tbm=isch","Еще фото")</f>
        <v>Еще фото</v>
      </c>
      <c r="F1677" s="14"/>
      <c r="G1677" s="25" t="s">
        <v>129</v>
      </c>
      <c r="H1677" s="25" t="s">
        <v>27</v>
      </c>
      <c r="I1677" s="25" t="s">
        <v>130</v>
      </c>
      <c r="J1677" s="15" t="s">
        <v>28</v>
      </c>
      <c r="K1677" s="16" t="s">
        <v>45</v>
      </c>
      <c r="L1677" s="88"/>
      <c r="M1677" s="15"/>
      <c r="N1677" s="15" t="s">
        <v>31</v>
      </c>
      <c r="O1677" s="15"/>
      <c r="P1677" s="16" t="s">
        <v>106</v>
      </c>
      <c r="Q1677" s="17">
        <v>14999</v>
      </c>
      <c r="R1677" s="18">
        <v>82.81</v>
      </c>
      <c r="S1677" s="19">
        <v>2964.4354999999996</v>
      </c>
      <c r="T1677" s="20" t="s">
        <v>99</v>
      </c>
      <c r="U1677" s="21" t="s">
        <v>40</v>
      </c>
      <c r="V1677" s="23">
        <v>50</v>
      </c>
      <c r="W1677" s="23">
        <v>37</v>
      </c>
      <c r="X1677" s="24"/>
    </row>
    <row r="1678" spans="1:24" s="1" customFormat="1" ht="26" customHeight="1" x14ac:dyDescent="0.3">
      <c r="A1678" s="63">
        <v>4</v>
      </c>
      <c r="B1678" s="25" t="s">
        <v>2456</v>
      </c>
      <c r="C1678" s="12" t="s">
        <v>2457</v>
      </c>
      <c r="D1678" s="87"/>
      <c r="E1678" s="67" t="str">
        <f>HYPERLINK("https://www.google.ru/search?q=4FAW23TDJAM249-32S&amp;newwindow=1&amp;tbm=isch","Еще фото")</f>
        <v>Еще фото</v>
      </c>
      <c r="F1678" s="14"/>
      <c r="G1678" s="25" t="s">
        <v>129</v>
      </c>
      <c r="H1678" s="25" t="s">
        <v>27</v>
      </c>
      <c r="I1678" s="25" t="s">
        <v>130</v>
      </c>
      <c r="J1678" s="15" t="s">
        <v>28</v>
      </c>
      <c r="K1678" s="16" t="s">
        <v>45</v>
      </c>
      <c r="L1678" s="84"/>
      <c r="M1678" s="15"/>
      <c r="N1678" s="15" t="s">
        <v>31</v>
      </c>
      <c r="O1678" s="15"/>
      <c r="P1678" s="16" t="s">
        <v>106</v>
      </c>
      <c r="Q1678" s="17">
        <v>14999</v>
      </c>
      <c r="R1678" s="18">
        <v>82.81</v>
      </c>
      <c r="S1678" s="19">
        <v>2964.4354999999996</v>
      </c>
      <c r="T1678" s="20" t="s">
        <v>99</v>
      </c>
      <c r="U1678" s="21" t="s">
        <v>42</v>
      </c>
      <c r="V1678" s="23">
        <v>52</v>
      </c>
      <c r="W1678" s="23">
        <v>7</v>
      </c>
      <c r="X1678" s="24"/>
    </row>
    <row r="1679" spans="1:24" s="1" customFormat="1" ht="26" customHeight="1" x14ac:dyDescent="0.3">
      <c r="A1679" s="62">
        <v>4</v>
      </c>
      <c r="B1679" s="11" t="s">
        <v>2459</v>
      </c>
      <c r="C1679" s="12" t="s">
        <v>2460</v>
      </c>
      <c r="D1679" s="85"/>
      <c r="E1679" s="67" t="str">
        <f>HYPERLINK("https://www.google.ru/search?q=4FAW23TDJAM243-61S&amp;newwindow=1&amp;tbm=isch","Еще фото")</f>
        <v>Еще фото</v>
      </c>
      <c r="F1679" s="55" t="s">
        <v>688</v>
      </c>
      <c r="G1679" s="11" t="s">
        <v>129</v>
      </c>
      <c r="H1679" s="11" t="s">
        <v>27</v>
      </c>
      <c r="I1679" s="15" t="s">
        <v>130</v>
      </c>
      <c r="J1679" s="15" t="s">
        <v>28</v>
      </c>
      <c r="K1679" s="16" t="s">
        <v>45</v>
      </c>
      <c r="L1679" s="83" t="s">
        <v>2461</v>
      </c>
      <c r="M1679" s="15"/>
      <c r="N1679" s="15" t="s">
        <v>423</v>
      </c>
      <c r="O1679" s="15"/>
      <c r="P1679" s="16" t="s">
        <v>2462</v>
      </c>
      <c r="Q1679" s="17">
        <v>10999</v>
      </c>
      <c r="R1679" s="18">
        <v>82.56</v>
      </c>
      <c r="S1679" s="19">
        <v>2205.4354999999996</v>
      </c>
      <c r="T1679" s="20" t="s">
        <v>99</v>
      </c>
      <c r="U1679" s="21" t="s">
        <v>34</v>
      </c>
      <c r="V1679" s="23">
        <v>46</v>
      </c>
      <c r="W1679" s="23">
        <v>26</v>
      </c>
      <c r="X1679" s="24"/>
    </row>
    <row r="1680" spans="1:24" s="1" customFormat="1" ht="26" customHeight="1" x14ac:dyDescent="0.3">
      <c r="A1680" s="63">
        <v>4</v>
      </c>
      <c r="B1680" s="25" t="s">
        <v>2459</v>
      </c>
      <c r="C1680" s="12" t="s">
        <v>2460</v>
      </c>
      <c r="D1680" s="86"/>
      <c r="E1680" s="67" t="str">
        <f>HYPERLINK("https://www.google.ru/search?q=4FAW23TDJAM243-61S&amp;newwindow=1&amp;tbm=isch","Еще фото")</f>
        <v>Еще фото</v>
      </c>
      <c r="F1680" s="55" t="s">
        <v>688</v>
      </c>
      <c r="G1680" s="25" t="s">
        <v>129</v>
      </c>
      <c r="H1680" s="25" t="s">
        <v>27</v>
      </c>
      <c r="I1680" s="25" t="s">
        <v>130</v>
      </c>
      <c r="J1680" s="15" t="s">
        <v>28</v>
      </c>
      <c r="K1680" s="16" t="s">
        <v>45</v>
      </c>
      <c r="L1680" s="88"/>
      <c r="M1680" s="15"/>
      <c r="N1680" s="15" t="s">
        <v>423</v>
      </c>
      <c r="O1680" s="15"/>
      <c r="P1680" s="16" t="s">
        <v>2462</v>
      </c>
      <c r="Q1680" s="17">
        <v>10999</v>
      </c>
      <c r="R1680" s="18">
        <v>82.56</v>
      </c>
      <c r="S1680" s="19">
        <v>2205.4354999999996</v>
      </c>
      <c r="T1680" s="20" t="s">
        <v>99</v>
      </c>
      <c r="U1680" s="21" t="s">
        <v>52</v>
      </c>
      <c r="V1680" s="23">
        <v>48</v>
      </c>
      <c r="W1680" s="23">
        <v>55</v>
      </c>
      <c r="X1680" s="24"/>
    </row>
    <row r="1681" spans="1:24" s="1" customFormat="1" ht="26" customHeight="1" x14ac:dyDescent="0.3">
      <c r="A1681" s="63">
        <v>4</v>
      </c>
      <c r="B1681" s="25" t="s">
        <v>2459</v>
      </c>
      <c r="C1681" s="12" t="s">
        <v>2460</v>
      </c>
      <c r="D1681" s="86"/>
      <c r="E1681" s="67" t="str">
        <f>HYPERLINK("https://www.google.ru/search?q=4FAW23TDJAM243-61S&amp;newwindow=1&amp;tbm=isch","Еще фото")</f>
        <v>Еще фото</v>
      </c>
      <c r="F1681" s="55" t="s">
        <v>688</v>
      </c>
      <c r="G1681" s="25" t="s">
        <v>129</v>
      </c>
      <c r="H1681" s="25" t="s">
        <v>27</v>
      </c>
      <c r="I1681" s="25" t="s">
        <v>130</v>
      </c>
      <c r="J1681" s="15" t="s">
        <v>28</v>
      </c>
      <c r="K1681" s="16" t="s">
        <v>45</v>
      </c>
      <c r="L1681" s="88"/>
      <c r="M1681" s="15"/>
      <c r="N1681" s="15" t="s">
        <v>423</v>
      </c>
      <c r="O1681" s="15"/>
      <c r="P1681" s="16" t="s">
        <v>2462</v>
      </c>
      <c r="Q1681" s="17">
        <v>10999</v>
      </c>
      <c r="R1681" s="18">
        <v>82.56</v>
      </c>
      <c r="S1681" s="19">
        <v>2205.4354999999996</v>
      </c>
      <c r="T1681" s="20" t="s">
        <v>99</v>
      </c>
      <c r="U1681" s="21" t="s">
        <v>40</v>
      </c>
      <c r="V1681" s="23">
        <v>50</v>
      </c>
      <c r="W1681" s="23">
        <v>42</v>
      </c>
      <c r="X1681" s="24"/>
    </row>
    <row r="1682" spans="1:24" s="1" customFormat="1" ht="26" customHeight="1" x14ac:dyDescent="0.3">
      <c r="A1682" s="63">
        <v>4</v>
      </c>
      <c r="B1682" s="25" t="s">
        <v>2459</v>
      </c>
      <c r="C1682" s="12" t="s">
        <v>2460</v>
      </c>
      <c r="D1682" s="87"/>
      <c r="E1682" s="67" t="str">
        <f>HYPERLINK("https://www.google.ru/search?q=4FAW23TDJAM243-61S&amp;newwindow=1&amp;tbm=isch","Еще фото")</f>
        <v>Еще фото</v>
      </c>
      <c r="F1682" s="55" t="s">
        <v>688</v>
      </c>
      <c r="G1682" s="25" t="s">
        <v>129</v>
      </c>
      <c r="H1682" s="25" t="s">
        <v>27</v>
      </c>
      <c r="I1682" s="25" t="s">
        <v>130</v>
      </c>
      <c r="J1682" s="15" t="s">
        <v>28</v>
      </c>
      <c r="K1682" s="16" t="s">
        <v>45</v>
      </c>
      <c r="L1682" s="84"/>
      <c r="M1682" s="15"/>
      <c r="N1682" s="15" t="s">
        <v>423</v>
      </c>
      <c r="O1682" s="15"/>
      <c r="P1682" s="16" t="s">
        <v>2462</v>
      </c>
      <c r="Q1682" s="17">
        <v>10999</v>
      </c>
      <c r="R1682" s="18">
        <v>82.56</v>
      </c>
      <c r="S1682" s="19">
        <v>2205.4354999999996</v>
      </c>
      <c r="T1682" s="20" t="s">
        <v>99</v>
      </c>
      <c r="U1682" s="21" t="s">
        <v>42</v>
      </c>
      <c r="V1682" s="23">
        <v>52</v>
      </c>
      <c r="W1682" s="23">
        <v>14</v>
      </c>
      <c r="X1682" s="24"/>
    </row>
    <row r="1683" spans="1:24" s="1" customFormat="1" ht="26" customHeight="1" x14ac:dyDescent="0.3">
      <c r="A1683" s="62">
        <v>4</v>
      </c>
      <c r="B1683" s="11" t="s">
        <v>2453</v>
      </c>
      <c r="C1683" s="12" t="s">
        <v>2463</v>
      </c>
      <c r="D1683" s="85"/>
      <c r="E1683" s="67" t="str">
        <f>HYPERLINK("https://www.google.ru/search?q=4FWAW23TDJAM348-82S&amp;newwindow=1&amp;tbm=isch","Еще фото")</f>
        <v>Еще фото</v>
      </c>
      <c r="F1683" s="14" t="s">
        <v>253</v>
      </c>
      <c r="G1683" s="11" t="s">
        <v>129</v>
      </c>
      <c r="H1683" s="11" t="s">
        <v>27</v>
      </c>
      <c r="I1683" s="15" t="s">
        <v>130</v>
      </c>
      <c r="J1683" s="15" t="s">
        <v>28</v>
      </c>
      <c r="K1683" s="16" t="s">
        <v>45</v>
      </c>
      <c r="L1683" s="83" t="s">
        <v>2455</v>
      </c>
      <c r="M1683" s="15"/>
      <c r="N1683" s="15" t="s">
        <v>2464</v>
      </c>
      <c r="O1683" s="15"/>
      <c r="P1683" s="16" t="s">
        <v>106</v>
      </c>
      <c r="Q1683" s="17">
        <v>11699</v>
      </c>
      <c r="R1683" s="18">
        <v>81.040000000000006</v>
      </c>
      <c r="S1683" s="19">
        <v>2550.4354999999996</v>
      </c>
      <c r="T1683" s="20" t="s">
        <v>99</v>
      </c>
      <c r="U1683" s="21" t="s">
        <v>34</v>
      </c>
      <c r="V1683" s="23">
        <v>46</v>
      </c>
      <c r="W1683" s="23">
        <v>13</v>
      </c>
      <c r="X1683" s="24"/>
    </row>
    <row r="1684" spans="1:24" s="1" customFormat="1" ht="26" customHeight="1" x14ac:dyDescent="0.3">
      <c r="A1684" s="63">
        <v>4</v>
      </c>
      <c r="B1684" s="25" t="s">
        <v>2453</v>
      </c>
      <c r="C1684" s="12" t="s">
        <v>2463</v>
      </c>
      <c r="D1684" s="86"/>
      <c r="E1684" s="67" t="str">
        <f>HYPERLINK("https://www.google.ru/search?q=4FWAW23TDJAM348-82S&amp;newwindow=1&amp;tbm=isch","Еще фото")</f>
        <v>Еще фото</v>
      </c>
      <c r="F1684" s="14" t="s">
        <v>253</v>
      </c>
      <c r="G1684" s="25" t="s">
        <v>129</v>
      </c>
      <c r="H1684" s="25" t="s">
        <v>27</v>
      </c>
      <c r="I1684" s="25" t="s">
        <v>130</v>
      </c>
      <c r="J1684" s="15" t="s">
        <v>28</v>
      </c>
      <c r="K1684" s="16" t="s">
        <v>45</v>
      </c>
      <c r="L1684" s="88"/>
      <c r="M1684" s="15"/>
      <c r="N1684" s="15" t="s">
        <v>2464</v>
      </c>
      <c r="O1684" s="15"/>
      <c r="P1684" s="16" t="s">
        <v>106</v>
      </c>
      <c r="Q1684" s="17">
        <v>11699</v>
      </c>
      <c r="R1684" s="18">
        <v>81.040000000000006</v>
      </c>
      <c r="S1684" s="19">
        <v>2550.4354999999996</v>
      </c>
      <c r="T1684" s="20" t="s">
        <v>99</v>
      </c>
      <c r="U1684" s="21" t="s">
        <v>52</v>
      </c>
      <c r="V1684" s="23">
        <v>48</v>
      </c>
      <c r="W1684" s="23">
        <v>22</v>
      </c>
      <c r="X1684" s="24"/>
    </row>
    <row r="1685" spans="1:24" s="1" customFormat="1" ht="26" customHeight="1" x14ac:dyDescent="0.3">
      <c r="A1685" s="63">
        <v>4</v>
      </c>
      <c r="B1685" s="25" t="s">
        <v>2453</v>
      </c>
      <c r="C1685" s="12" t="s">
        <v>2463</v>
      </c>
      <c r="D1685" s="86"/>
      <c r="E1685" s="67" t="str">
        <f>HYPERLINK("https://www.google.ru/search?q=4FWAW23TDJAM348-82S&amp;newwindow=1&amp;tbm=isch","Еще фото")</f>
        <v>Еще фото</v>
      </c>
      <c r="F1685" s="14" t="s">
        <v>253</v>
      </c>
      <c r="G1685" s="25" t="s">
        <v>129</v>
      </c>
      <c r="H1685" s="25" t="s">
        <v>27</v>
      </c>
      <c r="I1685" s="25" t="s">
        <v>130</v>
      </c>
      <c r="J1685" s="15" t="s">
        <v>28</v>
      </c>
      <c r="K1685" s="16" t="s">
        <v>45</v>
      </c>
      <c r="L1685" s="88"/>
      <c r="M1685" s="15"/>
      <c r="N1685" s="15" t="s">
        <v>2464</v>
      </c>
      <c r="O1685" s="15"/>
      <c r="P1685" s="16" t="s">
        <v>106</v>
      </c>
      <c r="Q1685" s="17">
        <v>11699</v>
      </c>
      <c r="R1685" s="18">
        <v>81.040000000000006</v>
      </c>
      <c r="S1685" s="19">
        <v>2550.4354999999996</v>
      </c>
      <c r="T1685" s="20" t="s">
        <v>99</v>
      </c>
      <c r="U1685" s="21" t="s">
        <v>40</v>
      </c>
      <c r="V1685" s="23">
        <v>50</v>
      </c>
      <c r="W1685" s="23">
        <v>16</v>
      </c>
      <c r="X1685" s="24"/>
    </row>
    <row r="1686" spans="1:24" s="1" customFormat="1" ht="26" customHeight="1" x14ac:dyDescent="0.3">
      <c r="A1686" s="63">
        <v>4</v>
      </c>
      <c r="B1686" s="25" t="s">
        <v>2453</v>
      </c>
      <c r="C1686" s="12" t="s">
        <v>2463</v>
      </c>
      <c r="D1686" s="87"/>
      <c r="E1686" s="67" t="str">
        <f>HYPERLINK("https://www.google.ru/search?q=4FWAW23TDJAM348-82S&amp;newwindow=1&amp;tbm=isch","Еще фото")</f>
        <v>Еще фото</v>
      </c>
      <c r="F1686" s="14" t="s">
        <v>253</v>
      </c>
      <c r="G1686" s="25" t="s">
        <v>129</v>
      </c>
      <c r="H1686" s="25" t="s">
        <v>27</v>
      </c>
      <c r="I1686" s="25" t="s">
        <v>130</v>
      </c>
      <c r="J1686" s="15" t="s">
        <v>28</v>
      </c>
      <c r="K1686" s="16" t="s">
        <v>45</v>
      </c>
      <c r="L1686" s="84"/>
      <c r="M1686" s="15"/>
      <c r="N1686" s="15" t="s">
        <v>2464</v>
      </c>
      <c r="O1686" s="15"/>
      <c r="P1686" s="16" t="s">
        <v>106</v>
      </c>
      <c r="Q1686" s="17">
        <v>11699</v>
      </c>
      <c r="R1686" s="18">
        <v>81.040000000000006</v>
      </c>
      <c r="S1686" s="19">
        <v>2550.4354999999996</v>
      </c>
      <c r="T1686" s="20" t="s">
        <v>99</v>
      </c>
      <c r="U1686" s="21" t="s">
        <v>42</v>
      </c>
      <c r="V1686" s="23">
        <v>52</v>
      </c>
      <c r="W1686" s="23">
        <v>5</v>
      </c>
      <c r="X1686" s="24"/>
    </row>
    <row r="1687" spans="1:24" s="1" customFormat="1" ht="26" customHeight="1" x14ac:dyDescent="0.3">
      <c r="A1687" s="62">
        <v>4</v>
      </c>
      <c r="B1687" s="11" t="s">
        <v>2459</v>
      </c>
      <c r="C1687" s="12" t="s">
        <v>2465</v>
      </c>
      <c r="D1687" s="85"/>
      <c r="E1687" s="67" t="str">
        <f>HYPERLINK("https://www.google.ru/search?q=4FAW23TDJAM243-36S&amp;newwindow=1&amp;tbm=isch","Еще фото")</f>
        <v>Еще фото</v>
      </c>
      <c r="F1687" s="14" t="s">
        <v>253</v>
      </c>
      <c r="G1687" s="11" t="s">
        <v>129</v>
      </c>
      <c r="H1687" s="11" t="s">
        <v>27</v>
      </c>
      <c r="I1687" s="15" t="s">
        <v>130</v>
      </c>
      <c r="J1687" s="15" t="s">
        <v>28</v>
      </c>
      <c r="K1687" s="16" t="s">
        <v>45</v>
      </c>
      <c r="L1687" s="83" t="s">
        <v>2461</v>
      </c>
      <c r="M1687" s="15"/>
      <c r="N1687" s="15" t="s">
        <v>31</v>
      </c>
      <c r="O1687" s="15"/>
      <c r="P1687" s="16" t="s">
        <v>2462</v>
      </c>
      <c r="Q1687" s="17">
        <v>10999</v>
      </c>
      <c r="R1687" s="18">
        <v>79.930000000000007</v>
      </c>
      <c r="S1687" s="19">
        <v>2538.9354999999996</v>
      </c>
      <c r="T1687" s="20" t="s">
        <v>99</v>
      </c>
      <c r="U1687" s="21" t="s">
        <v>34</v>
      </c>
      <c r="V1687" s="23">
        <v>46</v>
      </c>
      <c r="W1687" s="23">
        <v>15</v>
      </c>
      <c r="X1687" s="24"/>
    </row>
    <row r="1688" spans="1:24" s="1" customFormat="1" ht="26" customHeight="1" x14ac:dyDescent="0.3">
      <c r="A1688" s="63">
        <v>4</v>
      </c>
      <c r="B1688" s="25" t="s">
        <v>2459</v>
      </c>
      <c r="C1688" s="12" t="s">
        <v>2465</v>
      </c>
      <c r="D1688" s="86"/>
      <c r="E1688" s="67" t="str">
        <f>HYPERLINK("https://www.google.ru/search?q=4FAW23TDJAM243-36S&amp;newwindow=1&amp;tbm=isch","Еще фото")</f>
        <v>Еще фото</v>
      </c>
      <c r="F1688" s="14" t="s">
        <v>253</v>
      </c>
      <c r="G1688" s="25" t="s">
        <v>129</v>
      </c>
      <c r="H1688" s="25" t="s">
        <v>27</v>
      </c>
      <c r="I1688" s="25" t="s">
        <v>130</v>
      </c>
      <c r="J1688" s="15" t="s">
        <v>28</v>
      </c>
      <c r="K1688" s="16" t="s">
        <v>45</v>
      </c>
      <c r="L1688" s="88"/>
      <c r="M1688" s="15"/>
      <c r="N1688" s="15" t="s">
        <v>31</v>
      </c>
      <c r="O1688" s="15"/>
      <c r="P1688" s="16" t="s">
        <v>2462</v>
      </c>
      <c r="Q1688" s="17">
        <v>10999</v>
      </c>
      <c r="R1688" s="18">
        <v>79.930000000000007</v>
      </c>
      <c r="S1688" s="19">
        <v>2538.9354999999996</v>
      </c>
      <c r="T1688" s="20" t="s">
        <v>99</v>
      </c>
      <c r="U1688" s="21" t="s">
        <v>52</v>
      </c>
      <c r="V1688" s="23">
        <v>48</v>
      </c>
      <c r="W1688" s="23">
        <v>28</v>
      </c>
      <c r="X1688" s="24"/>
    </row>
    <row r="1689" spans="1:24" s="1" customFormat="1" ht="26" customHeight="1" x14ac:dyDescent="0.3">
      <c r="A1689" s="63">
        <v>4</v>
      </c>
      <c r="B1689" s="25" t="s">
        <v>2459</v>
      </c>
      <c r="C1689" s="12" t="s">
        <v>2465</v>
      </c>
      <c r="D1689" s="86"/>
      <c r="E1689" s="67" t="str">
        <f>HYPERLINK("https://www.google.ru/search?q=4FAW23TDJAM243-36S&amp;newwindow=1&amp;tbm=isch","Еще фото")</f>
        <v>Еще фото</v>
      </c>
      <c r="F1689" s="14" t="s">
        <v>253</v>
      </c>
      <c r="G1689" s="25" t="s">
        <v>129</v>
      </c>
      <c r="H1689" s="25" t="s">
        <v>27</v>
      </c>
      <c r="I1689" s="25" t="s">
        <v>130</v>
      </c>
      <c r="J1689" s="15" t="s">
        <v>28</v>
      </c>
      <c r="K1689" s="16" t="s">
        <v>45</v>
      </c>
      <c r="L1689" s="88"/>
      <c r="M1689" s="15"/>
      <c r="N1689" s="15" t="s">
        <v>31</v>
      </c>
      <c r="O1689" s="15"/>
      <c r="P1689" s="16" t="s">
        <v>2462</v>
      </c>
      <c r="Q1689" s="17">
        <v>10999</v>
      </c>
      <c r="R1689" s="18">
        <v>79.930000000000007</v>
      </c>
      <c r="S1689" s="19">
        <v>2538.9354999999996</v>
      </c>
      <c r="T1689" s="20" t="s">
        <v>99</v>
      </c>
      <c r="U1689" s="21" t="s">
        <v>40</v>
      </c>
      <c r="V1689" s="23">
        <v>50</v>
      </c>
      <c r="W1689" s="23">
        <v>21</v>
      </c>
      <c r="X1689" s="24"/>
    </row>
    <row r="1690" spans="1:24" s="1" customFormat="1" ht="26" customHeight="1" x14ac:dyDescent="0.3">
      <c r="A1690" s="63">
        <v>4</v>
      </c>
      <c r="B1690" s="25" t="s">
        <v>2459</v>
      </c>
      <c r="C1690" s="12" t="s">
        <v>2465</v>
      </c>
      <c r="D1690" s="87"/>
      <c r="E1690" s="67" t="str">
        <f>HYPERLINK("https://www.google.ru/search?q=4FAW23TDJAM243-36S&amp;newwindow=1&amp;tbm=isch","Еще фото")</f>
        <v>Еще фото</v>
      </c>
      <c r="F1690" s="14" t="s">
        <v>253</v>
      </c>
      <c r="G1690" s="25" t="s">
        <v>129</v>
      </c>
      <c r="H1690" s="25" t="s">
        <v>27</v>
      </c>
      <c r="I1690" s="25" t="s">
        <v>130</v>
      </c>
      <c r="J1690" s="15" t="s">
        <v>28</v>
      </c>
      <c r="K1690" s="16" t="s">
        <v>45</v>
      </c>
      <c r="L1690" s="84"/>
      <c r="M1690" s="15"/>
      <c r="N1690" s="15" t="s">
        <v>31</v>
      </c>
      <c r="O1690" s="15"/>
      <c r="P1690" s="16" t="s">
        <v>2462</v>
      </c>
      <c r="Q1690" s="17">
        <v>10999</v>
      </c>
      <c r="R1690" s="18">
        <v>79.930000000000007</v>
      </c>
      <c r="S1690" s="19">
        <v>2538.9354999999996</v>
      </c>
      <c r="T1690" s="20" t="s">
        <v>99</v>
      </c>
      <c r="U1690" s="21" t="s">
        <v>42</v>
      </c>
      <c r="V1690" s="23">
        <v>52</v>
      </c>
      <c r="W1690" s="23">
        <v>7</v>
      </c>
      <c r="X1690" s="24"/>
    </row>
    <row r="1691" spans="1:24" s="1" customFormat="1" ht="52.05" customHeight="1" x14ac:dyDescent="0.3">
      <c r="A1691" s="62">
        <v>4</v>
      </c>
      <c r="B1691" s="11" t="s">
        <v>2466</v>
      </c>
      <c r="C1691" s="12" t="s">
        <v>2467</v>
      </c>
      <c r="D1691" s="81"/>
      <c r="E1691" s="67" t="str">
        <f>HYPERLINK("https://www.google.ru/search?q=H4Z22-KUMP007-74S&amp;newwindow=1&amp;tbm=isch","Еще фото")</f>
        <v>Еще фото</v>
      </c>
      <c r="F1691" s="14"/>
      <c r="G1691" s="11" t="s">
        <v>140</v>
      </c>
      <c r="H1691" s="11" t="s">
        <v>27</v>
      </c>
      <c r="I1691" s="15" t="s">
        <v>130</v>
      </c>
      <c r="J1691" s="15" t="s">
        <v>28</v>
      </c>
      <c r="K1691" s="16" t="s">
        <v>45</v>
      </c>
      <c r="L1691" s="83" t="s">
        <v>2468</v>
      </c>
      <c r="M1691" s="15"/>
      <c r="N1691" s="15" t="s">
        <v>265</v>
      </c>
      <c r="O1691" s="15"/>
      <c r="P1691" s="16" t="s">
        <v>2469</v>
      </c>
      <c r="Q1691" s="17">
        <v>11399</v>
      </c>
      <c r="R1691" s="18">
        <v>76.86</v>
      </c>
      <c r="S1691" s="19">
        <v>3033.4354999999996</v>
      </c>
      <c r="T1691" s="20" t="s">
        <v>99</v>
      </c>
      <c r="U1691" s="21" t="s">
        <v>34</v>
      </c>
      <c r="V1691" s="23">
        <v>46</v>
      </c>
      <c r="W1691" s="23">
        <v>3</v>
      </c>
      <c r="X1691" s="24"/>
    </row>
    <row r="1692" spans="1:24" s="1" customFormat="1" ht="61.05" customHeight="1" x14ac:dyDescent="0.3">
      <c r="A1692" s="63">
        <v>4</v>
      </c>
      <c r="B1692" s="25" t="s">
        <v>2466</v>
      </c>
      <c r="C1692" s="12" t="s">
        <v>2467</v>
      </c>
      <c r="D1692" s="82"/>
      <c r="E1692" s="67" t="str">
        <f>HYPERLINK("https://www.google.ru/search?q=H4Z22-KUMP007-74S&amp;newwindow=1&amp;tbm=isch","Еще фото")</f>
        <v>Еще фото</v>
      </c>
      <c r="F1692" s="14"/>
      <c r="G1692" s="25" t="s">
        <v>140</v>
      </c>
      <c r="H1692" s="25" t="s">
        <v>27</v>
      </c>
      <c r="I1692" s="25" t="s">
        <v>130</v>
      </c>
      <c r="J1692" s="15" t="s">
        <v>28</v>
      </c>
      <c r="K1692" s="16" t="s">
        <v>45</v>
      </c>
      <c r="L1692" s="84"/>
      <c r="M1692" s="15"/>
      <c r="N1692" s="15" t="s">
        <v>265</v>
      </c>
      <c r="O1692" s="15"/>
      <c r="P1692" s="16" t="s">
        <v>2469</v>
      </c>
      <c r="Q1692" s="17">
        <v>11399</v>
      </c>
      <c r="R1692" s="18">
        <v>76.86</v>
      </c>
      <c r="S1692" s="19">
        <v>3033.4354999999996</v>
      </c>
      <c r="T1692" s="20" t="s">
        <v>99</v>
      </c>
      <c r="U1692" s="21" t="s">
        <v>52</v>
      </c>
      <c r="V1692" s="23">
        <v>48</v>
      </c>
      <c r="W1692" s="23">
        <v>6</v>
      </c>
      <c r="X1692" s="24"/>
    </row>
    <row r="1693" spans="1:24" s="1" customFormat="1" ht="26" customHeight="1" x14ac:dyDescent="0.3">
      <c r="A1693" s="62">
        <v>4</v>
      </c>
      <c r="B1693" s="11" t="s">
        <v>2470</v>
      </c>
      <c r="C1693" s="12" t="s">
        <v>2471</v>
      </c>
      <c r="D1693" s="85"/>
      <c r="E1693" s="67" t="str">
        <f>HYPERLINK("https://www.google.ru/search?q=4FAW23TDJAM246-43S&amp;newwindow=1&amp;tbm=isch","Еще фото")</f>
        <v>Еще фото</v>
      </c>
      <c r="F1693" s="14"/>
      <c r="G1693" s="11" t="s">
        <v>129</v>
      </c>
      <c r="H1693" s="11" t="s">
        <v>27</v>
      </c>
      <c r="I1693" s="15" t="s">
        <v>130</v>
      </c>
      <c r="J1693" s="15" t="s">
        <v>28</v>
      </c>
      <c r="K1693" s="16" t="s">
        <v>45</v>
      </c>
      <c r="L1693" s="83" t="s">
        <v>2472</v>
      </c>
      <c r="M1693" s="15"/>
      <c r="N1693" s="15" t="s">
        <v>2473</v>
      </c>
      <c r="O1693" s="15"/>
      <c r="P1693" s="16" t="s">
        <v>106</v>
      </c>
      <c r="Q1693" s="17">
        <v>16999</v>
      </c>
      <c r="R1693" s="18">
        <v>76.84</v>
      </c>
      <c r="S1693" s="19">
        <v>4528.4354999999996</v>
      </c>
      <c r="T1693" s="20" t="s">
        <v>99</v>
      </c>
      <c r="U1693" s="21" t="s">
        <v>34</v>
      </c>
      <c r="V1693" s="23">
        <v>46</v>
      </c>
      <c r="W1693" s="23">
        <v>11</v>
      </c>
      <c r="X1693" s="24"/>
    </row>
    <row r="1694" spans="1:24" s="1" customFormat="1" ht="26" customHeight="1" x14ac:dyDescent="0.3">
      <c r="A1694" s="63">
        <v>4</v>
      </c>
      <c r="B1694" s="25" t="s">
        <v>2470</v>
      </c>
      <c r="C1694" s="12" t="s">
        <v>2471</v>
      </c>
      <c r="D1694" s="86"/>
      <c r="E1694" s="67" t="str">
        <f>HYPERLINK("https://www.google.ru/search?q=4FAW23TDJAM246-43S&amp;newwindow=1&amp;tbm=isch","Еще фото")</f>
        <v>Еще фото</v>
      </c>
      <c r="F1694" s="14"/>
      <c r="G1694" s="25" t="s">
        <v>129</v>
      </c>
      <c r="H1694" s="25" t="s">
        <v>27</v>
      </c>
      <c r="I1694" s="25" t="s">
        <v>130</v>
      </c>
      <c r="J1694" s="15" t="s">
        <v>28</v>
      </c>
      <c r="K1694" s="16" t="s">
        <v>45</v>
      </c>
      <c r="L1694" s="88"/>
      <c r="M1694" s="15"/>
      <c r="N1694" s="15" t="s">
        <v>2473</v>
      </c>
      <c r="O1694" s="15"/>
      <c r="P1694" s="16" t="s">
        <v>106</v>
      </c>
      <c r="Q1694" s="17">
        <v>16999</v>
      </c>
      <c r="R1694" s="18">
        <v>76.84</v>
      </c>
      <c r="S1694" s="19">
        <v>4528.4354999999996</v>
      </c>
      <c r="T1694" s="20" t="s">
        <v>99</v>
      </c>
      <c r="U1694" s="21" t="s">
        <v>52</v>
      </c>
      <c r="V1694" s="23">
        <v>48</v>
      </c>
      <c r="W1694" s="23">
        <v>24</v>
      </c>
      <c r="X1694" s="24"/>
    </row>
    <row r="1695" spans="1:24" s="1" customFormat="1" ht="26" customHeight="1" x14ac:dyDescent="0.3">
      <c r="A1695" s="63">
        <v>4</v>
      </c>
      <c r="B1695" s="25" t="s">
        <v>2470</v>
      </c>
      <c r="C1695" s="12" t="s">
        <v>2471</v>
      </c>
      <c r="D1695" s="86"/>
      <c r="E1695" s="67" t="str">
        <f>HYPERLINK("https://www.google.ru/search?q=4FAW23TDJAM246-43S&amp;newwindow=1&amp;tbm=isch","Еще фото")</f>
        <v>Еще фото</v>
      </c>
      <c r="F1695" s="14"/>
      <c r="G1695" s="25" t="s">
        <v>129</v>
      </c>
      <c r="H1695" s="25" t="s">
        <v>27</v>
      </c>
      <c r="I1695" s="25" t="s">
        <v>130</v>
      </c>
      <c r="J1695" s="15" t="s">
        <v>28</v>
      </c>
      <c r="K1695" s="16" t="s">
        <v>45</v>
      </c>
      <c r="L1695" s="88"/>
      <c r="M1695" s="15"/>
      <c r="N1695" s="15" t="s">
        <v>2473</v>
      </c>
      <c r="O1695" s="15"/>
      <c r="P1695" s="16" t="s">
        <v>106</v>
      </c>
      <c r="Q1695" s="17">
        <v>16999</v>
      </c>
      <c r="R1695" s="18">
        <v>76.84</v>
      </c>
      <c r="S1695" s="19">
        <v>4528.4354999999996</v>
      </c>
      <c r="T1695" s="20" t="s">
        <v>99</v>
      </c>
      <c r="U1695" s="21" t="s">
        <v>40</v>
      </c>
      <c r="V1695" s="23">
        <v>50</v>
      </c>
      <c r="W1695" s="23">
        <v>18</v>
      </c>
      <c r="X1695" s="24"/>
    </row>
    <row r="1696" spans="1:24" s="1" customFormat="1" ht="26" customHeight="1" x14ac:dyDescent="0.3">
      <c r="A1696" s="63">
        <v>4</v>
      </c>
      <c r="B1696" s="25" t="s">
        <v>2470</v>
      </c>
      <c r="C1696" s="12" t="s">
        <v>2471</v>
      </c>
      <c r="D1696" s="87"/>
      <c r="E1696" s="67" t="str">
        <f>HYPERLINK("https://www.google.ru/search?q=4FAW23TDJAM246-43S&amp;newwindow=1&amp;tbm=isch","Еще фото")</f>
        <v>Еще фото</v>
      </c>
      <c r="F1696" s="14"/>
      <c r="G1696" s="25" t="s">
        <v>129</v>
      </c>
      <c r="H1696" s="25" t="s">
        <v>27</v>
      </c>
      <c r="I1696" s="25" t="s">
        <v>130</v>
      </c>
      <c r="J1696" s="15" t="s">
        <v>28</v>
      </c>
      <c r="K1696" s="16" t="s">
        <v>45</v>
      </c>
      <c r="L1696" s="84"/>
      <c r="M1696" s="15"/>
      <c r="N1696" s="15" t="s">
        <v>2473</v>
      </c>
      <c r="O1696" s="15"/>
      <c r="P1696" s="16" t="s">
        <v>106</v>
      </c>
      <c r="Q1696" s="17">
        <v>16999</v>
      </c>
      <c r="R1696" s="18">
        <v>76.84</v>
      </c>
      <c r="S1696" s="19">
        <v>4528.4354999999996</v>
      </c>
      <c r="T1696" s="20" t="s">
        <v>99</v>
      </c>
      <c r="U1696" s="21" t="s">
        <v>42</v>
      </c>
      <c r="V1696" s="23">
        <v>52</v>
      </c>
      <c r="W1696" s="23">
        <v>2</v>
      </c>
      <c r="X1696" s="24"/>
    </row>
    <row r="1697" spans="1:24" s="1" customFormat="1" ht="35" customHeight="1" x14ac:dyDescent="0.3">
      <c r="A1697" s="62">
        <v>4</v>
      </c>
      <c r="B1697" s="11" t="s">
        <v>2474</v>
      </c>
      <c r="C1697" s="12" t="s">
        <v>2475</v>
      </c>
      <c r="D1697" s="85"/>
      <c r="E1697" s="67" t="str">
        <f>HYPERLINK("https://www.google.ru/search?q=4FAW23TDJAF230-83S&amp;newwindow=1&amp;tbm=isch","Еще фото")</f>
        <v>Еще фото</v>
      </c>
      <c r="F1697" s="14"/>
      <c r="G1697" s="11" t="s">
        <v>129</v>
      </c>
      <c r="H1697" s="11" t="s">
        <v>27</v>
      </c>
      <c r="I1697" s="15" t="s">
        <v>130</v>
      </c>
      <c r="J1697" s="15" t="s">
        <v>28</v>
      </c>
      <c r="K1697" s="16" t="s">
        <v>29</v>
      </c>
      <c r="L1697" s="83" t="s">
        <v>2476</v>
      </c>
      <c r="M1697" s="15"/>
      <c r="N1697" s="15" t="s">
        <v>132</v>
      </c>
      <c r="O1697" s="15"/>
      <c r="P1697" s="16" t="s">
        <v>2477</v>
      </c>
      <c r="Q1697" s="17">
        <v>11799</v>
      </c>
      <c r="R1697" s="18">
        <v>76.709999999999994</v>
      </c>
      <c r="S1697" s="19">
        <v>3159.9354999999996</v>
      </c>
      <c r="T1697" s="20" t="s">
        <v>99</v>
      </c>
      <c r="U1697" s="21" t="s">
        <v>52</v>
      </c>
      <c r="V1697" s="23">
        <v>46</v>
      </c>
      <c r="W1697" s="23">
        <v>9</v>
      </c>
      <c r="X1697" s="24"/>
    </row>
    <row r="1698" spans="1:24" s="1" customFormat="1" ht="35" customHeight="1" x14ac:dyDescent="0.3">
      <c r="A1698" s="63">
        <v>4</v>
      </c>
      <c r="B1698" s="25" t="s">
        <v>2474</v>
      </c>
      <c r="C1698" s="12" t="s">
        <v>2475</v>
      </c>
      <c r="D1698" s="86"/>
      <c r="E1698" s="67" t="str">
        <f>HYPERLINK("https://www.google.ru/search?q=4FAW23TDJAF230-83S&amp;newwindow=1&amp;tbm=isch","Еще фото")</f>
        <v>Еще фото</v>
      </c>
      <c r="F1698" s="14"/>
      <c r="G1698" s="25" t="s">
        <v>129</v>
      </c>
      <c r="H1698" s="25" t="s">
        <v>27</v>
      </c>
      <c r="I1698" s="25" t="s">
        <v>130</v>
      </c>
      <c r="J1698" s="15" t="s">
        <v>28</v>
      </c>
      <c r="K1698" s="16" t="s">
        <v>29</v>
      </c>
      <c r="L1698" s="88"/>
      <c r="M1698" s="15"/>
      <c r="N1698" s="15" t="s">
        <v>132</v>
      </c>
      <c r="O1698" s="15"/>
      <c r="P1698" s="16" t="s">
        <v>2477</v>
      </c>
      <c r="Q1698" s="17">
        <v>11799</v>
      </c>
      <c r="R1698" s="18">
        <v>76.709999999999994</v>
      </c>
      <c r="S1698" s="19">
        <v>3159.9354999999996</v>
      </c>
      <c r="T1698" s="20" t="s">
        <v>99</v>
      </c>
      <c r="U1698" s="21" t="s">
        <v>40</v>
      </c>
      <c r="V1698" s="23">
        <v>48</v>
      </c>
      <c r="W1698" s="23">
        <v>6</v>
      </c>
      <c r="X1698" s="24"/>
    </row>
    <row r="1699" spans="1:24" s="1" customFormat="1" ht="37.049999999999997" customHeight="1" x14ac:dyDescent="0.3">
      <c r="A1699" s="63">
        <v>4</v>
      </c>
      <c r="B1699" s="25" t="s">
        <v>2474</v>
      </c>
      <c r="C1699" s="12" t="s">
        <v>2475</v>
      </c>
      <c r="D1699" s="87"/>
      <c r="E1699" s="67" t="str">
        <f>HYPERLINK("https://www.google.ru/search?q=4FAW23TDJAF230-83S&amp;newwindow=1&amp;tbm=isch","Еще фото")</f>
        <v>Еще фото</v>
      </c>
      <c r="F1699" s="14"/>
      <c r="G1699" s="25" t="s">
        <v>129</v>
      </c>
      <c r="H1699" s="25" t="s">
        <v>27</v>
      </c>
      <c r="I1699" s="25" t="s">
        <v>130</v>
      </c>
      <c r="J1699" s="15" t="s">
        <v>28</v>
      </c>
      <c r="K1699" s="16" t="s">
        <v>29</v>
      </c>
      <c r="L1699" s="84"/>
      <c r="M1699" s="15"/>
      <c r="N1699" s="15" t="s">
        <v>132</v>
      </c>
      <c r="O1699" s="15"/>
      <c r="P1699" s="16" t="s">
        <v>2477</v>
      </c>
      <c r="Q1699" s="17">
        <v>11799</v>
      </c>
      <c r="R1699" s="18">
        <v>76.709999999999994</v>
      </c>
      <c r="S1699" s="19">
        <v>3159.9354999999996</v>
      </c>
      <c r="T1699" s="20" t="s">
        <v>99</v>
      </c>
      <c r="U1699" s="21" t="s">
        <v>42</v>
      </c>
      <c r="V1699" s="23">
        <v>50</v>
      </c>
      <c r="W1699" s="23">
        <v>3</v>
      </c>
      <c r="X1699" s="24"/>
    </row>
    <row r="1700" spans="1:24" s="1" customFormat="1" ht="17" customHeight="1" x14ac:dyDescent="0.3">
      <c r="A1700" s="62">
        <v>4</v>
      </c>
      <c r="B1700" s="11" t="s">
        <v>2478</v>
      </c>
      <c r="C1700" s="12" t="s">
        <v>2479</v>
      </c>
      <c r="D1700" s="85"/>
      <c r="E1700" s="67" t="str">
        <f t="shared" ref="E1700:E1705" si="22">HYPERLINK("https://www.google.ru/search?q=4FAW23TDJAF238-42S&amp;newwindow=1&amp;tbm=isch","Еще фото")</f>
        <v>Еще фото</v>
      </c>
      <c r="F1700" s="14"/>
      <c r="G1700" s="11" t="s">
        <v>129</v>
      </c>
      <c r="H1700" s="11" t="s">
        <v>27</v>
      </c>
      <c r="I1700" s="15" t="s">
        <v>130</v>
      </c>
      <c r="J1700" s="15" t="s">
        <v>28</v>
      </c>
      <c r="K1700" s="16" t="s">
        <v>29</v>
      </c>
      <c r="L1700" s="83" t="s">
        <v>2480</v>
      </c>
      <c r="M1700" s="15"/>
      <c r="N1700" s="15" t="s">
        <v>55</v>
      </c>
      <c r="O1700" s="15"/>
      <c r="P1700" s="16" t="s">
        <v>2477</v>
      </c>
      <c r="Q1700" s="17">
        <v>18999</v>
      </c>
      <c r="R1700" s="18">
        <v>75.17</v>
      </c>
      <c r="S1700" s="19">
        <v>5425.4355000000005</v>
      </c>
      <c r="T1700" s="20" t="s">
        <v>99</v>
      </c>
      <c r="U1700" s="21" t="s">
        <v>442</v>
      </c>
      <c r="V1700" s="23">
        <v>42</v>
      </c>
      <c r="W1700" s="23">
        <v>6</v>
      </c>
      <c r="X1700" s="24"/>
    </row>
    <row r="1701" spans="1:24" s="1" customFormat="1" ht="17" customHeight="1" x14ac:dyDescent="0.3">
      <c r="A1701" s="63">
        <v>4</v>
      </c>
      <c r="B1701" s="25" t="s">
        <v>2478</v>
      </c>
      <c r="C1701" s="12" t="s">
        <v>2479</v>
      </c>
      <c r="D1701" s="86"/>
      <c r="E1701" s="67" t="str">
        <f t="shared" si="22"/>
        <v>Еще фото</v>
      </c>
      <c r="F1701" s="14"/>
      <c r="G1701" s="25" t="s">
        <v>129</v>
      </c>
      <c r="H1701" s="25" t="s">
        <v>27</v>
      </c>
      <c r="I1701" s="25" t="s">
        <v>130</v>
      </c>
      <c r="J1701" s="15" t="s">
        <v>28</v>
      </c>
      <c r="K1701" s="16" t="s">
        <v>29</v>
      </c>
      <c r="L1701" s="88"/>
      <c r="M1701" s="15"/>
      <c r="N1701" s="15" t="s">
        <v>55</v>
      </c>
      <c r="O1701" s="15"/>
      <c r="P1701" s="16" t="s">
        <v>2477</v>
      </c>
      <c r="Q1701" s="17">
        <v>18999</v>
      </c>
      <c r="R1701" s="18">
        <v>75.17</v>
      </c>
      <c r="S1701" s="19">
        <v>5425.4355000000005</v>
      </c>
      <c r="T1701" s="20" t="s">
        <v>99</v>
      </c>
      <c r="U1701" s="21" t="s">
        <v>34</v>
      </c>
      <c r="V1701" s="23">
        <v>44</v>
      </c>
      <c r="W1701" s="23">
        <v>3</v>
      </c>
      <c r="X1701" s="24"/>
    </row>
    <row r="1702" spans="1:24" s="1" customFormat="1" ht="17" customHeight="1" x14ac:dyDescent="0.3">
      <c r="A1702" s="63">
        <v>4</v>
      </c>
      <c r="B1702" s="25" t="s">
        <v>2478</v>
      </c>
      <c r="C1702" s="12" t="s">
        <v>2479</v>
      </c>
      <c r="D1702" s="86"/>
      <c r="E1702" s="67" t="str">
        <f t="shared" si="22"/>
        <v>Еще фото</v>
      </c>
      <c r="F1702" s="14"/>
      <c r="G1702" s="25" t="s">
        <v>129</v>
      </c>
      <c r="H1702" s="25" t="s">
        <v>27</v>
      </c>
      <c r="I1702" s="25" t="s">
        <v>130</v>
      </c>
      <c r="J1702" s="15" t="s">
        <v>28</v>
      </c>
      <c r="K1702" s="16" t="s">
        <v>29</v>
      </c>
      <c r="L1702" s="88"/>
      <c r="M1702" s="15"/>
      <c r="N1702" s="15" t="s">
        <v>55</v>
      </c>
      <c r="O1702" s="15"/>
      <c r="P1702" s="16" t="s">
        <v>2477</v>
      </c>
      <c r="Q1702" s="17">
        <v>18999</v>
      </c>
      <c r="R1702" s="18">
        <v>75.17</v>
      </c>
      <c r="S1702" s="19">
        <v>5425.4355000000005</v>
      </c>
      <c r="T1702" s="20" t="s">
        <v>99</v>
      </c>
      <c r="U1702" s="21" t="s">
        <v>52</v>
      </c>
      <c r="V1702" s="23">
        <v>46</v>
      </c>
      <c r="W1702" s="23">
        <v>16</v>
      </c>
      <c r="X1702" s="24"/>
    </row>
    <row r="1703" spans="1:24" s="1" customFormat="1" ht="17" customHeight="1" x14ac:dyDescent="0.3">
      <c r="A1703" s="63">
        <v>4</v>
      </c>
      <c r="B1703" s="25" t="s">
        <v>2478</v>
      </c>
      <c r="C1703" s="12" t="s">
        <v>2479</v>
      </c>
      <c r="D1703" s="86"/>
      <c r="E1703" s="67" t="str">
        <f t="shared" si="22"/>
        <v>Еще фото</v>
      </c>
      <c r="F1703" s="14"/>
      <c r="G1703" s="25" t="s">
        <v>129</v>
      </c>
      <c r="H1703" s="25" t="s">
        <v>27</v>
      </c>
      <c r="I1703" s="25" t="s">
        <v>130</v>
      </c>
      <c r="J1703" s="15" t="s">
        <v>28</v>
      </c>
      <c r="K1703" s="16" t="s">
        <v>29</v>
      </c>
      <c r="L1703" s="88"/>
      <c r="M1703" s="15"/>
      <c r="N1703" s="15" t="s">
        <v>55</v>
      </c>
      <c r="O1703" s="15"/>
      <c r="P1703" s="16" t="s">
        <v>2477</v>
      </c>
      <c r="Q1703" s="17">
        <v>18999</v>
      </c>
      <c r="R1703" s="18">
        <v>75.17</v>
      </c>
      <c r="S1703" s="19">
        <v>5425.4355000000005</v>
      </c>
      <c r="T1703" s="20" t="s">
        <v>99</v>
      </c>
      <c r="U1703" s="21" t="s">
        <v>40</v>
      </c>
      <c r="V1703" s="23">
        <v>48</v>
      </c>
      <c r="W1703" s="23">
        <v>17</v>
      </c>
      <c r="X1703" s="24"/>
    </row>
    <row r="1704" spans="1:24" s="1" customFormat="1" ht="17" customHeight="1" x14ac:dyDescent="0.3">
      <c r="A1704" s="63">
        <v>4</v>
      </c>
      <c r="B1704" s="25" t="s">
        <v>2478</v>
      </c>
      <c r="C1704" s="12" t="s">
        <v>2479</v>
      </c>
      <c r="D1704" s="86"/>
      <c r="E1704" s="67" t="str">
        <f t="shared" si="22"/>
        <v>Еще фото</v>
      </c>
      <c r="F1704" s="14"/>
      <c r="G1704" s="25" t="s">
        <v>129</v>
      </c>
      <c r="H1704" s="25" t="s">
        <v>27</v>
      </c>
      <c r="I1704" s="25" t="s">
        <v>130</v>
      </c>
      <c r="J1704" s="15" t="s">
        <v>28</v>
      </c>
      <c r="K1704" s="16" t="s">
        <v>29</v>
      </c>
      <c r="L1704" s="88"/>
      <c r="M1704" s="15"/>
      <c r="N1704" s="15" t="s">
        <v>55</v>
      </c>
      <c r="O1704" s="15"/>
      <c r="P1704" s="16" t="s">
        <v>2477</v>
      </c>
      <c r="Q1704" s="17">
        <v>18999</v>
      </c>
      <c r="R1704" s="18">
        <v>75.17</v>
      </c>
      <c r="S1704" s="19">
        <v>5425.4355000000005</v>
      </c>
      <c r="T1704" s="20" t="s">
        <v>99</v>
      </c>
      <c r="U1704" s="21" t="s">
        <v>42</v>
      </c>
      <c r="V1704" s="23">
        <v>50</v>
      </c>
      <c r="W1704" s="23">
        <v>9</v>
      </c>
      <c r="X1704" s="24"/>
    </row>
    <row r="1705" spans="1:24" s="1" customFormat="1" ht="22.05" customHeight="1" x14ac:dyDescent="0.3">
      <c r="A1705" s="63">
        <v>4</v>
      </c>
      <c r="B1705" s="25" t="s">
        <v>2478</v>
      </c>
      <c r="C1705" s="12" t="s">
        <v>2479</v>
      </c>
      <c r="D1705" s="87"/>
      <c r="E1705" s="67" t="str">
        <f t="shared" si="22"/>
        <v>Еще фото</v>
      </c>
      <c r="F1705" s="14"/>
      <c r="G1705" s="25" t="s">
        <v>129</v>
      </c>
      <c r="H1705" s="25" t="s">
        <v>27</v>
      </c>
      <c r="I1705" s="25" t="s">
        <v>130</v>
      </c>
      <c r="J1705" s="15" t="s">
        <v>28</v>
      </c>
      <c r="K1705" s="16" t="s">
        <v>29</v>
      </c>
      <c r="L1705" s="84"/>
      <c r="M1705" s="15"/>
      <c r="N1705" s="15" t="s">
        <v>55</v>
      </c>
      <c r="O1705" s="15"/>
      <c r="P1705" s="16" t="s">
        <v>2477</v>
      </c>
      <c r="Q1705" s="17">
        <v>18999</v>
      </c>
      <c r="R1705" s="18">
        <v>75.17</v>
      </c>
      <c r="S1705" s="19">
        <v>5425.4355000000005</v>
      </c>
      <c r="T1705" s="20" t="s">
        <v>99</v>
      </c>
      <c r="U1705" s="21" t="s">
        <v>493</v>
      </c>
      <c r="V1705" s="23">
        <v>52</v>
      </c>
      <c r="W1705" s="23">
        <v>1</v>
      </c>
      <c r="X1705" s="24"/>
    </row>
    <row r="1706" spans="1:24" s="1" customFormat="1" ht="35" customHeight="1" x14ac:dyDescent="0.3">
      <c r="A1706" s="62">
        <v>4</v>
      </c>
      <c r="B1706" s="11" t="s">
        <v>2470</v>
      </c>
      <c r="C1706" s="12" t="s">
        <v>2481</v>
      </c>
      <c r="D1706" s="85"/>
      <c r="E1706" s="67" t="str">
        <f>HYPERLINK("https://www.google.ru/search?q=4FAW23TDJAM246-20S&amp;newwindow=1&amp;tbm=isch","Еще фото")</f>
        <v>Еще фото</v>
      </c>
      <c r="F1706" s="14"/>
      <c r="G1706" s="11" t="s">
        <v>129</v>
      </c>
      <c r="H1706" s="11" t="s">
        <v>27</v>
      </c>
      <c r="I1706" s="15" t="s">
        <v>130</v>
      </c>
      <c r="J1706" s="15" t="s">
        <v>28</v>
      </c>
      <c r="K1706" s="16" t="s">
        <v>45</v>
      </c>
      <c r="L1706" s="83" t="s">
        <v>2472</v>
      </c>
      <c r="M1706" s="15"/>
      <c r="N1706" s="15" t="s">
        <v>38</v>
      </c>
      <c r="O1706" s="15"/>
      <c r="P1706" s="16" t="s">
        <v>106</v>
      </c>
      <c r="Q1706" s="17">
        <v>16999</v>
      </c>
      <c r="R1706" s="18">
        <v>73.25</v>
      </c>
      <c r="S1706" s="19">
        <v>5229.9355000000005</v>
      </c>
      <c r="T1706" s="20" t="s">
        <v>99</v>
      </c>
      <c r="U1706" s="21" t="s">
        <v>34</v>
      </c>
      <c r="V1706" s="23">
        <v>46</v>
      </c>
      <c r="W1706" s="23">
        <v>9</v>
      </c>
      <c r="X1706" s="24"/>
    </row>
    <row r="1707" spans="1:24" s="1" customFormat="1" ht="35" customHeight="1" x14ac:dyDescent="0.3">
      <c r="A1707" s="63">
        <v>4</v>
      </c>
      <c r="B1707" s="25" t="s">
        <v>2470</v>
      </c>
      <c r="C1707" s="12" t="s">
        <v>2481</v>
      </c>
      <c r="D1707" s="86"/>
      <c r="E1707" s="67" t="str">
        <f>HYPERLINK("https://www.google.ru/search?q=4FAW23TDJAM246-20S&amp;newwindow=1&amp;tbm=isch","Еще фото")</f>
        <v>Еще фото</v>
      </c>
      <c r="F1707" s="14"/>
      <c r="G1707" s="25" t="s">
        <v>129</v>
      </c>
      <c r="H1707" s="25" t="s">
        <v>27</v>
      </c>
      <c r="I1707" s="25" t="s">
        <v>130</v>
      </c>
      <c r="J1707" s="15" t="s">
        <v>28</v>
      </c>
      <c r="K1707" s="16" t="s">
        <v>45</v>
      </c>
      <c r="L1707" s="88"/>
      <c r="M1707" s="15"/>
      <c r="N1707" s="15" t="s">
        <v>38</v>
      </c>
      <c r="O1707" s="15"/>
      <c r="P1707" s="16" t="s">
        <v>106</v>
      </c>
      <c r="Q1707" s="17">
        <v>16999</v>
      </c>
      <c r="R1707" s="18">
        <v>73.25</v>
      </c>
      <c r="S1707" s="19">
        <v>5229.9355000000005</v>
      </c>
      <c r="T1707" s="20" t="s">
        <v>99</v>
      </c>
      <c r="U1707" s="21" t="s">
        <v>52</v>
      </c>
      <c r="V1707" s="23">
        <v>48</v>
      </c>
      <c r="W1707" s="23">
        <v>8</v>
      </c>
      <c r="X1707" s="24"/>
    </row>
    <row r="1708" spans="1:24" s="1" customFormat="1" ht="37.049999999999997" customHeight="1" x14ac:dyDescent="0.3">
      <c r="A1708" s="63">
        <v>4</v>
      </c>
      <c r="B1708" s="25" t="s">
        <v>2470</v>
      </c>
      <c r="C1708" s="12" t="s">
        <v>2481</v>
      </c>
      <c r="D1708" s="87"/>
      <c r="E1708" s="67" t="str">
        <f>HYPERLINK("https://www.google.ru/search?q=4FAW23TDJAM246-20S&amp;newwindow=1&amp;tbm=isch","Еще фото")</f>
        <v>Еще фото</v>
      </c>
      <c r="F1708" s="14"/>
      <c r="G1708" s="25" t="s">
        <v>129</v>
      </c>
      <c r="H1708" s="25" t="s">
        <v>27</v>
      </c>
      <c r="I1708" s="25" t="s">
        <v>130</v>
      </c>
      <c r="J1708" s="15" t="s">
        <v>28</v>
      </c>
      <c r="K1708" s="16" t="s">
        <v>45</v>
      </c>
      <c r="L1708" s="84"/>
      <c r="M1708" s="15"/>
      <c r="N1708" s="15" t="s">
        <v>38</v>
      </c>
      <c r="O1708" s="15"/>
      <c r="P1708" s="16" t="s">
        <v>106</v>
      </c>
      <c r="Q1708" s="17">
        <v>16999</v>
      </c>
      <c r="R1708" s="18">
        <v>73.25</v>
      </c>
      <c r="S1708" s="19">
        <v>5229.9355000000005</v>
      </c>
      <c r="T1708" s="20" t="s">
        <v>99</v>
      </c>
      <c r="U1708" s="21" t="s">
        <v>40</v>
      </c>
      <c r="V1708" s="23">
        <v>50</v>
      </c>
      <c r="W1708" s="23">
        <v>12</v>
      </c>
      <c r="X1708" s="24"/>
    </row>
    <row r="1709" spans="1:24" s="1" customFormat="1" ht="108" customHeight="1" x14ac:dyDescent="0.3">
      <c r="A1709" s="62">
        <v>4</v>
      </c>
      <c r="B1709" s="11" t="s">
        <v>2482</v>
      </c>
      <c r="C1709" s="12" t="s">
        <v>2483</v>
      </c>
      <c r="D1709" s="13"/>
      <c r="E1709" s="67" t="str">
        <f>HYPERLINK("https://www.google.ru/search?q=H4Z22-KUMP010-74S&amp;newwindow=1&amp;tbm=isch","Еще фото")</f>
        <v>Еще фото</v>
      </c>
      <c r="F1709" s="14"/>
      <c r="G1709" s="11" t="s">
        <v>129</v>
      </c>
      <c r="H1709" s="11" t="s">
        <v>27</v>
      </c>
      <c r="I1709" s="15" t="s">
        <v>130</v>
      </c>
      <c r="J1709" s="15" t="s">
        <v>28</v>
      </c>
      <c r="K1709" s="16" t="s">
        <v>45</v>
      </c>
      <c r="L1709" s="15" t="s">
        <v>2484</v>
      </c>
      <c r="M1709" s="15"/>
      <c r="N1709" s="15" t="s">
        <v>265</v>
      </c>
      <c r="O1709" s="15"/>
      <c r="P1709" s="16" t="s">
        <v>2469</v>
      </c>
      <c r="Q1709" s="17">
        <v>12499</v>
      </c>
      <c r="R1709" s="18">
        <v>73.22</v>
      </c>
      <c r="S1709" s="19">
        <v>3849.9354999999996</v>
      </c>
      <c r="T1709" s="20" t="s">
        <v>99</v>
      </c>
      <c r="U1709" s="21" t="s">
        <v>52</v>
      </c>
      <c r="V1709" s="23">
        <v>48</v>
      </c>
      <c r="W1709" s="23">
        <v>4</v>
      </c>
      <c r="X1709" s="24"/>
    </row>
    <row r="1710" spans="1:24" s="1" customFormat="1" ht="17" customHeight="1" x14ac:dyDescent="0.3">
      <c r="A1710" s="62">
        <v>4</v>
      </c>
      <c r="B1710" s="11" t="s">
        <v>2478</v>
      </c>
      <c r="C1710" s="12" t="s">
        <v>2485</v>
      </c>
      <c r="D1710" s="85"/>
      <c r="E1710" s="67" t="str">
        <f t="shared" ref="E1710:E1715" si="23">HYPERLINK("https://www.google.ru/search?q=4FAW23TDJAF238-20S&amp;newwindow=1&amp;tbm=isch","Еще фото")</f>
        <v>Еще фото</v>
      </c>
      <c r="F1710" s="55" t="s">
        <v>688</v>
      </c>
      <c r="G1710" s="11" t="s">
        <v>129</v>
      </c>
      <c r="H1710" s="11" t="s">
        <v>27</v>
      </c>
      <c r="I1710" s="15" t="s">
        <v>130</v>
      </c>
      <c r="J1710" s="15" t="s">
        <v>28</v>
      </c>
      <c r="K1710" s="16" t="s">
        <v>29</v>
      </c>
      <c r="L1710" s="83" t="s">
        <v>2480</v>
      </c>
      <c r="M1710" s="15"/>
      <c r="N1710" s="15" t="s">
        <v>38</v>
      </c>
      <c r="O1710" s="15"/>
      <c r="P1710" s="16" t="s">
        <v>2477</v>
      </c>
      <c r="Q1710" s="17">
        <v>18999</v>
      </c>
      <c r="R1710" s="18">
        <v>71.33</v>
      </c>
      <c r="S1710" s="19">
        <v>6264.9354999999996</v>
      </c>
      <c r="T1710" s="20" t="s">
        <v>99</v>
      </c>
      <c r="U1710" s="21" t="s">
        <v>442</v>
      </c>
      <c r="V1710" s="23">
        <v>42</v>
      </c>
      <c r="W1710" s="23">
        <v>8</v>
      </c>
      <c r="X1710" s="24"/>
    </row>
    <row r="1711" spans="1:24" s="1" customFormat="1" ht="17" customHeight="1" x14ac:dyDescent="0.3">
      <c r="A1711" s="63">
        <v>4</v>
      </c>
      <c r="B1711" s="25" t="s">
        <v>2478</v>
      </c>
      <c r="C1711" s="12" t="s">
        <v>2485</v>
      </c>
      <c r="D1711" s="86"/>
      <c r="E1711" s="67" t="str">
        <f t="shared" si="23"/>
        <v>Еще фото</v>
      </c>
      <c r="F1711" s="55" t="s">
        <v>688</v>
      </c>
      <c r="G1711" s="25" t="s">
        <v>129</v>
      </c>
      <c r="H1711" s="25" t="s">
        <v>27</v>
      </c>
      <c r="I1711" s="25" t="s">
        <v>130</v>
      </c>
      <c r="J1711" s="15" t="s">
        <v>28</v>
      </c>
      <c r="K1711" s="16" t="s">
        <v>29</v>
      </c>
      <c r="L1711" s="88"/>
      <c r="M1711" s="15"/>
      <c r="N1711" s="15" t="s">
        <v>38</v>
      </c>
      <c r="O1711" s="15"/>
      <c r="P1711" s="16" t="s">
        <v>2477</v>
      </c>
      <c r="Q1711" s="17">
        <v>18999</v>
      </c>
      <c r="R1711" s="18">
        <v>71.33</v>
      </c>
      <c r="S1711" s="19">
        <v>6264.9354999999996</v>
      </c>
      <c r="T1711" s="20" t="s">
        <v>99</v>
      </c>
      <c r="U1711" s="21" t="s">
        <v>34</v>
      </c>
      <c r="V1711" s="23">
        <v>44</v>
      </c>
      <c r="W1711" s="23">
        <v>16</v>
      </c>
      <c r="X1711" s="24"/>
    </row>
    <row r="1712" spans="1:24" s="1" customFormat="1" ht="17" customHeight="1" x14ac:dyDescent="0.3">
      <c r="A1712" s="63">
        <v>4</v>
      </c>
      <c r="B1712" s="25" t="s">
        <v>2478</v>
      </c>
      <c r="C1712" s="12" t="s">
        <v>2485</v>
      </c>
      <c r="D1712" s="86"/>
      <c r="E1712" s="67" t="str">
        <f t="shared" si="23"/>
        <v>Еще фото</v>
      </c>
      <c r="F1712" s="55" t="s">
        <v>688</v>
      </c>
      <c r="G1712" s="25" t="s">
        <v>129</v>
      </c>
      <c r="H1712" s="25" t="s">
        <v>27</v>
      </c>
      <c r="I1712" s="25" t="s">
        <v>130</v>
      </c>
      <c r="J1712" s="15" t="s">
        <v>28</v>
      </c>
      <c r="K1712" s="16" t="s">
        <v>29</v>
      </c>
      <c r="L1712" s="88"/>
      <c r="M1712" s="15"/>
      <c r="N1712" s="15" t="s">
        <v>38</v>
      </c>
      <c r="O1712" s="15"/>
      <c r="P1712" s="16" t="s">
        <v>2477</v>
      </c>
      <c r="Q1712" s="17">
        <v>18999</v>
      </c>
      <c r="R1712" s="18">
        <v>71.33</v>
      </c>
      <c r="S1712" s="19">
        <v>6264.9354999999996</v>
      </c>
      <c r="T1712" s="20" t="s">
        <v>99</v>
      </c>
      <c r="U1712" s="21" t="s">
        <v>52</v>
      </c>
      <c r="V1712" s="23">
        <v>46</v>
      </c>
      <c r="W1712" s="23">
        <v>28</v>
      </c>
      <c r="X1712" s="24"/>
    </row>
    <row r="1713" spans="1:24" s="1" customFormat="1" ht="17" customHeight="1" x14ac:dyDescent="0.3">
      <c r="A1713" s="63">
        <v>4</v>
      </c>
      <c r="B1713" s="25" t="s">
        <v>2478</v>
      </c>
      <c r="C1713" s="12" t="s">
        <v>2485</v>
      </c>
      <c r="D1713" s="86"/>
      <c r="E1713" s="67" t="str">
        <f t="shared" si="23"/>
        <v>Еще фото</v>
      </c>
      <c r="F1713" s="55" t="s">
        <v>688</v>
      </c>
      <c r="G1713" s="25" t="s">
        <v>129</v>
      </c>
      <c r="H1713" s="25" t="s">
        <v>27</v>
      </c>
      <c r="I1713" s="25" t="s">
        <v>130</v>
      </c>
      <c r="J1713" s="15" t="s">
        <v>28</v>
      </c>
      <c r="K1713" s="16" t="s">
        <v>29</v>
      </c>
      <c r="L1713" s="88"/>
      <c r="M1713" s="15"/>
      <c r="N1713" s="15" t="s">
        <v>38</v>
      </c>
      <c r="O1713" s="15"/>
      <c r="P1713" s="16" t="s">
        <v>2477</v>
      </c>
      <c r="Q1713" s="17">
        <v>18999</v>
      </c>
      <c r="R1713" s="18">
        <v>71.33</v>
      </c>
      <c r="S1713" s="19">
        <v>6264.9354999999996</v>
      </c>
      <c r="T1713" s="20" t="s">
        <v>99</v>
      </c>
      <c r="U1713" s="21" t="s">
        <v>40</v>
      </c>
      <c r="V1713" s="23">
        <v>48</v>
      </c>
      <c r="W1713" s="23">
        <v>21</v>
      </c>
      <c r="X1713" s="24"/>
    </row>
    <row r="1714" spans="1:24" s="1" customFormat="1" ht="17" customHeight="1" x14ac:dyDescent="0.3">
      <c r="A1714" s="63">
        <v>4</v>
      </c>
      <c r="B1714" s="25" t="s">
        <v>2478</v>
      </c>
      <c r="C1714" s="12" t="s">
        <v>2485</v>
      </c>
      <c r="D1714" s="86"/>
      <c r="E1714" s="67" t="str">
        <f t="shared" si="23"/>
        <v>Еще фото</v>
      </c>
      <c r="F1714" s="55" t="s">
        <v>688</v>
      </c>
      <c r="G1714" s="25" t="s">
        <v>129</v>
      </c>
      <c r="H1714" s="25" t="s">
        <v>27</v>
      </c>
      <c r="I1714" s="25" t="s">
        <v>130</v>
      </c>
      <c r="J1714" s="15" t="s">
        <v>28</v>
      </c>
      <c r="K1714" s="16" t="s">
        <v>29</v>
      </c>
      <c r="L1714" s="88"/>
      <c r="M1714" s="15"/>
      <c r="N1714" s="15" t="s">
        <v>38</v>
      </c>
      <c r="O1714" s="15"/>
      <c r="P1714" s="16" t="s">
        <v>2477</v>
      </c>
      <c r="Q1714" s="17">
        <v>18999</v>
      </c>
      <c r="R1714" s="18">
        <v>71.33</v>
      </c>
      <c r="S1714" s="19">
        <v>6264.9354999999996</v>
      </c>
      <c r="T1714" s="20" t="s">
        <v>99</v>
      </c>
      <c r="U1714" s="21" t="s">
        <v>42</v>
      </c>
      <c r="V1714" s="23">
        <v>50</v>
      </c>
      <c r="W1714" s="23">
        <v>9</v>
      </c>
      <c r="X1714" s="24"/>
    </row>
    <row r="1715" spans="1:24" s="1" customFormat="1" ht="22.05" customHeight="1" x14ac:dyDescent="0.3">
      <c r="A1715" s="63">
        <v>4</v>
      </c>
      <c r="B1715" s="25" t="s">
        <v>2478</v>
      </c>
      <c r="C1715" s="12" t="s">
        <v>2485</v>
      </c>
      <c r="D1715" s="87"/>
      <c r="E1715" s="67" t="str">
        <f t="shared" si="23"/>
        <v>Еще фото</v>
      </c>
      <c r="F1715" s="55" t="s">
        <v>688</v>
      </c>
      <c r="G1715" s="25" t="s">
        <v>129</v>
      </c>
      <c r="H1715" s="25" t="s">
        <v>27</v>
      </c>
      <c r="I1715" s="25" t="s">
        <v>130</v>
      </c>
      <c r="J1715" s="15" t="s">
        <v>28</v>
      </c>
      <c r="K1715" s="16" t="s">
        <v>29</v>
      </c>
      <c r="L1715" s="84"/>
      <c r="M1715" s="15"/>
      <c r="N1715" s="15" t="s">
        <v>38</v>
      </c>
      <c r="O1715" s="15"/>
      <c r="P1715" s="16" t="s">
        <v>2477</v>
      </c>
      <c r="Q1715" s="17">
        <v>18999</v>
      </c>
      <c r="R1715" s="18">
        <v>71.33</v>
      </c>
      <c r="S1715" s="19">
        <v>6264.9354999999996</v>
      </c>
      <c r="T1715" s="20" t="s">
        <v>99</v>
      </c>
      <c r="U1715" s="21" t="s">
        <v>493</v>
      </c>
      <c r="V1715" s="23">
        <v>52</v>
      </c>
      <c r="W1715" s="23">
        <v>2</v>
      </c>
      <c r="X1715" s="24"/>
    </row>
    <row r="1716" spans="1:24" s="1" customFormat="1" ht="35" customHeight="1" x14ac:dyDescent="0.3">
      <c r="A1716" s="62">
        <v>4</v>
      </c>
      <c r="B1716" s="11" t="s">
        <v>2486</v>
      </c>
      <c r="C1716" s="12" t="s">
        <v>2487</v>
      </c>
      <c r="D1716" s="85"/>
      <c r="E1716" s="67" t="str">
        <f>HYPERLINK("https://www.google.ru/search?q=4FAW23TTJAF363-20S&amp;newwindow=1&amp;tbm=isch","Еще фото")</f>
        <v>Еще фото</v>
      </c>
      <c r="F1716" s="14"/>
      <c r="G1716" s="11" t="s">
        <v>140</v>
      </c>
      <c r="H1716" s="11" t="s">
        <v>27</v>
      </c>
      <c r="I1716" s="15" t="s">
        <v>130</v>
      </c>
      <c r="J1716" s="15" t="s">
        <v>28</v>
      </c>
      <c r="K1716" s="16" t="s">
        <v>29</v>
      </c>
      <c r="L1716" s="83" t="s">
        <v>2488</v>
      </c>
      <c r="M1716" s="15"/>
      <c r="N1716" s="15" t="s">
        <v>38</v>
      </c>
      <c r="O1716" s="15"/>
      <c r="P1716" s="16" t="s">
        <v>106</v>
      </c>
      <c r="Q1716" s="17">
        <v>10299</v>
      </c>
      <c r="R1716" s="18">
        <v>71.180000000000007</v>
      </c>
      <c r="S1716" s="19">
        <v>3412.9354999999996</v>
      </c>
      <c r="T1716" s="20" t="s">
        <v>99</v>
      </c>
      <c r="U1716" s="21" t="s">
        <v>52</v>
      </c>
      <c r="V1716" s="23">
        <v>46</v>
      </c>
      <c r="W1716" s="23">
        <v>3</v>
      </c>
      <c r="X1716" s="24"/>
    </row>
    <row r="1717" spans="1:24" s="1" customFormat="1" ht="35" customHeight="1" x14ac:dyDescent="0.3">
      <c r="A1717" s="63">
        <v>4</v>
      </c>
      <c r="B1717" s="25" t="s">
        <v>2486</v>
      </c>
      <c r="C1717" s="12" t="s">
        <v>2487</v>
      </c>
      <c r="D1717" s="86"/>
      <c r="E1717" s="67" t="str">
        <f>HYPERLINK("https://www.google.ru/search?q=4FAW23TTJAF363-20S&amp;newwindow=1&amp;tbm=isch","Еще фото")</f>
        <v>Еще фото</v>
      </c>
      <c r="F1717" s="14"/>
      <c r="G1717" s="25" t="s">
        <v>140</v>
      </c>
      <c r="H1717" s="25" t="s">
        <v>27</v>
      </c>
      <c r="I1717" s="25" t="s">
        <v>130</v>
      </c>
      <c r="J1717" s="15" t="s">
        <v>28</v>
      </c>
      <c r="K1717" s="16" t="s">
        <v>29</v>
      </c>
      <c r="L1717" s="88"/>
      <c r="M1717" s="15"/>
      <c r="N1717" s="15" t="s">
        <v>38</v>
      </c>
      <c r="O1717" s="15"/>
      <c r="P1717" s="16" t="s">
        <v>106</v>
      </c>
      <c r="Q1717" s="17">
        <v>10299</v>
      </c>
      <c r="R1717" s="18">
        <v>71.180000000000007</v>
      </c>
      <c r="S1717" s="19">
        <v>3412.9354999999996</v>
      </c>
      <c r="T1717" s="20" t="s">
        <v>99</v>
      </c>
      <c r="U1717" s="21" t="s">
        <v>40</v>
      </c>
      <c r="V1717" s="23">
        <v>48</v>
      </c>
      <c r="W1717" s="23">
        <v>7</v>
      </c>
      <c r="X1717" s="24"/>
    </row>
    <row r="1718" spans="1:24" s="1" customFormat="1" ht="37.049999999999997" customHeight="1" x14ac:dyDescent="0.3">
      <c r="A1718" s="63">
        <v>4</v>
      </c>
      <c r="B1718" s="25" t="s">
        <v>2486</v>
      </c>
      <c r="C1718" s="12" t="s">
        <v>2487</v>
      </c>
      <c r="D1718" s="87"/>
      <c r="E1718" s="67" t="str">
        <f>HYPERLINK("https://www.google.ru/search?q=4FAW23TTJAF363-20S&amp;newwindow=1&amp;tbm=isch","Еще фото")</f>
        <v>Еще фото</v>
      </c>
      <c r="F1718" s="14"/>
      <c r="G1718" s="25" t="s">
        <v>140</v>
      </c>
      <c r="H1718" s="25" t="s">
        <v>27</v>
      </c>
      <c r="I1718" s="25" t="s">
        <v>130</v>
      </c>
      <c r="J1718" s="15" t="s">
        <v>28</v>
      </c>
      <c r="K1718" s="16" t="s">
        <v>29</v>
      </c>
      <c r="L1718" s="84"/>
      <c r="M1718" s="15"/>
      <c r="N1718" s="15" t="s">
        <v>38</v>
      </c>
      <c r="O1718" s="15"/>
      <c r="P1718" s="16" t="s">
        <v>106</v>
      </c>
      <c r="Q1718" s="17">
        <v>10299</v>
      </c>
      <c r="R1718" s="18">
        <v>71.180000000000007</v>
      </c>
      <c r="S1718" s="19">
        <v>3412.9354999999996</v>
      </c>
      <c r="T1718" s="20" t="s">
        <v>99</v>
      </c>
      <c r="U1718" s="21" t="s">
        <v>42</v>
      </c>
      <c r="V1718" s="23">
        <v>50</v>
      </c>
      <c r="W1718" s="23">
        <v>1</v>
      </c>
      <c r="X1718" s="24"/>
    </row>
    <row r="1719" spans="1:24" s="1" customFormat="1" ht="35" customHeight="1" x14ac:dyDescent="0.3">
      <c r="A1719" s="62">
        <v>4</v>
      </c>
      <c r="B1719" s="11" t="s">
        <v>2482</v>
      </c>
      <c r="C1719" s="12" t="s">
        <v>2489</v>
      </c>
      <c r="D1719" s="85"/>
      <c r="E1719" s="67" t="str">
        <f>HYPERLINK("https://www.google.ru/search?q=H4Z22-KUMP009-61S&amp;newwindow=1&amp;tbm=isch","Еще фото")</f>
        <v>Еще фото</v>
      </c>
      <c r="F1719" s="14"/>
      <c r="G1719" s="11" t="s">
        <v>129</v>
      </c>
      <c r="H1719" s="11" t="s">
        <v>27</v>
      </c>
      <c r="I1719" s="15" t="s">
        <v>130</v>
      </c>
      <c r="J1719" s="15" t="s">
        <v>28</v>
      </c>
      <c r="K1719" s="16" t="s">
        <v>45</v>
      </c>
      <c r="L1719" s="83" t="s">
        <v>2490</v>
      </c>
      <c r="M1719" s="15"/>
      <c r="N1719" s="15" t="s">
        <v>73</v>
      </c>
      <c r="O1719" s="15"/>
      <c r="P1719" s="16" t="s">
        <v>2469</v>
      </c>
      <c r="Q1719" s="17">
        <v>7599</v>
      </c>
      <c r="R1719" s="18">
        <v>71.08</v>
      </c>
      <c r="S1719" s="19">
        <v>2527.4354999999996</v>
      </c>
      <c r="T1719" s="20" t="s">
        <v>99</v>
      </c>
      <c r="U1719" s="21" t="s">
        <v>34</v>
      </c>
      <c r="V1719" s="23">
        <v>46</v>
      </c>
      <c r="W1719" s="23">
        <v>2</v>
      </c>
      <c r="X1719" s="24"/>
    </row>
    <row r="1720" spans="1:24" s="1" customFormat="1" ht="35" customHeight="1" x14ac:dyDescent="0.3">
      <c r="A1720" s="63">
        <v>4</v>
      </c>
      <c r="B1720" s="25" t="s">
        <v>2482</v>
      </c>
      <c r="C1720" s="12" t="s">
        <v>2489</v>
      </c>
      <c r="D1720" s="86"/>
      <c r="E1720" s="67" t="str">
        <f>HYPERLINK("https://www.google.ru/search?q=H4Z22-KUMP009-61S&amp;newwindow=1&amp;tbm=isch","Еще фото")</f>
        <v>Еще фото</v>
      </c>
      <c r="F1720" s="14"/>
      <c r="G1720" s="25" t="s">
        <v>129</v>
      </c>
      <c r="H1720" s="25" t="s">
        <v>27</v>
      </c>
      <c r="I1720" s="25" t="s">
        <v>130</v>
      </c>
      <c r="J1720" s="15" t="s">
        <v>28</v>
      </c>
      <c r="K1720" s="16" t="s">
        <v>45</v>
      </c>
      <c r="L1720" s="88"/>
      <c r="M1720" s="15"/>
      <c r="N1720" s="15" t="s">
        <v>73</v>
      </c>
      <c r="O1720" s="15"/>
      <c r="P1720" s="16" t="s">
        <v>2469</v>
      </c>
      <c r="Q1720" s="17">
        <v>7599</v>
      </c>
      <c r="R1720" s="18">
        <v>71.08</v>
      </c>
      <c r="S1720" s="19">
        <v>2527.4354999999996</v>
      </c>
      <c r="T1720" s="20" t="s">
        <v>99</v>
      </c>
      <c r="U1720" s="21" t="s">
        <v>52</v>
      </c>
      <c r="V1720" s="23">
        <v>48</v>
      </c>
      <c r="W1720" s="23">
        <v>2</v>
      </c>
      <c r="X1720" s="24"/>
    </row>
    <row r="1721" spans="1:24" s="1" customFormat="1" ht="37.049999999999997" customHeight="1" x14ac:dyDescent="0.3">
      <c r="A1721" s="63">
        <v>4</v>
      </c>
      <c r="B1721" s="25" t="s">
        <v>2482</v>
      </c>
      <c r="C1721" s="12" t="s">
        <v>2489</v>
      </c>
      <c r="D1721" s="87"/>
      <c r="E1721" s="67" t="str">
        <f>HYPERLINK("https://www.google.ru/search?q=H4Z22-KUMP009-61S&amp;newwindow=1&amp;tbm=isch","Еще фото")</f>
        <v>Еще фото</v>
      </c>
      <c r="F1721" s="14"/>
      <c r="G1721" s="25" t="s">
        <v>129</v>
      </c>
      <c r="H1721" s="25" t="s">
        <v>27</v>
      </c>
      <c r="I1721" s="25" t="s">
        <v>130</v>
      </c>
      <c r="J1721" s="15" t="s">
        <v>28</v>
      </c>
      <c r="K1721" s="16" t="s">
        <v>45</v>
      </c>
      <c r="L1721" s="84"/>
      <c r="M1721" s="15"/>
      <c r="N1721" s="15" t="s">
        <v>73</v>
      </c>
      <c r="O1721" s="15"/>
      <c r="P1721" s="16" t="s">
        <v>2469</v>
      </c>
      <c r="Q1721" s="17">
        <v>7599</v>
      </c>
      <c r="R1721" s="18">
        <v>71.08</v>
      </c>
      <c r="S1721" s="19">
        <v>2527.4354999999996</v>
      </c>
      <c r="T1721" s="20" t="s">
        <v>99</v>
      </c>
      <c r="U1721" s="21" t="s">
        <v>40</v>
      </c>
      <c r="V1721" s="23">
        <v>50</v>
      </c>
      <c r="W1721" s="23">
        <v>5</v>
      </c>
      <c r="X1721" s="24"/>
    </row>
    <row r="1722" spans="1:24" s="1" customFormat="1" ht="26" customHeight="1" x14ac:dyDescent="0.3">
      <c r="A1722" s="62">
        <v>4</v>
      </c>
      <c r="B1722" s="11" t="s">
        <v>2470</v>
      </c>
      <c r="C1722" s="12" t="s">
        <v>2491</v>
      </c>
      <c r="D1722" s="85"/>
      <c r="E1722" s="67" t="str">
        <f>HYPERLINK("https://www.google.ru/search?q=4FAW23TDJAM246-82S&amp;newwindow=1&amp;tbm=isch","Еще фото")</f>
        <v>Еще фото</v>
      </c>
      <c r="F1722" s="14"/>
      <c r="G1722" s="11" t="s">
        <v>129</v>
      </c>
      <c r="H1722" s="11" t="s">
        <v>27</v>
      </c>
      <c r="I1722" s="15" t="s">
        <v>130</v>
      </c>
      <c r="J1722" s="15" t="s">
        <v>28</v>
      </c>
      <c r="K1722" s="16" t="s">
        <v>45</v>
      </c>
      <c r="L1722" s="83" t="s">
        <v>2472</v>
      </c>
      <c r="M1722" s="15"/>
      <c r="N1722" s="15" t="s">
        <v>2464</v>
      </c>
      <c r="O1722" s="15"/>
      <c r="P1722" s="16" t="s">
        <v>106</v>
      </c>
      <c r="Q1722" s="17">
        <v>16999</v>
      </c>
      <c r="R1722" s="18">
        <v>69.069999999999993</v>
      </c>
      <c r="S1722" s="19">
        <v>6046.4354999999996</v>
      </c>
      <c r="T1722" s="20" t="s">
        <v>99</v>
      </c>
      <c r="U1722" s="21" t="s">
        <v>34</v>
      </c>
      <c r="V1722" s="23">
        <v>46</v>
      </c>
      <c r="W1722" s="23">
        <v>14</v>
      </c>
      <c r="X1722" s="24"/>
    </row>
    <row r="1723" spans="1:24" s="1" customFormat="1" ht="26" customHeight="1" x14ac:dyDescent="0.3">
      <c r="A1723" s="63">
        <v>4</v>
      </c>
      <c r="B1723" s="25" t="s">
        <v>2470</v>
      </c>
      <c r="C1723" s="12" t="s">
        <v>2491</v>
      </c>
      <c r="D1723" s="86"/>
      <c r="E1723" s="67" t="str">
        <f>HYPERLINK("https://www.google.ru/search?q=4FAW23TDJAM246-82S&amp;newwindow=1&amp;tbm=isch","Еще фото")</f>
        <v>Еще фото</v>
      </c>
      <c r="F1723" s="14"/>
      <c r="G1723" s="25" t="s">
        <v>129</v>
      </c>
      <c r="H1723" s="25" t="s">
        <v>27</v>
      </c>
      <c r="I1723" s="25" t="s">
        <v>130</v>
      </c>
      <c r="J1723" s="15" t="s">
        <v>28</v>
      </c>
      <c r="K1723" s="16" t="s">
        <v>45</v>
      </c>
      <c r="L1723" s="88"/>
      <c r="M1723" s="15"/>
      <c r="N1723" s="15" t="s">
        <v>2464</v>
      </c>
      <c r="O1723" s="15"/>
      <c r="P1723" s="16" t="s">
        <v>106</v>
      </c>
      <c r="Q1723" s="17">
        <v>16999</v>
      </c>
      <c r="R1723" s="18">
        <v>69.069999999999993</v>
      </c>
      <c r="S1723" s="19">
        <v>6046.4354999999996</v>
      </c>
      <c r="T1723" s="20" t="s">
        <v>99</v>
      </c>
      <c r="U1723" s="21" t="s">
        <v>52</v>
      </c>
      <c r="V1723" s="23">
        <v>48</v>
      </c>
      <c r="W1723" s="23">
        <v>26</v>
      </c>
      <c r="X1723" s="24"/>
    </row>
    <row r="1724" spans="1:24" s="1" customFormat="1" ht="26" customHeight="1" x14ac:dyDescent="0.3">
      <c r="A1724" s="63">
        <v>4</v>
      </c>
      <c r="B1724" s="25" t="s">
        <v>2470</v>
      </c>
      <c r="C1724" s="12" t="s">
        <v>2491</v>
      </c>
      <c r="D1724" s="86"/>
      <c r="E1724" s="67" t="str">
        <f>HYPERLINK("https://www.google.ru/search?q=4FAW23TDJAM246-82S&amp;newwindow=1&amp;tbm=isch","Еще фото")</f>
        <v>Еще фото</v>
      </c>
      <c r="F1724" s="14"/>
      <c r="G1724" s="25" t="s">
        <v>129</v>
      </c>
      <c r="H1724" s="25" t="s">
        <v>27</v>
      </c>
      <c r="I1724" s="25" t="s">
        <v>130</v>
      </c>
      <c r="J1724" s="15" t="s">
        <v>28</v>
      </c>
      <c r="K1724" s="16" t="s">
        <v>45</v>
      </c>
      <c r="L1724" s="88"/>
      <c r="M1724" s="15"/>
      <c r="N1724" s="15" t="s">
        <v>2464</v>
      </c>
      <c r="O1724" s="15"/>
      <c r="P1724" s="16" t="s">
        <v>106</v>
      </c>
      <c r="Q1724" s="17">
        <v>16999</v>
      </c>
      <c r="R1724" s="18">
        <v>69.069999999999993</v>
      </c>
      <c r="S1724" s="19">
        <v>6046.4354999999996</v>
      </c>
      <c r="T1724" s="20" t="s">
        <v>99</v>
      </c>
      <c r="U1724" s="21" t="s">
        <v>40</v>
      </c>
      <c r="V1724" s="23">
        <v>50</v>
      </c>
      <c r="W1724" s="23">
        <v>8</v>
      </c>
      <c r="X1724" s="24"/>
    </row>
    <row r="1725" spans="1:24" s="1" customFormat="1" ht="26" customHeight="1" x14ac:dyDescent="0.3">
      <c r="A1725" s="63">
        <v>4</v>
      </c>
      <c r="B1725" s="25" t="s">
        <v>2470</v>
      </c>
      <c r="C1725" s="12" t="s">
        <v>2491</v>
      </c>
      <c r="D1725" s="87"/>
      <c r="E1725" s="67" t="str">
        <f>HYPERLINK("https://www.google.ru/search?q=4FAW23TDJAM246-82S&amp;newwindow=1&amp;tbm=isch","Еще фото")</f>
        <v>Еще фото</v>
      </c>
      <c r="F1725" s="14"/>
      <c r="G1725" s="25" t="s">
        <v>129</v>
      </c>
      <c r="H1725" s="25" t="s">
        <v>27</v>
      </c>
      <c r="I1725" s="25" t="s">
        <v>130</v>
      </c>
      <c r="J1725" s="15" t="s">
        <v>28</v>
      </c>
      <c r="K1725" s="16" t="s">
        <v>45</v>
      </c>
      <c r="L1725" s="84"/>
      <c r="M1725" s="15"/>
      <c r="N1725" s="15" t="s">
        <v>2464</v>
      </c>
      <c r="O1725" s="15"/>
      <c r="P1725" s="16" t="s">
        <v>106</v>
      </c>
      <c r="Q1725" s="17">
        <v>16999</v>
      </c>
      <c r="R1725" s="18">
        <v>69.069999999999993</v>
      </c>
      <c r="S1725" s="19">
        <v>6046.4354999999996</v>
      </c>
      <c r="T1725" s="20" t="s">
        <v>99</v>
      </c>
      <c r="U1725" s="21" t="s">
        <v>42</v>
      </c>
      <c r="V1725" s="23">
        <v>52</v>
      </c>
      <c r="W1725" s="23">
        <v>2</v>
      </c>
      <c r="X1725" s="24"/>
    </row>
    <row r="1726" spans="1:24" s="1" customFormat="1" ht="26" customHeight="1" x14ac:dyDescent="0.3">
      <c r="A1726" s="62">
        <v>4</v>
      </c>
      <c r="B1726" s="11" t="s">
        <v>2456</v>
      </c>
      <c r="C1726" s="12" t="s">
        <v>2492</v>
      </c>
      <c r="D1726" s="85"/>
      <c r="E1726" s="67" t="str">
        <f>HYPERLINK("https://www.google.ru/search?q=4FAW23TDJAM249-20S&amp;newwindow=1&amp;tbm=isch","Еще фото")</f>
        <v>Еще фото</v>
      </c>
      <c r="F1726" s="14"/>
      <c r="G1726" s="11" t="s">
        <v>129</v>
      </c>
      <c r="H1726" s="11" t="s">
        <v>27</v>
      </c>
      <c r="I1726" s="15" t="s">
        <v>130</v>
      </c>
      <c r="J1726" s="15" t="s">
        <v>28</v>
      </c>
      <c r="K1726" s="16" t="s">
        <v>45</v>
      </c>
      <c r="L1726" s="83" t="s">
        <v>2458</v>
      </c>
      <c r="M1726" s="15"/>
      <c r="N1726" s="15" t="s">
        <v>38</v>
      </c>
      <c r="O1726" s="15"/>
      <c r="P1726" s="16" t="s">
        <v>106</v>
      </c>
      <c r="Q1726" s="17">
        <v>14999</v>
      </c>
      <c r="R1726" s="18">
        <v>66.75</v>
      </c>
      <c r="S1726" s="19">
        <v>5735.9355000000005</v>
      </c>
      <c r="T1726" s="20" t="s">
        <v>99</v>
      </c>
      <c r="U1726" s="21" t="s">
        <v>34</v>
      </c>
      <c r="V1726" s="23">
        <v>46</v>
      </c>
      <c r="W1726" s="23">
        <v>3</v>
      </c>
      <c r="X1726" s="24"/>
    </row>
    <row r="1727" spans="1:24" s="1" customFormat="1" ht="26" customHeight="1" x14ac:dyDescent="0.3">
      <c r="A1727" s="63">
        <v>4</v>
      </c>
      <c r="B1727" s="25" t="s">
        <v>2456</v>
      </c>
      <c r="C1727" s="12" t="s">
        <v>2492</v>
      </c>
      <c r="D1727" s="86"/>
      <c r="E1727" s="67" t="str">
        <f>HYPERLINK("https://www.google.ru/search?q=4FAW23TDJAM249-20S&amp;newwindow=1&amp;tbm=isch","Еще фото")</f>
        <v>Еще фото</v>
      </c>
      <c r="F1727" s="14"/>
      <c r="G1727" s="25" t="s">
        <v>129</v>
      </c>
      <c r="H1727" s="25" t="s">
        <v>27</v>
      </c>
      <c r="I1727" s="25" t="s">
        <v>130</v>
      </c>
      <c r="J1727" s="15" t="s">
        <v>28</v>
      </c>
      <c r="K1727" s="16" t="s">
        <v>45</v>
      </c>
      <c r="L1727" s="88"/>
      <c r="M1727" s="15"/>
      <c r="N1727" s="15" t="s">
        <v>38</v>
      </c>
      <c r="O1727" s="15"/>
      <c r="P1727" s="16" t="s">
        <v>106</v>
      </c>
      <c r="Q1727" s="17">
        <v>14999</v>
      </c>
      <c r="R1727" s="18">
        <v>66.75</v>
      </c>
      <c r="S1727" s="19">
        <v>5735.9355000000005</v>
      </c>
      <c r="T1727" s="20" t="s">
        <v>99</v>
      </c>
      <c r="U1727" s="21" t="s">
        <v>52</v>
      </c>
      <c r="V1727" s="23">
        <v>48</v>
      </c>
      <c r="W1727" s="23">
        <v>11</v>
      </c>
      <c r="X1727" s="24"/>
    </row>
    <row r="1728" spans="1:24" s="1" customFormat="1" ht="26" customHeight="1" x14ac:dyDescent="0.3">
      <c r="A1728" s="63">
        <v>4</v>
      </c>
      <c r="B1728" s="25" t="s">
        <v>2456</v>
      </c>
      <c r="C1728" s="12" t="s">
        <v>2492</v>
      </c>
      <c r="D1728" s="86"/>
      <c r="E1728" s="67" t="str">
        <f>HYPERLINK("https://www.google.ru/search?q=4FAW23TDJAM249-20S&amp;newwindow=1&amp;tbm=isch","Еще фото")</f>
        <v>Еще фото</v>
      </c>
      <c r="F1728" s="14"/>
      <c r="G1728" s="25" t="s">
        <v>129</v>
      </c>
      <c r="H1728" s="25" t="s">
        <v>27</v>
      </c>
      <c r="I1728" s="25" t="s">
        <v>130</v>
      </c>
      <c r="J1728" s="15" t="s">
        <v>28</v>
      </c>
      <c r="K1728" s="16" t="s">
        <v>45</v>
      </c>
      <c r="L1728" s="88"/>
      <c r="M1728" s="15"/>
      <c r="N1728" s="15" t="s">
        <v>38</v>
      </c>
      <c r="O1728" s="15"/>
      <c r="P1728" s="16" t="s">
        <v>106</v>
      </c>
      <c r="Q1728" s="17">
        <v>14999</v>
      </c>
      <c r="R1728" s="18">
        <v>66.75</v>
      </c>
      <c r="S1728" s="19">
        <v>5735.9355000000005</v>
      </c>
      <c r="T1728" s="20" t="s">
        <v>99</v>
      </c>
      <c r="U1728" s="21" t="s">
        <v>40</v>
      </c>
      <c r="V1728" s="23">
        <v>50</v>
      </c>
      <c r="W1728" s="23">
        <v>6</v>
      </c>
      <c r="X1728" s="24"/>
    </row>
    <row r="1729" spans="1:24" s="1" customFormat="1" ht="26" customHeight="1" x14ac:dyDescent="0.3">
      <c r="A1729" s="63">
        <v>4</v>
      </c>
      <c r="B1729" s="25" t="s">
        <v>2456</v>
      </c>
      <c r="C1729" s="12" t="s">
        <v>2492</v>
      </c>
      <c r="D1729" s="87"/>
      <c r="E1729" s="67" t="str">
        <f>HYPERLINK("https://www.google.ru/search?q=4FAW23TDJAM249-20S&amp;newwindow=1&amp;tbm=isch","Еще фото")</f>
        <v>Еще фото</v>
      </c>
      <c r="F1729" s="14"/>
      <c r="G1729" s="25" t="s">
        <v>129</v>
      </c>
      <c r="H1729" s="25" t="s">
        <v>27</v>
      </c>
      <c r="I1729" s="25" t="s">
        <v>130</v>
      </c>
      <c r="J1729" s="15" t="s">
        <v>28</v>
      </c>
      <c r="K1729" s="16" t="s">
        <v>45</v>
      </c>
      <c r="L1729" s="84"/>
      <c r="M1729" s="15"/>
      <c r="N1729" s="15" t="s">
        <v>38</v>
      </c>
      <c r="O1729" s="15"/>
      <c r="P1729" s="16" t="s">
        <v>106</v>
      </c>
      <c r="Q1729" s="17">
        <v>14999</v>
      </c>
      <c r="R1729" s="18">
        <v>66.75</v>
      </c>
      <c r="S1729" s="19">
        <v>5735.9355000000005</v>
      </c>
      <c r="T1729" s="20" t="s">
        <v>99</v>
      </c>
      <c r="U1729" s="21" t="s">
        <v>42</v>
      </c>
      <c r="V1729" s="23">
        <v>52</v>
      </c>
      <c r="W1729" s="23">
        <v>1</v>
      </c>
      <c r="X1729" s="24"/>
    </row>
    <row r="1730" spans="1:24" s="1" customFormat="1" ht="26" customHeight="1" x14ac:dyDescent="0.3">
      <c r="A1730" s="62">
        <v>4</v>
      </c>
      <c r="B1730" s="11" t="s">
        <v>2474</v>
      </c>
      <c r="C1730" s="12" t="s">
        <v>2493</v>
      </c>
      <c r="D1730" s="85"/>
      <c r="E1730" s="67" t="str">
        <f>HYPERLINK("https://www.google.ru/search?q=4FAW23TDJAF230-55S&amp;newwindow=1&amp;tbm=isch","Еще фото")</f>
        <v>Еще фото</v>
      </c>
      <c r="F1730" s="14"/>
      <c r="G1730" s="11" t="s">
        <v>129</v>
      </c>
      <c r="H1730" s="11" t="s">
        <v>27</v>
      </c>
      <c r="I1730" s="15" t="s">
        <v>130</v>
      </c>
      <c r="J1730" s="15" t="s">
        <v>28</v>
      </c>
      <c r="K1730" s="16" t="s">
        <v>29</v>
      </c>
      <c r="L1730" s="83" t="s">
        <v>2476</v>
      </c>
      <c r="M1730" s="15"/>
      <c r="N1730" s="15" t="s">
        <v>2494</v>
      </c>
      <c r="O1730" s="15"/>
      <c r="P1730" s="16" t="s">
        <v>2477</v>
      </c>
      <c r="Q1730" s="17">
        <v>11799</v>
      </c>
      <c r="R1730" s="18">
        <v>66.709999999999994</v>
      </c>
      <c r="S1730" s="19">
        <v>4516.9354999999996</v>
      </c>
      <c r="T1730" s="20" t="s">
        <v>99</v>
      </c>
      <c r="U1730" s="21" t="s">
        <v>442</v>
      </c>
      <c r="V1730" s="23">
        <v>42</v>
      </c>
      <c r="W1730" s="23">
        <v>1</v>
      </c>
      <c r="X1730" s="24"/>
    </row>
    <row r="1731" spans="1:24" s="1" customFormat="1" ht="26" customHeight="1" x14ac:dyDescent="0.3">
      <c r="A1731" s="63">
        <v>4</v>
      </c>
      <c r="B1731" s="25" t="s">
        <v>2474</v>
      </c>
      <c r="C1731" s="12" t="s">
        <v>2493</v>
      </c>
      <c r="D1731" s="86"/>
      <c r="E1731" s="67" t="str">
        <f>HYPERLINK("https://www.google.ru/search?q=4FAW23TDJAF230-55S&amp;newwindow=1&amp;tbm=isch","Еще фото")</f>
        <v>Еще фото</v>
      </c>
      <c r="F1731" s="14"/>
      <c r="G1731" s="25" t="s">
        <v>129</v>
      </c>
      <c r="H1731" s="25" t="s">
        <v>27</v>
      </c>
      <c r="I1731" s="25" t="s">
        <v>130</v>
      </c>
      <c r="J1731" s="15" t="s">
        <v>28</v>
      </c>
      <c r="K1731" s="16" t="s">
        <v>29</v>
      </c>
      <c r="L1731" s="88"/>
      <c r="M1731" s="15"/>
      <c r="N1731" s="15" t="s">
        <v>2494</v>
      </c>
      <c r="O1731" s="15"/>
      <c r="P1731" s="16" t="s">
        <v>2477</v>
      </c>
      <c r="Q1731" s="17">
        <v>11799</v>
      </c>
      <c r="R1731" s="18">
        <v>66.709999999999994</v>
      </c>
      <c r="S1731" s="19">
        <v>4516.9354999999996</v>
      </c>
      <c r="T1731" s="20" t="s">
        <v>99</v>
      </c>
      <c r="U1731" s="21" t="s">
        <v>52</v>
      </c>
      <c r="V1731" s="23">
        <v>46</v>
      </c>
      <c r="W1731" s="23">
        <v>13</v>
      </c>
      <c r="X1731" s="24"/>
    </row>
    <row r="1732" spans="1:24" s="1" customFormat="1" ht="26" customHeight="1" x14ac:dyDescent="0.3">
      <c r="A1732" s="63">
        <v>4</v>
      </c>
      <c r="B1732" s="25" t="s">
        <v>2474</v>
      </c>
      <c r="C1732" s="12" t="s">
        <v>2493</v>
      </c>
      <c r="D1732" s="86"/>
      <c r="E1732" s="67" t="str">
        <f>HYPERLINK("https://www.google.ru/search?q=4FAW23TDJAF230-55S&amp;newwindow=1&amp;tbm=isch","Еще фото")</f>
        <v>Еще фото</v>
      </c>
      <c r="F1732" s="14"/>
      <c r="G1732" s="25" t="s">
        <v>129</v>
      </c>
      <c r="H1732" s="25" t="s">
        <v>27</v>
      </c>
      <c r="I1732" s="25" t="s">
        <v>130</v>
      </c>
      <c r="J1732" s="15" t="s">
        <v>28</v>
      </c>
      <c r="K1732" s="16" t="s">
        <v>29</v>
      </c>
      <c r="L1732" s="88"/>
      <c r="M1732" s="15"/>
      <c r="N1732" s="15" t="s">
        <v>2494</v>
      </c>
      <c r="O1732" s="15"/>
      <c r="P1732" s="16" t="s">
        <v>2477</v>
      </c>
      <c r="Q1732" s="17">
        <v>11799</v>
      </c>
      <c r="R1732" s="18">
        <v>66.709999999999994</v>
      </c>
      <c r="S1732" s="19">
        <v>4516.9354999999996</v>
      </c>
      <c r="T1732" s="20" t="s">
        <v>99</v>
      </c>
      <c r="U1732" s="21" t="s">
        <v>40</v>
      </c>
      <c r="V1732" s="23">
        <v>48</v>
      </c>
      <c r="W1732" s="23">
        <v>14</v>
      </c>
      <c r="X1732" s="24"/>
    </row>
    <row r="1733" spans="1:24" s="1" customFormat="1" ht="26" customHeight="1" x14ac:dyDescent="0.3">
      <c r="A1733" s="63">
        <v>4</v>
      </c>
      <c r="B1733" s="25" t="s">
        <v>2474</v>
      </c>
      <c r="C1733" s="12" t="s">
        <v>2493</v>
      </c>
      <c r="D1733" s="87"/>
      <c r="E1733" s="67" t="str">
        <f>HYPERLINK("https://www.google.ru/search?q=4FAW23TDJAF230-55S&amp;newwindow=1&amp;tbm=isch","Еще фото")</f>
        <v>Еще фото</v>
      </c>
      <c r="F1733" s="14"/>
      <c r="G1733" s="25" t="s">
        <v>129</v>
      </c>
      <c r="H1733" s="25" t="s">
        <v>27</v>
      </c>
      <c r="I1733" s="25" t="s">
        <v>130</v>
      </c>
      <c r="J1733" s="15" t="s">
        <v>28</v>
      </c>
      <c r="K1733" s="16" t="s">
        <v>29</v>
      </c>
      <c r="L1733" s="84"/>
      <c r="M1733" s="15"/>
      <c r="N1733" s="15" t="s">
        <v>2494</v>
      </c>
      <c r="O1733" s="15"/>
      <c r="P1733" s="16" t="s">
        <v>2477</v>
      </c>
      <c r="Q1733" s="17">
        <v>11799</v>
      </c>
      <c r="R1733" s="18">
        <v>66.709999999999994</v>
      </c>
      <c r="S1733" s="19">
        <v>4516.9354999999996</v>
      </c>
      <c r="T1733" s="20" t="s">
        <v>99</v>
      </c>
      <c r="U1733" s="21" t="s">
        <v>42</v>
      </c>
      <c r="V1733" s="23">
        <v>50</v>
      </c>
      <c r="W1733" s="23">
        <v>1</v>
      </c>
      <c r="X1733" s="24"/>
    </row>
    <row r="1734" spans="1:24" s="1" customFormat="1" ht="52.05" customHeight="1" x14ac:dyDescent="0.3">
      <c r="A1734" s="62">
        <v>4</v>
      </c>
      <c r="B1734" s="11" t="s">
        <v>2482</v>
      </c>
      <c r="C1734" s="12" t="s">
        <v>2495</v>
      </c>
      <c r="D1734" s="81"/>
      <c r="E1734" s="67" t="str">
        <f>HYPERLINK("https://www.google.ru/search?q=H4Z22-KUMP007-44S&amp;newwindow=1&amp;tbm=isch","Еще фото")</f>
        <v>Еще фото</v>
      </c>
      <c r="F1734" s="14"/>
      <c r="G1734" s="11" t="s">
        <v>129</v>
      </c>
      <c r="H1734" s="11" t="s">
        <v>27</v>
      </c>
      <c r="I1734" s="15" t="s">
        <v>130</v>
      </c>
      <c r="J1734" s="15" t="s">
        <v>28</v>
      </c>
      <c r="K1734" s="16" t="s">
        <v>45</v>
      </c>
      <c r="L1734" s="83" t="s">
        <v>2468</v>
      </c>
      <c r="M1734" s="15"/>
      <c r="N1734" s="15" t="s">
        <v>55</v>
      </c>
      <c r="O1734" s="15"/>
      <c r="P1734" s="16" t="s">
        <v>2469</v>
      </c>
      <c r="Q1734" s="17">
        <v>11399</v>
      </c>
      <c r="R1734" s="18">
        <v>65.89</v>
      </c>
      <c r="S1734" s="19">
        <v>4470.9354999999996</v>
      </c>
      <c r="T1734" s="20" t="s">
        <v>99</v>
      </c>
      <c r="U1734" s="21" t="s">
        <v>34</v>
      </c>
      <c r="V1734" s="23">
        <v>46</v>
      </c>
      <c r="W1734" s="23">
        <v>1</v>
      </c>
      <c r="X1734" s="24"/>
    </row>
    <row r="1735" spans="1:24" s="1" customFormat="1" ht="61.05" customHeight="1" x14ac:dyDescent="0.3">
      <c r="A1735" s="63">
        <v>4</v>
      </c>
      <c r="B1735" s="25" t="s">
        <v>2482</v>
      </c>
      <c r="C1735" s="12" t="s">
        <v>2495</v>
      </c>
      <c r="D1735" s="82"/>
      <c r="E1735" s="67" t="str">
        <f>HYPERLINK("https://www.google.ru/search?q=H4Z22-KUMP007-44S&amp;newwindow=1&amp;tbm=isch","Еще фото")</f>
        <v>Еще фото</v>
      </c>
      <c r="F1735" s="14"/>
      <c r="G1735" s="25" t="s">
        <v>129</v>
      </c>
      <c r="H1735" s="25" t="s">
        <v>27</v>
      </c>
      <c r="I1735" s="25" t="s">
        <v>130</v>
      </c>
      <c r="J1735" s="15" t="s">
        <v>28</v>
      </c>
      <c r="K1735" s="16" t="s">
        <v>45</v>
      </c>
      <c r="L1735" s="84"/>
      <c r="M1735" s="15"/>
      <c r="N1735" s="15" t="s">
        <v>55</v>
      </c>
      <c r="O1735" s="15"/>
      <c r="P1735" s="16" t="s">
        <v>2469</v>
      </c>
      <c r="Q1735" s="17">
        <v>11399</v>
      </c>
      <c r="R1735" s="18">
        <v>65.89</v>
      </c>
      <c r="S1735" s="19">
        <v>4470.9354999999996</v>
      </c>
      <c r="T1735" s="20" t="s">
        <v>99</v>
      </c>
      <c r="U1735" s="21" t="s">
        <v>52</v>
      </c>
      <c r="V1735" s="23">
        <v>48</v>
      </c>
      <c r="W1735" s="23">
        <v>3</v>
      </c>
      <c r="X1735" s="24"/>
    </row>
    <row r="1736" spans="1:24" s="1" customFormat="1" ht="108" customHeight="1" x14ac:dyDescent="0.3">
      <c r="A1736" s="62">
        <v>4</v>
      </c>
      <c r="B1736" s="11" t="s">
        <v>2496</v>
      </c>
      <c r="C1736" s="12" t="s">
        <v>2497</v>
      </c>
      <c r="D1736" s="13"/>
      <c r="E1736" s="67" t="str">
        <f>HYPERLINK("https://www.google.ru/search?q=H4Z20-KUDN005-54S&amp;newwindow=1&amp;tbm=isch","Еще фото")</f>
        <v>Еще фото</v>
      </c>
      <c r="F1736" s="14"/>
      <c r="G1736" s="11" t="s">
        <v>2498</v>
      </c>
      <c r="H1736" s="11" t="s">
        <v>27</v>
      </c>
      <c r="I1736" s="15" t="s">
        <v>130</v>
      </c>
      <c r="J1736" s="15" t="s">
        <v>28</v>
      </c>
      <c r="K1736" s="16" t="s">
        <v>29</v>
      </c>
      <c r="L1736" s="15" t="s">
        <v>2499</v>
      </c>
      <c r="M1736" s="15"/>
      <c r="N1736" s="15" t="s">
        <v>413</v>
      </c>
      <c r="O1736" s="15"/>
      <c r="P1736" s="16" t="s">
        <v>106</v>
      </c>
      <c r="Q1736" s="17">
        <v>12499</v>
      </c>
      <c r="R1736" s="18">
        <v>55.69</v>
      </c>
      <c r="S1736" s="19">
        <v>6368.4354999999996</v>
      </c>
      <c r="T1736" s="20" t="s">
        <v>99</v>
      </c>
      <c r="U1736" s="21" t="s">
        <v>34</v>
      </c>
      <c r="V1736" s="23">
        <v>44</v>
      </c>
      <c r="W1736" s="23">
        <v>2</v>
      </c>
      <c r="X1736" s="24"/>
    </row>
    <row r="1737" spans="1:24" s="1" customFormat="1" ht="52.05" customHeight="1" x14ac:dyDescent="0.3">
      <c r="A1737" s="62">
        <v>4</v>
      </c>
      <c r="B1737" s="11" t="s">
        <v>2500</v>
      </c>
      <c r="C1737" s="12" t="s">
        <v>2501</v>
      </c>
      <c r="D1737" s="81"/>
      <c r="E1737" s="67" t="str">
        <f>HYPERLINK("https://www.google.ru/search?q=4FAW23TVESM064-61S&amp;newwindow=1&amp;tbm=isch","Еще фото")</f>
        <v>Еще фото</v>
      </c>
      <c r="F1737" s="14"/>
      <c r="G1737" s="11" t="s">
        <v>2502</v>
      </c>
      <c r="H1737" s="11" t="s">
        <v>27</v>
      </c>
      <c r="I1737" s="15" t="s">
        <v>130</v>
      </c>
      <c r="J1737" s="15" t="s">
        <v>28</v>
      </c>
      <c r="K1737" s="16" t="s">
        <v>45</v>
      </c>
      <c r="L1737" s="83" t="s">
        <v>2503</v>
      </c>
      <c r="M1737" s="15"/>
      <c r="N1737" s="15" t="s">
        <v>423</v>
      </c>
      <c r="O1737" s="15"/>
      <c r="P1737" s="16" t="s">
        <v>496</v>
      </c>
      <c r="Q1737" s="17">
        <v>7299</v>
      </c>
      <c r="R1737" s="18">
        <v>52.49</v>
      </c>
      <c r="S1737" s="19">
        <v>3987.9354999999996</v>
      </c>
      <c r="T1737" s="20" t="s">
        <v>99</v>
      </c>
      <c r="U1737" s="21" t="s">
        <v>34</v>
      </c>
      <c r="V1737" s="23">
        <v>46</v>
      </c>
      <c r="W1737" s="23">
        <v>1</v>
      </c>
      <c r="X1737" s="24"/>
    </row>
    <row r="1738" spans="1:24" s="1" customFormat="1" ht="61.05" customHeight="1" x14ac:dyDescent="0.3">
      <c r="A1738" s="63">
        <v>4</v>
      </c>
      <c r="B1738" s="25" t="s">
        <v>2500</v>
      </c>
      <c r="C1738" s="12" t="s">
        <v>2501</v>
      </c>
      <c r="D1738" s="82"/>
      <c r="E1738" s="67" t="str">
        <f>HYPERLINK("https://www.google.ru/search?q=4FAW23TVESM064-61S&amp;newwindow=1&amp;tbm=isch","Еще фото")</f>
        <v>Еще фото</v>
      </c>
      <c r="F1738" s="14"/>
      <c r="G1738" s="25" t="s">
        <v>2502</v>
      </c>
      <c r="H1738" s="25" t="s">
        <v>27</v>
      </c>
      <c r="I1738" s="25" t="s">
        <v>130</v>
      </c>
      <c r="J1738" s="15" t="s">
        <v>28</v>
      </c>
      <c r="K1738" s="16" t="s">
        <v>45</v>
      </c>
      <c r="L1738" s="84"/>
      <c r="M1738" s="15"/>
      <c r="N1738" s="15" t="s">
        <v>423</v>
      </c>
      <c r="O1738" s="15"/>
      <c r="P1738" s="16" t="s">
        <v>496</v>
      </c>
      <c r="Q1738" s="17">
        <v>7299</v>
      </c>
      <c r="R1738" s="18">
        <v>52.49</v>
      </c>
      <c r="S1738" s="19">
        <v>3987.9354999999996</v>
      </c>
      <c r="T1738" s="20" t="s">
        <v>99</v>
      </c>
      <c r="U1738" s="21" t="s">
        <v>52</v>
      </c>
      <c r="V1738" s="23">
        <v>48</v>
      </c>
      <c r="W1738" s="23">
        <v>2</v>
      </c>
      <c r="X1738" s="24"/>
    </row>
    <row r="1739" spans="1:24" s="1" customFormat="1" ht="26" customHeight="1" x14ac:dyDescent="0.3">
      <c r="A1739" s="62">
        <v>4</v>
      </c>
      <c r="B1739" s="11" t="s">
        <v>2504</v>
      </c>
      <c r="C1739" s="12" t="s">
        <v>2505</v>
      </c>
      <c r="D1739" s="85"/>
      <c r="E1739" s="67" t="str">
        <f>HYPERLINK("https://www.google.ru/search?q=4FAW23TDJAF236-20S&amp;newwindow=1&amp;tbm=isch","Еще фото")</f>
        <v>Еще фото</v>
      </c>
      <c r="F1739" s="14"/>
      <c r="G1739" s="11" t="s">
        <v>129</v>
      </c>
      <c r="H1739" s="11" t="s">
        <v>27</v>
      </c>
      <c r="I1739" s="15" t="s">
        <v>130</v>
      </c>
      <c r="J1739" s="15" t="s">
        <v>28</v>
      </c>
      <c r="K1739" s="16" t="s">
        <v>29</v>
      </c>
      <c r="L1739" s="83" t="s">
        <v>2506</v>
      </c>
      <c r="M1739" s="15"/>
      <c r="N1739" s="15" t="s">
        <v>38</v>
      </c>
      <c r="O1739" s="15"/>
      <c r="P1739" s="16" t="s">
        <v>106</v>
      </c>
      <c r="Q1739" s="17">
        <v>14899</v>
      </c>
      <c r="R1739" s="18">
        <v>52.43</v>
      </c>
      <c r="S1739" s="19">
        <v>8150.9354999999996</v>
      </c>
      <c r="T1739" s="20" t="s">
        <v>99</v>
      </c>
      <c r="U1739" s="21" t="s">
        <v>34</v>
      </c>
      <c r="V1739" s="23">
        <v>44</v>
      </c>
      <c r="W1739" s="23">
        <v>1</v>
      </c>
      <c r="X1739" s="24"/>
    </row>
    <row r="1740" spans="1:24" s="1" customFormat="1" ht="26" customHeight="1" x14ac:dyDescent="0.3">
      <c r="A1740" s="63">
        <v>4</v>
      </c>
      <c r="B1740" s="25" t="s">
        <v>2504</v>
      </c>
      <c r="C1740" s="12" t="s">
        <v>2505</v>
      </c>
      <c r="D1740" s="86"/>
      <c r="E1740" s="67" t="str">
        <f>HYPERLINK("https://www.google.ru/search?q=4FAW23TDJAF236-20S&amp;newwindow=1&amp;tbm=isch","Еще фото")</f>
        <v>Еще фото</v>
      </c>
      <c r="F1740" s="14"/>
      <c r="G1740" s="25" t="s">
        <v>129</v>
      </c>
      <c r="H1740" s="25" t="s">
        <v>27</v>
      </c>
      <c r="I1740" s="25" t="s">
        <v>130</v>
      </c>
      <c r="J1740" s="15" t="s">
        <v>28</v>
      </c>
      <c r="K1740" s="16" t="s">
        <v>29</v>
      </c>
      <c r="L1740" s="88"/>
      <c r="M1740" s="15"/>
      <c r="N1740" s="15" t="s">
        <v>38</v>
      </c>
      <c r="O1740" s="15"/>
      <c r="P1740" s="16" t="s">
        <v>106</v>
      </c>
      <c r="Q1740" s="17">
        <v>14899</v>
      </c>
      <c r="R1740" s="18">
        <v>52.43</v>
      </c>
      <c r="S1740" s="19">
        <v>8150.9354999999996</v>
      </c>
      <c r="T1740" s="20" t="s">
        <v>99</v>
      </c>
      <c r="U1740" s="21" t="s">
        <v>52</v>
      </c>
      <c r="V1740" s="23">
        <v>46</v>
      </c>
      <c r="W1740" s="23">
        <v>3</v>
      </c>
      <c r="X1740" s="24"/>
    </row>
    <row r="1741" spans="1:24" s="1" customFormat="1" ht="26" customHeight="1" x14ac:dyDescent="0.3">
      <c r="A1741" s="63">
        <v>4</v>
      </c>
      <c r="B1741" s="25" t="s">
        <v>2504</v>
      </c>
      <c r="C1741" s="12" t="s">
        <v>2505</v>
      </c>
      <c r="D1741" s="86"/>
      <c r="E1741" s="67" t="str">
        <f>HYPERLINK("https://www.google.ru/search?q=4FAW23TDJAF236-20S&amp;newwindow=1&amp;tbm=isch","Еще фото")</f>
        <v>Еще фото</v>
      </c>
      <c r="F1741" s="14"/>
      <c r="G1741" s="25" t="s">
        <v>129</v>
      </c>
      <c r="H1741" s="25" t="s">
        <v>27</v>
      </c>
      <c r="I1741" s="25" t="s">
        <v>130</v>
      </c>
      <c r="J1741" s="15" t="s">
        <v>28</v>
      </c>
      <c r="K1741" s="16" t="s">
        <v>29</v>
      </c>
      <c r="L1741" s="88"/>
      <c r="M1741" s="15"/>
      <c r="N1741" s="15" t="s">
        <v>38</v>
      </c>
      <c r="O1741" s="15"/>
      <c r="P1741" s="16" t="s">
        <v>106</v>
      </c>
      <c r="Q1741" s="17">
        <v>14899</v>
      </c>
      <c r="R1741" s="18">
        <v>52.43</v>
      </c>
      <c r="S1741" s="19">
        <v>8150.9354999999996</v>
      </c>
      <c r="T1741" s="20" t="s">
        <v>99</v>
      </c>
      <c r="U1741" s="21" t="s">
        <v>40</v>
      </c>
      <c r="V1741" s="23">
        <v>48</v>
      </c>
      <c r="W1741" s="23">
        <v>4</v>
      </c>
      <c r="X1741" s="24"/>
    </row>
    <row r="1742" spans="1:24" s="1" customFormat="1" ht="26" customHeight="1" x14ac:dyDescent="0.3">
      <c r="A1742" s="63">
        <v>4</v>
      </c>
      <c r="B1742" s="25" t="s">
        <v>2504</v>
      </c>
      <c r="C1742" s="12" t="s">
        <v>2505</v>
      </c>
      <c r="D1742" s="87"/>
      <c r="E1742" s="67" t="str">
        <f>HYPERLINK("https://www.google.ru/search?q=4FAW23TDJAF236-20S&amp;newwindow=1&amp;tbm=isch","Еще фото")</f>
        <v>Еще фото</v>
      </c>
      <c r="F1742" s="14"/>
      <c r="G1742" s="25" t="s">
        <v>129</v>
      </c>
      <c r="H1742" s="25" t="s">
        <v>27</v>
      </c>
      <c r="I1742" s="25" t="s">
        <v>130</v>
      </c>
      <c r="J1742" s="15" t="s">
        <v>28</v>
      </c>
      <c r="K1742" s="16" t="s">
        <v>29</v>
      </c>
      <c r="L1742" s="84"/>
      <c r="M1742" s="15"/>
      <c r="N1742" s="15" t="s">
        <v>38</v>
      </c>
      <c r="O1742" s="15"/>
      <c r="P1742" s="16" t="s">
        <v>106</v>
      </c>
      <c r="Q1742" s="17">
        <v>14899</v>
      </c>
      <c r="R1742" s="18">
        <v>52.43</v>
      </c>
      <c r="S1742" s="19">
        <v>8150.9354999999996</v>
      </c>
      <c r="T1742" s="20" t="s">
        <v>99</v>
      </c>
      <c r="U1742" s="21" t="s">
        <v>42</v>
      </c>
      <c r="V1742" s="23">
        <v>50</v>
      </c>
      <c r="W1742" s="23">
        <v>1</v>
      </c>
      <c r="X1742" s="24"/>
    </row>
    <row r="1743" spans="1:24" s="1" customFormat="1" ht="35" customHeight="1" x14ac:dyDescent="0.3">
      <c r="A1743" s="62">
        <v>4</v>
      </c>
      <c r="B1743" s="11" t="s">
        <v>2504</v>
      </c>
      <c r="C1743" s="12" t="s">
        <v>2507</v>
      </c>
      <c r="D1743" s="85"/>
      <c r="E1743" s="67" t="str">
        <f>HYPERLINK("https://www.google.ru/search?q=4FAW23TDJAF236-64S&amp;newwindow=1&amp;tbm=isch","Еще фото")</f>
        <v>Еще фото</v>
      </c>
      <c r="F1743" s="14"/>
      <c r="G1743" s="11" t="s">
        <v>129</v>
      </c>
      <c r="H1743" s="11" t="s">
        <v>27</v>
      </c>
      <c r="I1743" s="15" t="s">
        <v>130</v>
      </c>
      <c r="J1743" s="15" t="s">
        <v>28</v>
      </c>
      <c r="K1743" s="16" t="s">
        <v>29</v>
      </c>
      <c r="L1743" s="83" t="s">
        <v>2506</v>
      </c>
      <c r="M1743" s="15"/>
      <c r="N1743" s="15" t="s">
        <v>212</v>
      </c>
      <c r="O1743" s="15"/>
      <c r="P1743" s="16" t="s">
        <v>106</v>
      </c>
      <c r="Q1743" s="17">
        <v>14899</v>
      </c>
      <c r="R1743" s="18">
        <v>52.43</v>
      </c>
      <c r="S1743" s="19">
        <v>8150.9354999999996</v>
      </c>
      <c r="T1743" s="20" t="s">
        <v>99</v>
      </c>
      <c r="U1743" s="21" t="s">
        <v>52</v>
      </c>
      <c r="V1743" s="23">
        <v>46</v>
      </c>
      <c r="W1743" s="23">
        <v>2</v>
      </c>
      <c r="X1743" s="24"/>
    </row>
    <row r="1744" spans="1:24" s="1" customFormat="1" ht="35" customHeight="1" x14ac:dyDescent="0.3">
      <c r="A1744" s="63">
        <v>4</v>
      </c>
      <c r="B1744" s="25" t="s">
        <v>2504</v>
      </c>
      <c r="C1744" s="12" t="s">
        <v>2507</v>
      </c>
      <c r="D1744" s="86"/>
      <c r="E1744" s="67" t="str">
        <f>HYPERLINK("https://www.google.ru/search?q=4FAW23TDJAF236-64S&amp;newwindow=1&amp;tbm=isch","Еще фото")</f>
        <v>Еще фото</v>
      </c>
      <c r="F1744" s="14"/>
      <c r="G1744" s="25" t="s">
        <v>129</v>
      </c>
      <c r="H1744" s="25" t="s">
        <v>27</v>
      </c>
      <c r="I1744" s="25" t="s">
        <v>130</v>
      </c>
      <c r="J1744" s="15" t="s">
        <v>28</v>
      </c>
      <c r="K1744" s="16" t="s">
        <v>29</v>
      </c>
      <c r="L1744" s="88"/>
      <c r="M1744" s="15"/>
      <c r="N1744" s="15" t="s">
        <v>212</v>
      </c>
      <c r="O1744" s="15"/>
      <c r="P1744" s="16" t="s">
        <v>106</v>
      </c>
      <c r="Q1744" s="17">
        <v>14899</v>
      </c>
      <c r="R1744" s="18">
        <v>52.43</v>
      </c>
      <c r="S1744" s="19">
        <v>8150.9354999999996</v>
      </c>
      <c r="T1744" s="20" t="s">
        <v>99</v>
      </c>
      <c r="U1744" s="21" t="s">
        <v>42</v>
      </c>
      <c r="V1744" s="23">
        <v>50</v>
      </c>
      <c r="W1744" s="23">
        <v>1</v>
      </c>
      <c r="X1744" s="24"/>
    </row>
    <row r="1745" spans="1:24" s="1" customFormat="1" ht="37.049999999999997" customHeight="1" x14ac:dyDescent="0.3">
      <c r="A1745" s="63">
        <v>4</v>
      </c>
      <c r="B1745" s="25" t="s">
        <v>2504</v>
      </c>
      <c r="C1745" s="12" t="s">
        <v>2507</v>
      </c>
      <c r="D1745" s="87"/>
      <c r="E1745" s="67" t="str">
        <f>HYPERLINK("https://www.google.ru/search?q=4FAW23TDJAF236-64S&amp;newwindow=1&amp;tbm=isch","Еще фото")</f>
        <v>Еще фото</v>
      </c>
      <c r="F1745" s="14"/>
      <c r="G1745" s="25" t="s">
        <v>129</v>
      </c>
      <c r="H1745" s="25" t="s">
        <v>27</v>
      </c>
      <c r="I1745" s="25" t="s">
        <v>130</v>
      </c>
      <c r="J1745" s="15" t="s">
        <v>28</v>
      </c>
      <c r="K1745" s="16" t="s">
        <v>29</v>
      </c>
      <c r="L1745" s="84"/>
      <c r="M1745" s="15"/>
      <c r="N1745" s="15" t="s">
        <v>212</v>
      </c>
      <c r="O1745" s="15"/>
      <c r="P1745" s="16" t="s">
        <v>106</v>
      </c>
      <c r="Q1745" s="17">
        <v>14899</v>
      </c>
      <c r="R1745" s="18">
        <v>52.43</v>
      </c>
      <c r="S1745" s="19">
        <v>8150.9354999999996</v>
      </c>
      <c r="T1745" s="20" t="s">
        <v>99</v>
      </c>
      <c r="U1745" s="21" t="s">
        <v>493</v>
      </c>
      <c r="V1745" s="23">
        <v>52</v>
      </c>
      <c r="W1745" s="23">
        <v>1</v>
      </c>
      <c r="X1745" s="24"/>
    </row>
    <row r="1746" spans="1:24" s="1" customFormat="1" ht="108" customHeight="1" x14ac:dyDescent="0.3">
      <c r="A1746" s="62">
        <v>4</v>
      </c>
      <c r="B1746" s="11" t="s">
        <v>2508</v>
      </c>
      <c r="C1746" s="12" t="s">
        <v>2509</v>
      </c>
      <c r="D1746" s="13"/>
      <c r="E1746" s="67" t="str">
        <f>HYPERLINK("https://www.google.ru/search?q=H4Z21-KUDP011-56S&amp;newwindow=1&amp;tbm=isch","Еще фото")</f>
        <v>Еще фото</v>
      </c>
      <c r="F1746" s="14"/>
      <c r="G1746" s="11" t="s">
        <v>140</v>
      </c>
      <c r="H1746" s="11" t="s">
        <v>27</v>
      </c>
      <c r="I1746" s="15" t="s">
        <v>130</v>
      </c>
      <c r="J1746" s="15" t="s">
        <v>28</v>
      </c>
      <c r="K1746" s="16" t="s">
        <v>29</v>
      </c>
      <c r="L1746" s="15" t="s">
        <v>2510</v>
      </c>
      <c r="M1746" s="15"/>
      <c r="N1746" s="15" t="s">
        <v>212</v>
      </c>
      <c r="O1746" s="15"/>
      <c r="P1746" s="16" t="s">
        <v>968</v>
      </c>
      <c r="Q1746" s="17">
        <v>11390</v>
      </c>
      <c r="R1746" s="18">
        <v>45.57</v>
      </c>
      <c r="S1746" s="19">
        <v>7129.9884999999995</v>
      </c>
      <c r="T1746" s="20" t="s">
        <v>99</v>
      </c>
      <c r="U1746" s="21" t="s">
        <v>40</v>
      </c>
      <c r="V1746" s="23">
        <v>48</v>
      </c>
      <c r="W1746" s="23">
        <v>1</v>
      </c>
      <c r="X1746" s="24"/>
    </row>
    <row r="1747" spans="1:24" s="1" customFormat="1" ht="108" customHeight="1" x14ac:dyDescent="0.3">
      <c r="A1747" s="62">
        <v>4</v>
      </c>
      <c r="B1747" s="11" t="s">
        <v>2511</v>
      </c>
      <c r="C1747" s="12" t="s">
        <v>2512</v>
      </c>
      <c r="D1747" s="13"/>
      <c r="E1747" s="67" t="str">
        <f>HYPERLINK("https://www.google.ru/search?q=4FJSS23TTJAF069-31S&amp;newwindow=1&amp;tbm=isch","Еще фото")</f>
        <v>Еще фото</v>
      </c>
      <c r="F1747" s="14"/>
      <c r="G1747" s="11" t="s">
        <v>140</v>
      </c>
      <c r="H1747" s="11" t="s">
        <v>27</v>
      </c>
      <c r="I1747" s="15" t="s">
        <v>130</v>
      </c>
      <c r="J1747" s="15" t="s">
        <v>28</v>
      </c>
      <c r="K1747" s="16" t="s">
        <v>59</v>
      </c>
      <c r="L1747" s="15" t="s">
        <v>2513</v>
      </c>
      <c r="M1747" s="15" t="s">
        <v>2514</v>
      </c>
      <c r="N1747" s="15" t="s">
        <v>31</v>
      </c>
      <c r="O1747" s="15"/>
      <c r="P1747" s="16" t="s">
        <v>2515</v>
      </c>
      <c r="Q1747" s="17">
        <v>6899</v>
      </c>
      <c r="R1747" s="18">
        <v>43</v>
      </c>
      <c r="S1747" s="19">
        <v>4522.2944999999991</v>
      </c>
      <c r="T1747" s="20" t="s">
        <v>99</v>
      </c>
      <c r="U1747" s="21" t="s">
        <v>1670</v>
      </c>
      <c r="V1747" s="23">
        <v>140</v>
      </c>
      <c r="W1747" s="23">
        <v>1</v>
      </c>
      <c r="X1747" s="24"/>
    </row>
    <row r="1748" spans="1:24" s="1" customFormat="1" ht="108" customHeight="1" x14ac:dyDescent="0.3">
      <c r="A1748" s="62">
        <v>4</v>
      </c>
      <c r="B1748" s="11" t="s">
        <v>2516</v>
      </c>
      <c r="C1748" s="12" t="s">
        <v>2517</v>
      </c>
      <c r="D1748" s="13"/>
      <c r="E1748" s="67" t="str">
        <f>HYPERLINK("https://www.google.ru/search?q=H4Z20-KUMP008-20S&amp;newwindow=1&amp;tbm=isch","Еще фото")</f>
        <v>Еще фото</v>
      </c>
      <c r="F1748" s="14"/>
      <c r="G1748" s="11" t="s">
        <v>140</v>
      </c>
      <c r="H1748" s="11" t="s">
        <v>27</v>
      </c>
      <c r="I1748" s="15" t="s">
        <v>130</v>
      </c>
      <c r="J1748" s="15" t="s">
        <v>28</v>
      </c>
      <c r="K1748" s="16" t="s">
        <v>45</v>
      </c>
      <c r="L1748" s="15" t="s">
        <v>2518</v>
      </c>
      <c r="M1748" s="15"/>
      <c r="N1748" s="15" t="s">
        <v>38</v>
      </c>
      <c r="O1748" s="15"/>
      <c r="P1748" s="16" t="s">
        <v>106</v>
      </c>
      <c r="Q1748" s="17">
        <v>18099</v>
      </c>
      <c r="R1748" s="18">
        <v>40</v>
      </c>
      <c r="S1748" s="19">
        <v>12488.31</v>
      </c>
      <c r="T1748" s="20" t="s">
        <v>99</v>
      </c>
      <c r="U1748" s="21" t="s">
        <v>40</v>
      </c>
      <c r="V1748" s="23">
        <v>50</v>
      </c>
      <c r="W1748" s="23">
        <v>1</v>
      </c>
      <c r="X1748" s="24"/>
    </row>
    <row r="1749" spans="1:24" s="1" customFormat="1" ht="108" customHeight="1" x14ac:dyDescent="0.3">
      <c r="A1749" s="62">
        <v>4</v>
      </c>
      <c r="B1749" s="11" t="s">
        <v>2496</v>
      </c>
      <c r="C1749" s="12" t="s">
        <v>2519</v>
      </c>
      <c r="D1749" s="13"/>
      <c r="E1749" s="67" t="str">
        <f>HYPERLINK("https://www.google.ru/search?q=H4Z21-KUDN001-27M&amp;newwindow=1&amp;tbm=isch","Еще фото")</f>
        <v>Еще фото</v>
      </c>
      <c r="F1749" s="14"/>
      <c r="G1749" s="11" t="s">
        <v>140</v>
      </c>
      <c r="H1749" s="11" t="s">
        <v>27</v>
      </c>
      <c r="I1749" s="15" t="s">
        <v>130</v>
      </c>
      <c r="J1749" s="15" t="s">
        <v>2520</v>
      </c>
      <c r="K1749" s="16" t="s">
        <v>29</v>
      </c>
      <c r="L1749" s="15" t="s">
        <v>2521</v>
      </c>
      <c r="M1749" s="15" t="s">
        <v>2522</v>
      </c>
      <c r="N1749" s="15" t="s">
        <v>218</v>
      </c>
      <c r="O1749" s="15" t="s">
        <v>2523</v>
      </c>
      <c r="P1749" s="16" t="s">
        <v>2524</v>
      </c>
      <c r="Q1749" s="17">
        <v>5999</v>
      </c>
      <c r="R1749" s="18">
        <v>40</v>
      </c>
      <c r="S1749" s="19">
        <v>4139.3099999999995</v>
      </c>
      <c r="T1749" s="20" t="s">
        <v>99</v>
      </c>
      <c r="U1749" s="21" t="s">
        <v>34</v>
      </c>
      <c r="V1749" s="23">
        <v>44</v>
      </c>
      <c r="W1749" s="23">
        <v>1</v>
      </c>
      <c r="X1749" s="24"/>
    </row>
    <row r="1750" spans="1:24" s="1" customFormat="1" ht="108" customHeight="1" x14ac:dyDescent="0.3">
      <c r="A1750" s="62">
        <v>4</v>
      </c>
      <c r="B1750" s="11" t="s">
        <v>2525</v>
      </c>
      <c r="C1750" s="12" t="s">
        <v>2526</v>
      </c>
      <c r="D1750" s="13"/>
      <c r="E1750" s="67" t="str">
        <f>HYPERLINK("https://www.google.ru/search?q=4FSS23ABACU140-46S&amp;newwindow=1&amp;tbm=isch","Еще фото")</f>
        <v>Еще фото</v>
      </c>
      <c r="F1750" s="14"/>
      <c r="G1750" s="11" t="s">
        <v>2527</v>
      </c>
      <c r="H1750" s="11" t="s">
        <v>291</v>
      </c>
      <c r="I1750" s="15" t="s">
        <v>292</v>
      </c>
      <c r="J1750" s="15" t="s">
        <v>28</v>
      </c>
      <c r="K1750" s="16" t="s">
        <v>71</v>
      </c>
      <c r="L1750" s="15" t="s">
        <v>2528</v>
      </c>
      <c r="M1750" s="15"/>
      <c r="N1750" s="15" t="s">
        <v>55</v>
      </c>
      <c r="O1750" s="15"/>
      <c r="P1750" s="16" t="s">
        <v>968</v>
      </c>
      <c r="Q1750" s="17">
        <v>9399</v>
      </c>
      <c r="R1750" s="18">
        <v>58.74</v>
      </c>
      <c r="S1750" s="19">
        <v>4459.4354999999996</v>
      </c>
      <c r="T1750" s="20" t="s">
        <v>99</v>
      </c>
      <c r="U1750" s="21" t="s">
        <v>1966</v>
      </c>
      <c r="V1750" s="22" t="s">
        <v>77</v>
      </c>
      <c r="W1750" s="23">
        <v>3</v>
      </c>
      <c r="X1750" s="24"/>
    </row>
    <row r="1751" spans="1:24" s="1" customFormat="1" ht="108" customHeight="1" x14ac:dyDescent="0.3">
      <c r="A1751" s="62">
        <v>4</v>
      </c>
      <c r="B1751" s="11" t="s">
        <v>2529</v>
      </c>
      <c r="C1751" s="12" t="s">
        <v>2530</v>
      </c>
      <c r="D1751" s="13"/>
      <c r="E1751" s="67" t="str">
        <f>HYPERLINK("https://www.google.ru/search?q=4FAW23ABACU191-23S&amp;newwindow=1&amp;tbm=isch","Еще фото")</f>
        <v>Еще фото</v>
      </c>
      <c r="F1751" s="14"/>
      <c r="G1751" s="11" t="s">
        <v>290</v>
      </c>
      <c r="H1751" s="11" t="s">
        <v>291</v>
      </c>
      <c r="I1751" s="15" t="s">
        <v>292</v>
      </c>
      <c r="J1751" s="15" t="s">
        <v>28</v>
      </c>
      <c r="K1751" s="16" t="s">
        <v>71</v>
      </c>
      <c r="L1751" s="15" t="s">
        <v>2531</v>
      </c>
      <c r="M1751" s="15"/>
      <c r="N1751" s="15" t="s">
        <v>218</v>
      </c>
      <c r="O1751" s="15"/>
      <c r="P1751" s="16" t="s">
        <v>106</v>
      </c>
      <c r="Q1751" s="17">
        <v>4099</v>
      </c>
      <c r="R1751" s="18">
        <v>55.41</v>
      </c>
      <c r="S1751" s="19">
        <v>2101.9354999999996</v>
      </c>
      <c r="T1751" s="20" t="s">
        <v>99</v>
      </c>
      <c r="U1751" s="21" t="s">
        <v>2532</v>
      </c>
      <c r="V1751" s="22" t="s">
        <v>77</v>
      </c>
      <c r="W1751" s="23">
        <v>1</v>
      </c>
      <c r="X1751" s="24"/>
    </row>
    <row r="1752" spans="1:24" s="1" customFormat="1" ht="108" customHeight="1" x14ac:dyDescent="0.3">
      <c r="A1752" s="62">
        <v>4</v>
      </c>
      <c r="B1752" s="11" t="s">
        <v>2533</v>
      </c>
      <c r="C1752" s="12" t="s">
        <v>2534</v>
      </c>
      <c r="D1752" s="13"/>
      <c r="E1752" s="67" t="str">
        <f>HYPERLINK("https://www.google.ru/search?q=4FAW23ABACU189-23M&amp;newwindow=1&amp;tbm=isch","Еще фото")</f>
        <v>Еще фото</v>
      </c>
      <c r="F1752" s="14"/>
      <c r="G1752" s="11" t="s">
        <v>290</v>
      </c>
      <c r="H1752" s="11" t="s">
        <v>291</v>
      </c>
      <c r="I1752" s="15" t="s">
        <v>292</v>
      </c>
      <c r="J1752" s="15" t="s">
        <v>28</v>
      </c>
      <c r="K1752" s="16" t="s">
        <v>71</v>
      </c>
      <c r="L1752" s="15" t="s">
        <v>2535</v>
      </c>
      <c r="M1752" s="15"/>
      <c r="N1752" s="15" t="s">
        <v>2536</v>
      </c>
      <c r="O1752" s="15"/>
      <c r="P1752" s="16" t="s">
        <v>106</v>
      </c>
      <c r="Q1752" s="17">
        <v>5099</v>
      </c>
      <c r="R1752" s="18">
        <v>52.39</v>
      </c>
      <c r="S1752" s="19">
        <v>2791.9354999999996</v>
      </c>
      <c r="T1752" s="20" t="s">
        <v>99</v>
      </c>
      <c r="U1752" s="21" t="s">
        <v>2532</v>
      </c>
      <c r="V1752" s="22" t="s">
        <v>77</v>
      </c>
      <c r="W1752" s="23">
        <v>4</v>
      </c>
      <c r="X1752" s="24"/>
    </row>
    <row r="1753" spans="1:24" s="1" customFormat="1" ht="108" customHeight="1" x14ac:dyDescent="0.3">
      <c r="A1753" s="62">
        <v>4</v>
      </c>
      <c r="B1753" s="11" t="s">
        <v>2537</v>
      </c>
      <c r="C1753" s="12" t="s">
        <v>2538</v>
      </c>
      <c r="D1753" s="13"/>
      <c r="E1753" s="67" t="str">
        <f>HYPERLINK("https://www.google.ru/search?q=4FSS23ABACU139-46S&amp;newwindow=1&amp;tbm=isch","Еще фото")</f>
        <v>Еще фото</v>
      </c>
      <c r="F1753" s="14"/>
      <c r="G1753" s="11" t="s">
        <v>2527</v>
      </c>
      <c r="H1753" s="11" t="s">
        <v>291</v>
      </c>
      <c r="I1753" s="15" t="s">
        <v>292</v>
      </c>
      <c r="J1753" s="15" t="s">
        <v>28</v>
      </c>
      <c r="K1753" s="16" t="s">
        <v>71</v>
      </c>
      <c r="L1753" s="15" t="s">
        <v>2539</v>
      </c>
      <c r="M1753" s="15"/>
      <c r="N1753" s="15" t="s">
        <v>55</v>
      </c>
      <c r="O1753" s="15"/>
      <c r="P1753" s="16" t="s">
        <v>968</v>
      </c>
      <c r="Q1753" s="17">
        <v>7699</v>
      </c>
      <c r="R1753" s="18">
        <v>40</v>
      </c>
      <c r="S1753" s="19">
        <v>5312.3099999999995</v>
      </c>
      <c r="T1753" s="20" t="s">
        <v>99</v>
      </c>
      <c r="U1753" s="21" t="s">
        <v>1966</v>
      </c>
      <c r="V1753" s="22" t="s">
        <v>77</v>
      </c>
      <c r="W1753" s="23">
        <v>1</v>
      </c>
      <c r="X1753" s="24"/>
    </row>
    <row r="1754" spans="1:24" s="1" customFormat="1" ht="26" customHeight="1" x14ac:dyDescent="0.3">
      <c r="A1754" s="62">
        <v>4</v>
      </c>
      <c r="B1754" s="11" t="s">
        <v>2540</v>
      </c>
      <c r="C1754" s="12" t="s">
        <v>2541</v>
      </c>
      <c r="D1754" s="85"/>
      <c r="E1754" s="67" t="str">
        <f>HYPERLINK("https://www.google.ru/search?q=4FSS23FSANF016-22S&amp;newwindow=1&amp;tbm=isch","Еще фото")</f>
        <v>Еще фото</v>
      </c>
      <c r="F1754" s="14"/>
      <c r="G1754" s="11" t="s">
        <v>2542</v>
      </c>
      <c r="H1754" s="11" t="s">
        <v>93</v>
      </c>
      <c r="I1754" s="15" t="s">
        <v>547</v>
      </c>
      <c r="J1754" s="15" t="s">
        <v>28</v>
      </c>
      <c r="K1754" s="16" t="s">
        <v>29</v>
      </c>
      <c r="L1754" s="83" t="s">
        <v>2543</v>
      </c>
      <c r="M1754" s="15"/>
      <c r="N1754" s="15" t="s">
        <v>38</v>
      </c>
      <c r="O1754" s="15"/>
      <c r="P1754" s="16" t="s">
        <v>2544</v>
      </c>
      <c r="Q1754" s="17">
        <v>6999</v>
      </c>
      <c r="R1754" s="18">
        <v>82.32</v>
      </c>
      <c r="S1754" s="19">
        <v>1423.4354999999998</v>
      </c>
      <c r="T1754" s="20" t="s">
        <v>2545</v>
      </c>
      <c r="U1754" s="21" t="s">
        <v>894</v>
      </c>
      <c r="V1754" s="23">
        <v>36</v>
      </c>
      <c r="W1754" s="23">
        <v>1</v>
      </c>
      <c r="X1754" s="24"/>
    </row>
    <row r="1755" spans="1:24" s="1" customFormat="1" ht="26" customHeight="1" x14ac:dyDescent="0.3">
      <c r="A1755" s="63">
        <v>4</v>
      </c>
      <c r="B1755" s="25" t="s">
        <v>2540</v>
      </c>
      <c r="C1755" s="12" t="s">
        <v>2541</v>
      </c>
      <c r="D1755" s="86"/>
      <c r="E1755" s="67" t="str">
        <f>HYPERLINK("https://www.google.ru/search?q=4FSS23FSANF016-22S&amp;newwindow=1&amp;tbm=isch","Еще фото")</f>
        <v>Еще фото</v>
      </c>
      <c r="F1755" s="14"/>
      <c r="G1755" s="25" t="s">
        <v>2542</v>
      </c>
      <c r="H1755" s="25" t="s">
        <v>93</v>
      </c>
      <c r="I1755" s="25" t="s">
        <v>547</v>
      </c>
      <c r="J1755" s="15" t="s">
        <v>28</v>
      </c>
      <c r="K1755" s="16" t="s">
        <v>29</v>
      </c>
      <c r="L1755" s="88"/>
      <c r="M1755" s="15"/>
      <c r="N1755" s="15" t="s">
        <v>38</v>
      </c>
      <c r="O1755" s="15"/>
      <c r="P1755" s="16" t="s">
        <v>2544</v>
      </c>
      <c r="Q1755" s="17">
        <v>6999</v>
      </c>
      <c r="R1755" s="18">
        <v>82.32</v>
      </c>
      <c r="S1755" s="19">
        <v>1423.4354999999998</v>
      </c>
      <c r="T1755" s="20" t="s">
        <v>2545</v>
      </c>
      <c r="U1755" s="21" t="s">
        <v>170</v>
      </c>
      <c r="V1755" s="23">
        <v>37</v>
      </c>
      <c r="W1755" s="23">
        <v>1</v>
      </c>
      <c r="X1755" s="24"/>
    </row>
    <row r="1756" spans="1:24" s="1" customFormat="1" ht="26" customHeight="1" x14ac:dyDescent="0.3">
      <c r="A1756" s="63">
        <v>4</v>
      </c>
      <c r="B1756" s="25" t="s">
        <v>2540</v>
      </c>
      <c r="C1756" s="12" t="s">
        <v>2541</v>
      </c>
      <c r="D1756" s="86"/>
      <c r="E1756" s="67" t="str">
        <f>HYPERLINK("https://www.google.ru/search?q=4FSS23FSANF016-22S&amp;newwindow=1&amp;tbm=isch","Еще фото")</f>
        <v>Еще фото</v>
      </c>
      <c r="F1756" s="14"/>
      <c r="G1756" s="25" t="s">
        <v>2542</v>
      </c>
      <c r="H1756" s="25" t="s">
        <v>93</v>
      </c>
      <c r="I1756" s="25" t="s">
        <v>547</v>
      </c>
      <c r="J1756" s="15" t="s">
        <v>28</v>
      </c>
      <c r="K1756" s="16" t="s">
        <v>29</v>
      </c>
      <c r="L1756" s="88"/>
      <c r="M1756" s="15"/>
      <c r="N1756" s="15" t="s">
        <v>38</v>
      </c>
      <c r="O1756" s="15"/>
      <c r="P1756" s="16" t="s">
        <v>2544</v>
      </c>
      <c r="Q1756" s="17">
        <v>6999</v>
      </c>
      <c r="R1756" s="18">
        <v>82.32</v>
      </c>
      <c r="S1756" s="19">
        <v>1423.4354999999998</v>
      </c>
      <c r="T1756" s="20" t="s">
        <v>2545</v>
      </c>
      <c r="U1756" s="21" t="s">
        <v>202</v>
      </c>
      <c r="V1756" s="23">
        <v>38</v>
      </c>
      <c r="W1756" s="23">
        <v>1</v>
      </c>
      <c r="X1756" s="24"/>
    </row>
    <row r="1757" spans="1:24" s="1" customFormat="1" ht="26" customHeight="1" x14ac:dyDescent="0.3">
      <c r="A1757" s="63">
        <v>4</v>
      </c>
      <c r="B1757" s="25" t="s">
        <v>2540</v>
      </c>
      <c r="C1757" s="12" t="s">
        <v>2541</v>
      </c>
      <c r="D1757" s="87"/>
      <c r="E1757" s="67" t="str">
        <f>HYPERLINK("https://www.google.ru/search?q=4FSS23FSANF016-22S&amp;newwindow=1&amp;tbm=isch","Еще фото")</f>
        <v>Еще фото</v>
      </c>
      <c r="F1757" s="14"/>
      <c r="G1757" s="25" t="s">
        <v>2542</v>
      </c>
      <c r="H1757" s="25" t="s">
        <v>93</v>
      </c>
      <c r="I1757" s="25" t="s">
        <v>547</v>
      </c>
      <c r="J1757" s="15" t="s">
        <v>28</v>
      </c>
      <c r="K1757" s="16" t="s">
        <v>29</v>
      </c>
      <c r="L1757" s="84"/>
      <c r="M1757" s="15"/>
      <c r="N1757" s="15" t="s">
        <v>38</v>
      </c>
      <c r="O1757" s="15"/>
      <c r="P1757" s="16" t="s">
        <v>2544</v>
      </c>
      <c r="Q1757" s="17">
        <v>6999</v>
      </c>
      <c r="R1757" s="18">
        <v>82.32</v>
      </c>
      <c r="S1757" s="19">
        <v>1423.4354999999998</v>
      </c>
      <c r="T1757" s="20" t="s">
        <v>2545</v>
      </c>
      <c r="U1757" s="21" t="s">
        <v>175</v>
      </c>
      <c r="V1757" s="23">
        <v>39</v>
      </c>
      <c r="W1757" s="23">
        <v>3</v>
      </c>
      <c r="X1757" s="24"/>
    </row>
    <row r="1758" spans="1:24" s="1" customFormat="1" ht="52.05" customHeight="1" x14ac:dyDescent="0.3">
      <c r="A1758" s="62">
        <v>4</v>
      </c>
      <c r="B1758" s="11" t="s">
        <v>2546</v>
      </c>
      <c r="C1758" s="12" t="s">
        <v>2547</v>
      </c>
      <c r="D1758" s="81"/>
      <c r="E1758" s="67" t="str">
        <f>HYPERLINK("https://www.google.ru/search?q=4FSS23FFLIF068-20S&amp;newwindow=1&amp;tbm=isch","Еще фото")</f>
        <v>Еще фото</v>
      </c>
      <c r="F1758" s="14"/>
      <c r="G1758" s="11" t="s">
        <v>2548</v>
      </c>
      <c r="H1758" s="11" t="s">
        <v>93</v>
      </c>
      <c r="I1758" s="15" t="s">
        <v>547</v>
      </c>
      <c r="J1758" s="15" t="s">
        <v>112</v>
      </c>
      <c r="K1758" s="16" t="s">
        <v>29</v>
      </c>
      <c r="L1758" s="83" t="s">
        <v>2549</v>
      </c>
      <c r="M1758" s="15"/>
      <c r="N1758" s="15" t="s">
        <v>38</v>
      </c>
      <c r="O1758" s="15"/>
      <c r="P1758" s="16" t="s">
        <v>2550</v>
      </c>
      <c r="Q1758" s="17">
        <v>2599</v>
      </c>
      <c r="R1758" s="18">
        <v>70.459999999999994</v>
      </c>
      <c r="S1758" s="26">
        <v>882.93549999999993</v>
      </c>
      <c r="T1758" s="20" t="s">
        <v>2545</v>
      </c>
      <c r="U1758" s="21" t="s">
        <v>894</v>
      </c>
      <c r="V1758" s="23">
        <v>36</v>
      </c>
      <c r="W1758" s="23">
        <v>5</v>
      </c>
      <c r="X1758" s="24"/>
    </row>
    <row r="1759" spans="1:24" s="1" customFormat="1" ht="61.05" customHeight="1" x14ac:dyDescent="0.3">
      <c r="A1759" s="63">
        <v>4</v>
      </c>
      <c r="B1759" s="25" t="s">
        <v>2546</v>
      </c>
      <c r="C1759" s="12" t="s">
        <v>2547</v>
      </c>
      <c r="D1759" s="82"/>
      <c r="E1759" s="67" t="str">
        <f>HYPERLINK("https://www.google.ru/search?q=4FSS23FFLIF068-20S&amp;newwindow=1&amp;tbm=isch","Еще фото")</f>
        <v>Еще фото</v>
      </c>
      <c r="F1759" s="14"/>
      <c r="G1759" s="25" t="s">
        <v>2548</v>
      </c>
      <c r="H1759" s="25" t="s">
        <v>93</v>
      </c>
      <c r="I1759" s="25" t="s">
        <v>547</v>
      </c>
      <c r="J1759" s="15" t="s">
        <v>112</v>
      </c>
      <c r="K1759" s="16" t="s">
        <v>29</v>
      </c>
      <c r="L1759" s="84"/>
      <c r="M1759" s="15"/>
      <c r="N1759" s="15" t="s">
        <v>38</v>
      </c>
      <c r="O1759" s="15"/>
      <c r="P1759" s="16" t="s">
        <v>2550</v>
      </c>
      <c r="Q1759" s="17">
        <v>2599</v>
      </c>
      <c r="R1759" s="18">
        <v>70.459999999999994</v>
      </c>
      <c r="S1759" s="26">
        <v>882.93549999999993</v>
      </c>
      <c r="T1759" s="20" t="s">
        <v>2545</v>
      </c>
      <c r="U1759" s="21" t="s">
        <v>170</v>
      </c>
      <c r="V1759" s="23">
        <v>37</v>
      </c>
      <c r="W1759" s="23">
        <v>2</v>
      </c>
      <c r="X1759" s="24"/>
    </row>
    <row r="1760" spans="1:24" s="1" customFormat="1" ht="108" customHeight="1" x14ac:dyDescent="0.3">
      <c r="A1760" s="62">
        <v>4</v>
      </c>
      <c r="B1760" s="11" t="s">
        <v>2551</v>
      </c>
      <c r="C1760" s="12" t="s">
        <v>2552</v>
      </c>
      <c r="D1760" s="13"/>
      <c r="E1760" s="67" t="str">
        <f>HYPERLINK("https://www.google.ru/search?q=4FSS23FFLIM076-20S&amp;newwindow=1&amp;tbm=isch","Еще фото")</f>
        <v>Еще фото</v>
      </c>
      <c r="F1760" s="14"/>
      <c r="G1760" s="11" t="s">
        <v>588</v>
      </c>
      <c r="H1760" s="11" t="s">
        <v>93</v>
      </c>
      <c r="I1760" s="15" t="s">
        <v>547</v>
      </c>
      <c r="J1760" s="15" t="s">
        <v>28</v>
      </c>
      <c r="K1760" s="16" t="s">
        <v>45</v>
      </c>
      <c r="L1760" s="15" t="s">
        <v>2553</v>
      </c>
      <c r="M1760" s="15"/>
      <c r="N1760" s="15" t="s">
        <v>38</v>
      </c>
      <c r="O1760" s="15"/>
      <c r="P1760" s="16" t="s">
        <v>2554</v>
      </c>
      <c r="Q1760" s="17">
        <v>1699</v>
      </c>
      <c r="R1760" s="18">
        <v>52.46</v>
      </c>
      <c r="S1760" s="26">
        <v>928.93549999999993</v>
      </c>
      <c r="T1760" s="20" t="s">
        <v>2545</v>
      </c>
      <c r="U1760" s="21" t="s">
        <v>100</v>
      </c>
      <c r="V1760" s="23">
        <v>40</v>
      </c>
      <c r="W1760" s="23">
        <v>10</v>
      </c>
      <c r="X1760" s="24"/>
    </row>
    <row r="1761" spans="1:24" s="1" customFormat="1" ht="108" customHeight="1" x14ac:dyDescent="0.3">
      <c r="A1761" s="62">
        <v>4</v>
      </c>
      <c r="B1761" s="11" t="s">
        <v>2555</v>
      </c>
      <c r="C1761" s="12" t="s">
        <v>2556</v>
      </c>
      <c r="D1761" s="13"/>
      <c r="E1761" s="67" t="str">
        <f>HYPERLINK("https://www.google.ru/search?q=4FSS23FSANM018-31S&amp;newwindow=1&amp;tbm=isch","Еще фото")</f>
        <v>Еще фото</v>
      </c>
      <c r="F1761" s="14"/>
      <c r="G1761" s="11" t="s">
        <v>2542</v>
      </c>
      <c r="H1761" s="11" t="s">
        <v>93</v>
      </c>
      <c r="I1761" s="15" t="s">
        <v>547</v>
      </c>
      <c r="J1761" s="15" t="s">
        <v>28</v>
      </c>
      <c r="K1761" s="16" t="s">
        <v>45</v>
      </c>
      <c r="L1761" s="15" t="s">
        <v>2557</v>
      </c>
      <c r="M1761" s="15"/>
      <c r="N1761" s="15" t="s">
        <v>31</v>
      </c>
      <c r="O1761" s="15"/>
      <c r="P1761" s="16" t="s">
        <v>2558</v>
      </c>
      <c r="Q1761" s="17">
        <v>5599</v>
      </c>
      <c r="R1761" s="18">
        <v>48.78</v>
      </c>
      <c r="S1761" s="19">
        <v>3297.9354999999996</v>
      </c>
      <c r="T1761" s="20" t="s">
        <v>2545</v>
      </c>
      <c r="U1761" s="21" t="s">
        <v>164</v>
      </c>
      <c r="V1761" s="23">
        <v>42</v>
      </c>
      <c r="W1761" s="23">
        <v>1</v>
      </c>
      <c r="X1761" s="24"/>
    </row>
    <row r="1762" spans="1:24" s="1" customFormat="1" ht="26" customHeight="1" x14ac:dyDescent="0.3">
      <c r="A1762" s="62">
        <v>4</v>
      </c>
      <c r="B1762" s="11" t="s">
        <v>2559</v>
      </c>
      <c r="C1762" s="12" t="s">
        <v>2560</v>
      </c>
      <c r="D1762" s="85"/>
      <c r="E1762" s="67" t="str">
        <f>HYPERLINK("https://www.google.ru/search?q=4FSS23TSWSM266-20S&amp;newwindow=1&amp;tbm=isch","Еще фото")</f>
        <v>Еще фото</v>
      </c>
      <c r="F1762" s="14"/>
      <c r="G1762" s="11" t="s">
        <v>2561</v>
      </c>
      <c r="H1762" s="11" t="s">
        <v>27</v>
      </c>
      <c r="I1762" s="15" t="s">
        <v>301</v>
      </c>
      <c r="J1762" s="15" t="s">
        <v>28</v>
      </c>
      <c r="K1762" s="16" t="s">
        <v>45</v>
      </c>
      <c r="L1762" s="83" t="s">
        <v>2562</v>
      </c>
      <c r="M1762" s="15"/>
      <c r="N1762" s="15" t="s">
        <v>38</v>
      </c>
      <c r="O1762" s="15"/>
      <c r="P1762" s="16" t="s">
        <v>2563</v>
      </c>
      <c r="Q1762" s="17">
        <v>4899</v>
      </c>
      <c r="R1762" s="18">
        <v>76.569999999999993</v>
      </c>
      <c r="S1762" s="19">
        <v>1319.9354999999998</v>
      </c>
      <c r="T1762" s="20" t="s">
        <v>99</v>
      </c>
      <c r="U1762" s="21" t="s">
        <v>34</v>
      </c>
      <c r="V1762" s="23">
        <v>46</v>
      </c>
      <c r="W1762" s="23">
        <v>7</v>
      </c>
      <c r="X1762" s="24"/>
    </row>
    <row r="1763" spans="1:24" s="1" customFormat="1" ht="26" customHeight="1" x14ac:dyDescent="0.3">
      <c r="A1763" s="63">
        <v>4</v>
      </c>
      <c r="B1763" s="25" t="s">
        <v>2559</v>
      </c>
      <c r="C1763" s="12" t="s">
        <v>2560</v>
      </c>
      <c r="D1763" s="86"/>
      <c r="E1763" s="67" t="str">
        <f>HYPERLINK("https://www.google.ru/search?q=4FSS23TSWSM266-20S&amp;newwindow=1&amp;tbm=isch","Еще фото")</f>
        <v>Еще фото</v>
      </c>
      <c r="F1763" s="14"/>
      <c r="G1763" s="25" t="s">
        <v>2561</v>
      </c>
      <c r="H1763" s="25" t="s">
        <v>27</v>
      </c>
      <c r="I1763" s="25" t="s">
        <v>301</v>
      </c>
      <c r="J1763" s="15" t="s">
        <v>28</v>
      </c>
      <c r="K1763" s="16" t="s">
        <v>45</v>
      </c>
      <c r="L1763" s="88"/>
      <c r="M1763" s="15"/>
      <c r="N1763" s="15" t="s">
        <v>38</v>
      </c>
      <c r="O1763" s="15"/>
      <c r="P1763" s="16" t="s">
        <v>2563</v>
      </c>
      <c r="Q1763" s="17">
        <v>4899</v>
      </c>
      <c r="R1763" s="18">
        <v>76.569999999999993</v>
      </c>
      <c r="S1763" s="19">
        <v>1319.9354999999998</v>
      </c>
      <c r="T1763" s="20" t="s">
        <v>99</v>
      </c>
      <c r="U1763" s="21" t="s">
        <v>52</v>
      </c>
      <c r="V1763" s="23">
        <v>48</v>
      </c>
      <c r="W1763" s="23">
        <v>14</v>
      </c>
      <c r="X1763" s="24"/>
    </row>
    <row r="1764" spans="1:24" s="1" customFormat="1" ht="26" customHeight="1" x14ac:dyDescent="0.3">
      <c r="A1764" s="63">
        <v>4</v>
      </c>
      <c r="B1764" s="25" t="s">
        <v>2559</v>
      </c>
      <c r="C1764" s="12" t="s">
        <v>2560</v>
      </c>
      <c r="D1764" s="86"/>
      <c r="E1764" s="67" t="str">
        <f>HYPERLINK("https://www.google.ru/search?q=4FSS23TSWSM266-20S&amp;newwindow=1&amp;tbm=isch","Еще фото")</f>
        <v>Еще фото</v>
      </c>
      <c r="F1764" s="14"/>
      <c r="G1764" s="25" t="s">
        <v>2561</v>
      </c>
      <c r="H1764" s="25" t="s">
        <v>27</v>
      </c>
      <c r="I1764" s="25" t="s">
        <v>301</v>
      </c>
      <c r="J1764" s="15" t="s">
        <v>28</v>
      </c>
      <c r="K1764" s="16" t="s">
        <v>45</v>
      </c>
      <c r="L1764" s="88"/>
      <c r="M1764" s="15"/>
      <c r="N1764" s="15" t="s">
        <v>38</v>
      </c>
      <c r="O1764" s="15"/>
      <c r="P1764" s="16" t="s">
        <v>2563</v>
      </c>
      <c r="Q1764" s="17">
        <v>4899</v>
      </c>
      <c r="R1764" s="18">
        <v>76.569999999999993</v>
      </c>
      <c r="S1764" s="19">
        <v>1319.9354999999998</v>
      </c>
      <c r="T1764" s="20" t="s">
        <v>99</v>
      </c>
      <c r="U1764" s="21" t="s">
        <v>40</v>
      </c>
      <c r="V1764" s="23">
        <v>50</v>
      </c>
      <c r="W1764" s="23">
        <v>12</v>
      </c>
      <c r="X1764" s="24"/>
    </row>
    <row r="1765" spans="1:24" s="1" customFormat="1" ht="26" customHeight="1" x14ac:dyDescent="0.3">
      <c r="A1765" s="63">
        <v>4</v>
      </c>
      <c r="B1765" s="25" t="s">
        <v>2559</v>
      </c>
      <c r="C1765" s="12" t="s">
        <v>2560</v>
      </c>
      <c r="D1765" s="87"/>
      <c r="E1765" s="67" t="str">
        <f>HYPERLINK("https://www.google.ru/search?q=4FSS23TSWSM266-20S&amp;newwindow=1&amp;tbm=isch","Еще фото")</f>
        <v>Еще фото</v>
      </c>
      <c r="F1765" s="14"/>
      <c r="G1765" s="25" t="s">
        <v>2561</v>
      </c>
      <c r="H1765" s="25" t="s">
        <v>27</v>
      </c>
      <c r="I1765" s="25" t="s">
        <v>301</v>
      </c>
      <c r="J1765" s="15" t="s">
        <v>28</v>
      </c>
      <c r="K1765" s="16" t="s">
        <v>45</v>
      </c>
      <c r="L1765" s="84"/>
      <c r="M1765" s="15"/>
      <c r="N1765" s="15" t="s">
        <v>38</v>
      </c>
      <c r="O1765" s="15"/>
      <c r="P1765" s="16" t="s">
        <v>2563</v>
      </c>
      <c r="Q1765" s="17">
        <v>4899</v>
      </c>
      <c r="R1765" s="18">
        <v>76.569999999999993</v>
      </c>
      <c r="S1765" s="19">
        <v>1319.9354999999998</v>
      </c>
      <c r="T1765" s="20" t="s">
        <v>99</v>
      </c>
      <c r="U1765" s="21" t="s">
        <v>42</v>
      </c>
      <c r="V1765" s="23">
        <v>52</v>
      </c>
      <c r="W1765" s="23">
        <v>3</v>
      </c>
      <c r="X1765" s="24"/>
    </row>
    <row r="1766" spans="1:24" s="1" customFormat="1" ht="21" customHeight="1" x14ac:dyDescent="0.3">
      <c r="A1766" s="62">
        <v>4</v>
      </c>
      <c r="B1766" s="11" t="s">
        <v>2564</v>
      </c>
      <c r="C1766" s="27" t="s">
        <v>2565</v>
      </c>
      <c r="D1766" s="85"/>
      <c r="E1766" s="67" t="str">
        <f>HYPERLINK("https://www.google.ru/search?q=4FSS23TSWSM353-62S&amp;newwindow=1&amp;tbm=isch","Еще фото")</f>
        <v>Еще фото</v>
      </c>
      <c r="F1766" s="14"/>
      <c r="G1766" s="11" t="s">
        <v>2561</v>
      </c>
      <c r="H1766" s="11" t="s">
        <v>27</v>
      </c>
      <c r="I1766" s="15" t="s">
        <v>301</v>
      </c>
      <c r="J1766" s="15" t="s">
        <v>28</v>
      </c>
      <c r="K1766" s="16" t="s">
        <v>45</v>
      </c>
      <c r="L1766" s="83" t="s">
        <v>2566</v>
      </c>
      <c r="M1766" s="15"/>
      <c r="N1766" s="15" t="s">
        <v>73</v>
      </c>
      <c r="O1766" s="15"/>
      <c r="P1766" s="16" t="s">
        <v>2567</v>
      </c>
      <c r="Q1766" s="17">
        <v>5099</v>
      </c>
      <c r="R1766" s="18">
        <v>74.94</v>
      </c>
      <c r="S1766" s="19">
        <v>1469.4354999999998</v>
      </c>
      <c r="T1766" s="20" t="s">
        <v>99</v>
      </c>
      <c r="U1766" s="21" t="s">
        <v>34</v>
      </c>
      <c r="V1766" s="23">
        <v>46</v>
      </c>
      <c r="W1766" s="23">
        <v>11</v>
      </c>
      <c r="X1766" s="24"/>
    </row>
    <row r="1767" spans="1:24" s="1" customFormat="1" ht="21" customHeight="1" x14ac:dyDescent="0.3">
      <c r="A1767" s="63">
        <v>4</v>
      </c>
      <c r="B1767" s="25" t="s">
        <v>2564</v>
      </c>
      <c r="C1767" s="28" t="s">
        <v>2565</v>
      </c>
      <c r="D1767" s="86"/>
      <c r="E1767" s="67" t="str">
        <f>HYPERLINK("https://www.google.ru/search?q=4FSS23TSWSM353-62S&amp;newwindow=1&amp;tbm=isch","Еще фото")</f>
        <v>Еще фото</v>
      </c>
      <c r="F1767" s="14"/>
      <c r="G1767" s="25" t="s">
        <v>2561</v>
      </c>
      <c r="H1767" s="25" t="s">
        <v>27</v>
      </c>
      <c r="I1767" s="25" t="s">
        <v>301</v>
      </c>
      <c r="J1767" s="15" t="s">
        <v>28</v>
      </c>
      <c r="K1767" s="16" t="s">
        <v>45</v>
      </c>
      <c r="L1767" s="88"/>
      <c r="M1767" s="15"/>
      <c r="N1767" s="15" t="s">
        <v>73</v>
      </c>
      <c r="O1767" s="15"/>
      <c r="P1767" s="16" t="s">
        <v>2567</v>
      </c>
      <c r="Q1767" s="17">
        <v>5099</v>
      </c>
      <c r="R1767" s="18">
        <v>74.94</v>
      </c>
      <c r="S1767" s="19">
        <v>1469.4354999999998</v>
      </c>
      <c r="T1767" s="20" t="s">
        <v>99</v>
      </c>
      <c r="U1767" s="21" t="s">
        <v>52</v>
      </c>
      <c r="V1767" s="23">
        <v>48</v>
      </c>
      <c r="W1767" s="23">
        <v>22</v>
      </c>
      <c r="X1767" s="24"/>
    </row>
    <row r="1768" spans="1:24" s="1" customFormat="1" ht="21" customHeight="1" x14ac:dyDescent="0.3">
      <c r="A1768" s="63">
        <v>4</v>
      </c>
      <c r="B1768" s="25" t="s">
        <v>2564</v>
      </c>
      <c r="C1768" s="28" t="s">
        <v>2565</v>
      </c>
      <c r="D1768" s="86"/>
      <c r="E1768" s="67" t="str">
        <f>HYPERLINK("https://www.google.ru/search?q=4FSS23TSWSM353-62S&amp;newwindow=1&amp;tbm=isch","Еще фото")</f>
        <v>Еще фото</v>
      </c>
      <c r="F1768" s="14"/>
      <c r="G1768" s="25" t="s">
        <v>2561</v>
      </c>
      <c r="H1768" s="25" t="s">
        <v>27</v>
      </c>
      <c r="I1768" s="25" t="s">
        <v>301</v>
      </c>
      <c r="J1768" s="15" t="s">
        <v>28</v>
      </c>
      <c r="K1768" s="16" t="s">
        <v>45</v>
      </c>
      <c r="L1768" s="88"/>
      <c r="M1768" s="15"/>
      <c r="N1768" s="15" t="s">
        <v>73</v>
      </c>
      <c r="O1768" s="15"/>
      <c r="P1768" s="16" t="s">
        <v>2567</v>
      </c>
      <c r="Q1768" s="17">
        <v>5099</v>
      </c>
      <c r="R1768" s="18">
        <v>74.94</v>
      </c>
      <c r="S1768" s="19">
        <v>1469.4354999999998</v>
      </c>
      <c r="T1768" s="20" t="s">
        <v>99</v>
      </c>
      <c r="U1768" s="21" t="s">
        <v>40</v>
      </c>
      <c r="V1768" s="23">
        <v>50</v>
      </c>
      <c r="W1768" s="23">
        <v>20</v>
      </c>
      <c r="X1768" s="24"/>
    </row>
    <row r="1769" spans="1:24" s="1" customFormat="1" ht="21" customHeight="1" x14ac:dyDescent="0.3">
      <c r="A1769" s="63">
        <v>4</v>
      </c>
      <c r="B1769" s="25" t="s">
        <v>2564</v>
      </c>
      <c r="C1769" s="28" t="s">
        <v>2565</v>
      </c>
      <c r="D1769" s="86"/>
      <c r="E1769" s="67" t="str">
        <f>HYPERLINK("https://www.google.ru/search?q=4FSS23TSWSM353-62S&amp;newwindow=1&amp;tbm=isch","Еще фото")</f>
        <v>Еще фото</v>
      </c>
      <c r="F1769" s="14"/>
      <c r="G1769" s="25" t="s">
        <v>2561</v>
      </c>
      <c r="H1769" s="25" t="s">
        <v>27</v>
      </c>
      <c r="I1769" s="25" t="s">
        <v>301</v>
      </c>
      <c r="J1769" s="15" t="s">
        <v>28</v>
      </c>
      <c r="K1769" s="16" t="s">
        <v>45</v>
      </c>
      <c r="L1769" s="88"/>
      <c r="M1769" s="15"/>
      <c r="N1769" s="15" t="s">
        <v>73</v>
      </c>
      <c r="O1769" s="15"/>
      <c r="P1769" s="16" t="s">
        <v>2567</v>
      </c>
      <c r="Q1769" s="17">
        <v>5099</v>
      </c>
      <c r="R1769" s="18">
        <v>74.94</v>
      </c>
      <c r="S1769" s="19">
        <v>1469.4354999999998</v>
      </c>
      <c r="T1769" s="20" t="s">
        <v>99</v>
      </c>
      <c r="U1769" s="21" t="s">
        <v>42</v>
      </c>
      <c r="V1769" s="23">
        <v>52</v>
      </c>
      <c r="W1769" s="23">
        <v>9</v>
      </c>
      <c r="X1769" s="24"/>
    </row>
    <row r="1770" spans="1:24" s="1" customFormat="1" ht="32" customHeight="1" x14ac:dyDescent="0.3">
      <c r="A1770" s="63">
        <v>4</v>
      </c>
      <c r="B1770" s="25" t="s">
        <v>2564</v>
      </c>
      <c r="C1770" s="28" t="s">
        <v>2565</v>
      </c>
      <c r="D1770" s="87"/>
      <c r="E1770" s="67" t="str">
        <f>HYPERLINK("https://www.google.ru/search?q=4FSS23TSWSM353-62S&amp;newwindow=1&amp;tbm=isch","Еще фото")</f>
        <v>Еще фото</v>
      </c>
      <c r="F1770" s="14"/>
      <c r="G1770" s="25" t="s">
        <v>2561</v>
      </c>
      <c r="H1770" s="25" t="s">
        <v>27</v>
      </c>
      <c r="I1770" s="25" t="s">
        <v>301</v>
      </c>
      <c r="J1770" s="15" t="s">
        <v>28</v>
      </c>
      <c r="K1770" s="16" t="s">
        <v>45</v>
      </c>
      <c r="L1770" s="84"/>
      <c r="M1770" s="15"/>
      <c r="N1770" s="15" t="s">
        <v>73</v>
      </c>
      <c r="O1770" s="15"/>
      <c r="P1770" s="16" t="s">
        <v>2567</v>
      </c>
      <c r="Q1770" s="17">
        <v>5099</v>
      </c>
      <c r="R1770" s="18">
        <v>74.94</v>
      </c>
      <c r="S1770" s="19">
        <v>1469.4354999999998</v>
      </c>
      <c r="T1770" s="20" t="s">
        <v>99</v>
      </c>
      <c r="U1770" s="21" t="s">
        <v>493</v>
      </c>
      <c r="V1770" s="23">
        <v>54</v>
      </c>
      <c r="W1770" s="23">
        <v>3</v>
      </c>
      <c r="X1770" s="24"/>
    </row>
    <row r="1771" spans="1:24" s="1" customFormat="1" ht="108" customHeight="1" x14ac:dyDescent="0.3">
      <c r="A1771" s="62">
        <v>4</v>
      </c>
      <c r="B1771" s="11" t="s">
        <v>2568</v>
      </c>
      <c r="C1771" s="12" t="s">
        <v>2569</v>
      </c>
      <c r="D1771" s="13"/>
      <c r="E1771" s="67" t="str">
        <f>HYPERLINK("https://www.google.ru/search?q=4FSS23TSWSM229-83S&amp;newwindow=1&amp;tbm=isch","Еще фото")</f>
        <v>Еще фото</v>
      </c>
      <c r="F1771" s="14"/>
      <c r="G1771" s="11" t="s">
        <v>2561</v>
      </c>
      <c r="H1771" s="11" t="s">
        <v>27</v>
      </c>
      <c r="I1771" s="15" t="s">
        <v>301</v>
      </c>
      <c r="J1771" s="15" t="s">
        <v>28</v>
      </c>
      <c r="K1771" s="16" t="s">
        <v>45</v>
      </c>
      <c r="L1771" s="15" t="s">
        <v>2570</v>
      </c>
      <c r="M1771" s="15"/>
      <c r="N1771" s="15" t="s">
        <v>132</v>
      </c>
      <c r="O1771" s="15"/>
      <c r="P1771" s="16" t="s">
        <v>2571</v>
      </c>
      <c r="Q1771" s="17">
        <v>7199</v>
      </c>
      <c r="R1771" s="18">
        <v>74.89</v>
      </c>
      <c r="S1771" s="19">
        <v>2078.9354999999996</v>
      </c>
      <c r="T1771" s="20" t="s">
        <v>99</v>
      </c>
      <c r="U1771" s="21" t="s">
        <v>34</v>
      </c>
      <c r="V1771" s="23">
        <v>46</v>
      </c>
      <c r="W1771" s="23">
        <v>1</v>
      </c>
      <c r="X1771" s="24"/>
    </row>
    <row r="1772" spans="1:24" s="1" customFormat="1" ht="108" customHeight="1" x14ac:dyDescent="0.3">
      <c r="A1772" s="62">
        <v>4</v>
      </c>
      <c r="B1772" s="11" t="s">
        <v>2572</v>
      </c>
      <c r="C1772" s="12" t="s">
        <v>2573</v>
      </c>
      <c r="D1772" s="13"/>
      <c r="E1772" s="67" t="str">
        <f>HYPERLINK("https://www.google.ru/search?q=4FSS23TSWSM549-20S&amp;newwindow=1&amp;tbm=isch","Еще фото")</f>
        <v>Еще фото</v>
      </c>
      <c r="F1772" s="14"/>
      <c r="G1772" s="11" t="s">
        <v>2561</v>
      </c>
      <c r="H1772" s="11" t="s">
        <v>27</v>
      </c>
      <c r="I1772" s="15" t="s">
        <v>301</v>
      </c>
      <c r="J1772" s="15" t="s">
        <v>28</v>
      </c>
      <c r="K1772" s="16" t="s">
        <v>45</v>
      </c>
      <c r="L1772" s="15" t="s">
        <v>2574</v>
      </c>
      <c r="M1772" s="15"/>
      <c r="N1772" s="15" t="s">
        <v>38</v>
      </c>
      <c r="O1772" s="15"/>
      <c r="P1772" s="16" t="s">
        <v>2575</v>
      </c>
      <c r="Q1772" s="17">
        <v>4999</v>
      </c>
      <c r="R1772" s="18">
        <v>74.84</v>
      </c>
      <c r="S1772" s="19">
        <v>1446.4354999999998</v>
      </c>
      <c r="T1772" s="20" t="s">
        <v>99</v>
      </c>
      <c r="U1772" s="21" t="s">
        <v>52</v>
      </c>
      <c r="V1772" s="23">
        <v>48</v>
      </c>
      <c r="W1772" s="23">
        <v>1</v>
      </c>
      <c r="X1772" s="24"/>
    </row>
    <row r="1773" spans="1:24" s="1" customFormat="1" ht="26" customHeight="1" x14ac:dyDescent="0.3">
      <c r="A1773" s="62">
        <v>4</v>
      </c>
      <c r="B1773" s="11" t="s">
        <v>2576</v>
      </c>
      <c r="C1773" s="12" t="s">
        <v>2577</v>
      </c>
      <c r="D1773" s="85"/>
      <c r="E1773" s="67" t="str">
        <f>HYPERLINK("https://www.google.ru/search?q=4FSS23TSWSF244-83S&amp;newwindow=1&amp;tbm=isch","Еще фото")</f>
        <v>Еще фото</v>
      </c>
      <c r="F1773" s="14"/>
      <c r="G1773" s="11" t="s">
        <v>2561</v>
      </c>
      <c r="H1773" s="11" t="s">
        <v>27</v>
      </c>
      <c r="I1773" s="15" t="s">
        <v>301</v>
      </c>
      <c r="J1773" s="15" t="s">
        <v>28</v>
      </c>
      <c r="K1773" s="16" t="s">
        <v>29</v>
      </c>
      <c r="L1773" s="83" t="s">
        <v>2578</v>
      </c>
      <c r="M1773" s="15"/>
      <c r="N1773" s="15" t="s">
        <v>132</v>
      </c>
      <c r="O1773" s="15"/>
      <c r="P1773" s="16" t="s">
        <v>2579</v>
      </c>
      <c r="Q1773" s="17">
        <v>5099</v>
      </c>
      <c r="R1773" s="18">
        <v>71.209999999999994</v>
      </c>
      <c r="S1773" s="19">
        <v>1687.9354999999998</v>
      </c>
      <c r="T1773" s="20" t="s">
        <v>99</v>
      </c>
      <c r="U1773" s="21" t="s">
        <v>34</v>
      </c>
      <c r="V1773" s="23">
        <v>44</v>
      </c>
      <c r="W1773" s="23">
        <v>3</v>
      </c>
      <c r="X1773" s="24"/>
    </row>
    <row r="1774" spans="1:24" s="1" customFormat="1" ht="26" customHeight="1" x14ac:dyDescent="0.3">
      <c r="A1774" s="63">
        <v>4</v>
      </c>
      <c r="B1774" s="25" t="s">
        <v>2576</v>
      </c>
      <c r="C1774" s="12" t="s">
        <v>2577</v>
      </c>
      <c r="D1774" s="86"/>
      <c r="E1774" s="67" t="str">
        <f>HYPERLINK("https://www.google.ru/search?q=4FSS23TSWSF244-83S&amp;newwindow=1&amp;tbm=isch","Еще фото")</f>
        <v>Еще фото</v>
      </c>
      <c r="F1774" s="14"/>
      <c r="G1774" s="25" t="s">
        <v>2561</v>
      </c>
      <c r="H1774" s="25" t="s">
        <v>27</v>
      </c>
      <c r="I1774" s="25" t="s">
        <v>301</v>
      </c>
      <c r="J1774" s="15" t="s">
        <v>28</v>
      </c>
      <c r="K1774" s="16" t="s">
        <v>29</v>
      </c>
      <c r="L1774" s="88"/>
      <c r="M1774" s="15"/>
      <c r="N1774" s="15" t="s">
        <v>132</v>
      </c>
      <c r="O1774" s="15"/>
      <c r="P1774" s="16" t="s">
        <v>2579</v>
      </c>
      <c r="Q1774" s="17">
        <v>5099</v>
      </c>
      <c r="R1774" s="18">
        <v>71.209999999999994</v>
      </c>
      <c r="S1774" s="19">
        <v>1687.9354999999998</v>
      </c>
      <c r="T1774" s="20" t="s">
        <v>99</v>
      </c>
      <c r="U1774" s="21" t="s">
        <v>52</v>
      </c>
      <c r="V1774" s="23">
        <v>46</v>
      </c>
      <c r="W1774" s="23">
        <v>3</v>
      </c>
      <c r="X1774" s="24"/>
    </row>
    <row r="1775" spans="1:24" s="1" customFormat="1" ht="26" customHeight="1" x14ac:dyDescent="0.3">
      <c r="A1775" s="63">
        <v>4</v>
      </c>
      <c r="B1775" s="25" t="s">
        <v>2576</v>
      </c>
      <c r="C1775" s="12" t="s">
        <v>2577</v>
      </c>
      <c r="D1775" s="86"/>
      <c r="E1775" s="67" t="str">
        <f>HYPERLINK("https://www.google.ru/search?q=4FSS23TSWSF244-83S&amp;newwindow=1&amp;tbm=isch","Еще фото")</f>
        <v>Еще фото</v>
      </c>
      <c r="F1775" s="14"/>
      <c r="G1775" s="25" t="s">
        <v>2561</v>
      </c>
      <c r="H1775" s="25" t="s">
        <v>27</v>
      </c>
      <c r="I1775" s="25" t="s">
        <v>301</v>
      </c>
      <c r="J1775" s="15" t="s">
        <v>28</v>
      </c>
      <c r="K1775" s="16" t="s">
        <v>29</v>
      </c>
      <c r="L1775" s="88"/>
      <c r="M1775" s="15"/>
      <c r="N1775" s="15" t="s">
        <v>132</v>
      </c>
      <c r="O1775" s="15"/>
      <c r="P1775" s="16" t="s">
        <v>2579</v>
      </c>
      <c r="Q1775" s="17">
        <v>5099</v>
      </c>
      <c r="R1775" s="18">
        <v>71.209999999999994</v>
      </c>
      <c r="S1775" s="19">
        <v>1687.9354999999998</v>
      </c>
      <c r="T1775" s="20" t="s">
        <v>99</v>
      </c>
      <c r="U1775" s="21" t="s">
        <v>40</v>
      </c>
      <c r="V1775" s="23">
        <v>48</v>
      </c>
      <c r="W1775" s="23">
        <v>8</v>
      </c>
      <c r="X1775" s="24"/>
    </row>
    <row r="1776" spans="1:24" s="1" customFormat="1" ht="26" customHeight="1" x14ac:dyDescent="0.3">
      <c r="A1776" s="63">
        <v>4</v>
      </c>
      <c r="B1776" s="25" t="s">
        <v>2576</v>
      </c>
      <c r="C1776" s="12" t="s">
        <v>2577</v>
      </c>
      <c r="D1776" s="87"/>
      <c r="E1776" s="67" t="str">
        <f>HYPERLINK("https://www.google.ru/search?q=4FSS23TSWSF244-83S&amp;newwindow=1&amp;tbm=isch","Еще фото")</f>
        <v>Еще фото</v>
      </c>
      <c r="F1776" s="14"/>
      <c r="G1776" s="25" t="s">
        <v>2561</v>
      </c>
      <c r="H1776" s="25" t="s">
        <v>27</v>
      </c>
      <c r="I1776" s="25" t="s">
        <v>301</v>
      </c>
      <c r="J1776" s="15" t="s">
        <v>28</v>
      </c>
      <c r="K1776" s="16" t="s">
        <v>29</v>
      </c>
      <c r="L1776" s="84"/>
      <c r="M1776" s="15"/>
      <c r="N1776" s="15" t="s">
        <v>132</v>
      </c>
      <c r="O1776" s="15"/>
      <c r="P1776" s="16" t="s">
        <v>2579</v>
      </c>
      <c r="Q1776" s="17">
        <v>5099</v>
      </c>
      <c r="R1776" s="18">
        <v>71.209999999999994</v>
      </c>
      <c r="S1776" s="19">
        <v>1687.9354999999998</v>
      </c>
      <c r="T1776" s="20" t="s">
        <v>99</v>
      </c>
      <c r="U1776" s="21" t="s">
        <v>42</v>
      </c>
      <c r="V1776" s="23">
        <v>50</v>
      </c>
      <c r="W1776" s="23">
        <v>4</v>
      </c>
      <c r="X1776" s="24"/>
    </row>
    <row r="1777" spans="1:24" s="1" customFormat="1" ht="108" customHeight="1" x14ac:dyDescent="0.3">
      <c r="A1777" s="62">
        <v>4</v>
      </c>
      <c r="B1777" s="11" t="s">
        <v>2580</v>
      </c>
      <c r="C1777" s="12" t="s">
        <v>2581</v>
      </c>
      <c r="D1777" s="13"/>
      <c r="E1777" s="67" t="str">
        <f>HYPERLINK("https://www.google.ru/search?q=4FSS23TSWSM350-27M&amp;newwindow=1&amp;tbm=isch","Еще фото")</f>
        <v>Еще фото</v>
      </c>
      <c r="F1777" s="14"/>
      <c r="G1777" s="11" t="s">
        <v>2561</v>
      </c>
      <c r="H1777" s="11" t="s">
        <v>27</v>
      </c>
      <c r="I1777" s="15" t="s">
        <v>301</v>
      </c>
      <c r="J1777" s="15" t="s">
        <v>28</v>
      </c>
      <c r="K1777" s="16" t="s">
        <v>45</v>
      </c>
      <c r="L1777" s="15" t="s">
        <v>2582</v>
      </c>
      <c r="M1777" s="15"/>
      <c r="N1777" s="15" t="s">
        <v>218</v>
      </c>
      <c r="O1777" s="15"/>
      <c r="P1777" s="16" t="s">
        <v>2563</v>
      </c>
      <c r="Q1777" s="17">
        <v>4099</v>
      </c>
      <c r="R1777" s="18">
        <v>71.02</v>
      </c>
      <c r="S1777" s="19">
        <v>1365.9354999999998</v>
      </c>
      <c r="T1777" s="20" t="s">
        <v>99</v>
      </c>
      <c r="U1777" s="21" t="s">
        <v>40</v>
      </c>
      <c r="V1777" s="23">
        <v>50</v>
      </c>
      <c r="W1777" s="23">
        <v>1</v>
      </c>
      <c r="X1777" s="24"/>
    </row>
    <row r="1778" spans="1:24" s="1" customFormat="1" ht="108" customHeight="1" x14ac:dyDescent="0.3">
      <c r="A1778" s="62">
        <v>4</v>
      </c>
      <c r="B1778" s="11" t="s">
        <v>2583</v>
      </c>
      <c r="C1778" s="12" t="s">
        <v>2584</v>
      </c>
      <c r="D1778" s="13"/>
      <c r="E1778" s="67" t="str">
        <f>HYPERLINK("https://www.google.ru/search?q=4FAW23TSWSF0730-56S&amp;newwindow=1&amp;tbm=isch","Еще фото")</f>
        <v>Еще фото</v>
      </c>
      <c r="F1778" s="14"/>
      <c r="G1778" s="11" t="s">
        <v>306</v>
      </c>
      <c r="H1778" s="11" t="s">
        <v>27</v>
      </c>
      <c r="I1778" s="15" t="s">
        <v>301</v>
      </c>
      <c r="J1778" s="15" t="s">
        <v>28</v>
      </c>
      <c r="K1778" s="16" t="s">
        <v>29</v>
      </c>
      <c r="L1778" s="15" t="s">
        <v>2585</v>
      </c>
      <c r="M1778" s="15"/>
      <c r="N1778" s="15" t="s">
        <v>212</v>
      </c>
      <c r="O1778" s="15"/>
      <c r="P1778" s="16" t="s">
        <v>2428</v>
      </c>
      <c r="Q1778" s="17">
        <v>5799</v>
      </c>
      <c r="R1778" s="18">
        <v>68.83</v>
      </c>
      <c r="S1778" s="19">
        <v>2078.9354999999996</v>
      </c>
      <c r="T1778" s="20" t="s">
        <v>99</v>
      </c>
      <c r="U1778" s="21" t="s">
        <v>52</v>
      </c>
      <c r="V1778" s="23">
        <v>46</v>
      </c>
      <c r="W1778" s="23">
        <v>1</v>
      </c>
      <c r="X1778" s="24"/>
    </row>
    <row r="1779" spans="1:24" s="1" customFormat="1" ht="52.05" customHeight="1" x14ac:dyDescent="0.3">
      <c r="A1779" s="62">
        <v>4</v>
      </c>
      <c r="B1779" s="11" t="s">
        <v>2586</v>
      </c>
      <c r="C1779" s="12" t="s">
        <v>2587</v>
      </c>
      <c r="D1779" s="81"/>
      <c r="E1779" s="67" t="str">
        <f>HYPERLINK("https://www.google.ru/search?q=4FAW23TSWSM694-62S&amp;newwindow=1&amp;tbm=isch","Еще фото")</f>
        <v>Еще фото</v>
      </c>
      <c r="F1779" s="14"/>
      <c r="G1779" s="11" t="s">
        <v>306</v>
      </c>
      <c r="H1779" s="11" t="s">
        <v>27</v>
      </c>
      <c r="I1779" s="15" t="s">
        <v>301</v>
      </c>
      <c r="J1779" s="15" t="s">
        <v>28</v>
      </c>
      <c r="K1779" s="16" t="s">
        <v>45</v>
      </c>
      <c r="L1779" s="83" t="s">
        <v>2588</v>
      </c>
      <c r="M1779" s="15"/>
      <c r="N1779" s="15" t="s">
        <v>73</v>
      </c>
      <c r="O1779" s="15"/>
      <c r="P1779" s="16" t="s">
        <v>2589</v>
      </c>
      <c r="Q1779" s="17">
        <v>5699</v>
      </c>
      <c r="R1779" s="18">
        <v>66.7</v>
      </c>
      <c r="S1779" s="19">
        <v>2182.4354999999996</v>
      </c>
      <c r="T1779" s="20" t="s">
        <v>99</v>
      </c>
      <c r="U1779" s="21" t="s">
        <v>52</v>
      </c>
      <c r="V1779" s="23">
        <v>48</v>
      </c>
      <c r="W1779" s="23">
        <v>4</v>
      </c>
      <c r="X1779" s="24"/>
    </row>
    <row r="1780" spans="1:24" s="1" customFormat="1" ht="61.05" customHeight="1" x14ac:dyDescent="0.3">
      <c r="A1780" s="63">
        <v>4</v>
      </c>
      <c r="B1780" s="25" t="s">
        <v>2586</v>
      </c>
      <c r="C1780" s="12" t="s">
        <v>2587</v>
      </c>
      <c r="D1780" s="82"/>
      <c r="E1780" s="67" t="str">
        <f>HYPERLINK("https://www.google.ru/search?q=4FAW23TSWSM694-62S&amp;newwindow=1&amp;tbm=isch","Еще фото")</f>
        <v>Еще фото</v>
      </c>
      <c r="F1780" s="14"/>
      <c r="G1780" s="25" t="s">
        <v>306</v>
      </c>
      <c r="H1780" s="25" t="s">
        <v>27</v>
      </c>
      <c r="I1780" s="25" t="s">
        <v>301</v>
      </c>
      <c r="J1780" s="15" t="s">
        <v>28</v>
      </c>
      <c r="K1780" s="16" t="s">
        <v>45</v>
      </c>
      <c r="L1780" s="84"/>
      <c r="M1780" s="15"/>
      <c r="N1780" s="15" t="s">
        <v>73</v>
      </c>
      <c r="O1780" s="15"/>
      <c r="P1780" s="16" t="s">
        <v>2589</v>
      </c>
      <c r="Q1780" s="17">
        <v>5699</v>
      </c>
      <c r="R1780" s="18">
        <v>66.7</v>
      </c>
      <c r="S1780" s="19">
        <v>2182.4354999999996</v>
      </c>
      <c r="T1780" s="20" t="s">
        <v>99</v>
      </c>
      <c r="U1780" s="21" t="s">
        <v>40</v>
      </c>
      <c r="V1780" s="23">
        <v>50</v>
      </c>
      <c r="W1780" s="23">
        <v>6</v>
      </c>
      <c r="X1780" s="24"/>
    </row>
    <row r="1781" spans="1:24" s="1" customFormat="1" ht="108" customHeight="1" x14ac:dyDescent="0.3">
      <c r="A1781" s="62">
        <v>4</v>
      </c>
      <c r="B1781" s="11" t="s">
        <v>2590</v>
      </c>
      <c r="C1781" s="12" t="s">
        <v>2591</v>
      </c>
      <c r="D1781" s="13"/>
      <c r="E1781" s="67" t="str">
        <f>HYPERLINK("https://www.google.ru/search?q=4FSS23TSWSM265-20S&amp;newwindow=1&amp;tbm=isch","Еще фото")</f>
        <v>Еще фото</v>
      </c>
      <c r="F1781" s="14"/>
      <c r="G1781" s="11" t="s">
        <v>2561</v>
      </c>
      <c r="H1781" s="11" t="s">
        <v>27</v>
      </c>
      <c r="I1781" s="15" t="s">
        <v>301</v>
      </c>
      <c r="J1781" s="15" t="s">
        <v>28</v>
      </c>
      <c r="K1781" s="16" t="s">
        <v>45</v>
      </c>
      <c r="L1781" s="15" t="s">
        <v>2592</v>
      </c>
      <c r="M1781" s="15"/>
      <c r="N1781" s="15" t="s">
        <v>38</v>
      </c>
      <c r="O1781" s="15"/>
      <c r="P1781" s="16" t="s">
        <v>2593</v>
      </c>
      <c r="Q1781" s="17">
        <v>7999</v>
      </c>
      <c r="R1781" s="18">
        <v>66.52</v>
      </c>
      <c r="S1781" s="19">
        <v>3079.4354999999996</v>
      </c>
      <c r="T1781" s="20" t="s">
        <v>99</v>
      </c>
      <c r="U1781" s="21" t="s">
        <v>34</v>
      </c>
      <c r="V1781" s="23">
        <v>46</v>
      </c>
      <c r="W1781" s="23">
        <v>1</v>
      </c>
      <c r="X1781" s="24"/>
    </row>
    <row r="1782" spans="1:24" s="1" customFormat="1" ht="108" customHeight="1" x14ac:dyDescent="0.3">
      <c r="A1782" s="62">
        <v>4</v>
      </c>
      <c r="B1782" s="11" t="s">
        <v>2594</v>
      </c>
      <c r="C1782" s="12" t="s">
        <v>2595</v>
      </c>
      <c r="D1782" s="13"/>
      <c r="E1782" s="67" t="str">
        <f>HYPERLINK("https://www.google.ru/search?q=4FSS23TTJAM058-30S&amp;newwindow=1&amp;tbm=isch","Еще фото")</f>
        <v>Еще фото</v>
      </c>
      <c r="F1782" s="14"/>
      <c r="G1782" s="11" t="s">
        <v>1657</v>
      </c>
      <c r="H1782" s="11" t="s">
        <v>27</v>
      </c>
      <c r="I1782" s="15" t="s">
        <v>301</v>
      </c>
      <c r="J1782" s="15" t="s">
        <v>28</v>
      </c>
      <c r="K1782" s="16" t="s">
        <v>45</v>
      </c>
      <c r="L1782" s="15" t="s">
        <v>2596</v>
      </c>
      <c r="M1782" s="15" t="s">
        <v>2514</v>
      </c>
      <c r="N1782" s="15" t="s">
        <v>31</v>
      </c>
      <c r="O1782" s="15"/>
      <c r="P1782" s="16" t="s">
        <v>968</v>
      </c>
      <c r="Q1782" s="17">
        <v>6399</v>
      </c>
      <c r="R1782" s="18">
        <v>64.400000000000006</v>
      </c>
      <c r="S1782" s="19">
        <v>2619.4354999999996</v>
      </c>
      <c r="T1782" s="20" t="s">
        <v>99</v>
      </c>
      <c r="U1782" s="21" t="s">
        <v>40</v>
      </c>
      <c r="V1782" s="23">
        <v>50</v>
      </c>
      <c r="W1782" s="23">
        <v>1</v>
      </c>
      <c r="X1782" s="24"/>
    </row>
    <row r="1783" spans="1:24" s="1" customFormat="1" ht="26" customHeight="1" x14ac:dyDescent="0.3">
      <c r="A1783" s="62">
        <v>4</v>
      </c>
      <c r="B1783" s="11" t="s">
        <v>2597</v>
      </c>
      <c r="C1783" s="12" t="s">
        <v>2598</v>
      </c>
      <c r="D1783" s="85"/>
      <c r="E1783" s="67" t="str">
        <f>HYPERLINK("https://www.google.ru/search?q=4FJSS23TFLEM040-20S&amp;newwindow=1&amp;tbm=isch","Еще фото")</f>
        <v>Еще фото</v>
      </c>
      <c r="F1783" s="14"/>
      <c r="G1783" s="11" t="s">
        <v>306</v>
      </c>
      <c r="H1783" s="11" t="s">
        <v>27</v>
      </c>
      <c r="I1783" s="15" t="s">
        <v>301</v>
      </c>
      <c r="J1783" s="15" t="s">
        <v>28</v>
      </c>
      <c r="K1783" s="16" t="s">
        <v>59</v>
      </c>
      <c r="L1783" s="83" t="s">
        <v>2599</v>
      </c>
      <c r="M1783" s="15"/>
      <c r="N1783" s="15" t="s">
        <v>38</v>
      </c>
      <c r="O1783" s="15"/>
      <c r="P1783" s="16" t="s">
        <v>106</v>
      </c>
      <c r="Q1783" s="17">
        <v>3999</v>
      </c>
      <c r="R1783" s="18">
        <v>61.3</v>
      </c>
      <c r="S1783" s="19">
        <v>1779.9354999999998</v>
      </c>
      <c r="T1783" s="20" t="s">
        <v>99</v>
      </c>
      <c r="U1783" s="21" t="s">
        <v>1670</v>
      </c>
      <c r="V1783" s="23">
        <v>140</v>
      </c>
      <c r="W1783" s="23">
        <v>3</v>
      </c>
      <c r="X1783" s="24"/>
    </row>
    <row r="1784" spans="1:24" s="1" customFormat="1" ht="26" customHeight="1" x14ac:dyDescent="0.3">
      <c r="A1784" s="63">
        <v>4</v>
      </c>
      <c r="B1784" s="25" t="s">
        <v>2597</v>
      </c>
      <c r="C1784" s="12" t="s">
        <v>2598</v>
      </c>
      <c r="D1784" s="86"/>
      <c r="E1784" s="67" t="str">
        <f>HYPERLINK("https://www.google.ru/search?q=4FJSS23TFLEM040-20S&amp;newwindow=1&amp;tbm=isch","Еще фото")</f>
        <v>Еще фото</v>
      </c>
      <c r="F1784" s="14"/>
      <c r="G1784" s="25" t="s">
        <v>306</v>
      </c>
      <c r="H1784" s="25" t="s">
        <v>27</v>
      </c>
      <c r="I1784" s="25" t="s">
        <v>301</v>
      </c>
      <c r="J1784" s="15" t="s">
        <v>28</v>
      </c>
      <c r="K1784" s="16" t="s">
        <v>59</v>
      </c>
      <c r="L1784" s="88"/>
      <c r="M1784" s="15"/>
      <c r="N1784" s="15" t="s">
        <v>38</v>
      </c>
      <c r="O1784" s="15"/>
      <c r="P1784" s="16" t="s">
        <v>106</v>
      </c>
      <c r="Q1784" s="17">
        <v>3999</v>
      </c>
      <c r="R1784" s="18">
        <v>61.3</v>
      </c>
      <c r="S1784" s="19">
        <v>1779.9354999999998</v>
      </c>
      <c r="T1784" s="20" t="s">
        <v>99</v>
      </c>
      <c r="U1784" s="21" t="s">
        <v>2600</v>
      </c>
      <c r="V1784" s="23">
        <v>146</v>
      </c>
      <c r="W1784" s="23">
        <v>1</v>
      </c>
      <c r="X1784" s="24"/>
    </row>
    <row r="1785" spans="1:24" s="1" customFormat="1" ht="26" customHeight="1" x14ac:dyDescent="0.3">
      <c r="A1785" s="63">
        <v>4</v>
      </c>
      <c r="B1785" s="25" t="s">
        <v>2597</v>
      </c>
      <c r="C1785" s="12" t="s">
        <v>2598</v>
      </c>
      <c r="D1785" s="86"/>
      <c r="E1785" s="67" t="str">
        <f>HYPERLINK("https://www.google.ru/search?q=4FJSS23TFLEM040-20S&amp;newwindow=1&amp;tbm=isch","Еще фото")</f>
        <v>Еще фото</v>
      </c>
      <c r="F1785" s="14"/>
      <c r="G1785" s="25" t="s">
        <v>306</v>
      </c>
      <c r="H1785" s="25" t="s">
        <v>27</v>
      </c>
      <c r="I1785" s="25" t="s">
        <v>301</v>
      </c>
      <c r="J1785" s="15" t="s">
        <v>28</v>
      </c>
      <c r="K1785" s="16" t="s">
        <v>59</v>
      </c>
      <c r="L1785" s="88"/>
      <c r="M1785" s="15"/>
      <c r="N1785" s="15" t="s">
        <v>38</v>
      </c>
      <c r="O1785" s="15"/>
      <c r="P1785" s="16" t="s">
        <v>106</v>
      </c>
      <c r="Q1785" s="17">
        <v>3999</v>
      </c>
      <c r="R1785" s="18">
        <v>61.3</v>
      </c>
      <c r="S1785" s="19">
        <v>1779.9354999999998</v>
      </c>
      <c r="T1785" s="20" t="s">
        <v>99</v>
      </c>
      <c r="U1785" s="21" t="s">
        <v>1671</v>
      </c>
      <c r="V1785" s="23">
        <v>152</v>
      </c>
      <c r="W1785" s="23">
        <v>1</v>
      </c>
      <c r="X1785" s="24"/>
    </row>
    <row r="1786" spans="1:24" s="1" customFormat="1" ht="26" customHeight="1" x14ac:dyDescent="0.3">
      <c r="A1786" s="63">
        <v>4</v>
      </c>
      <c r="B1786" s="25" t="s">
        <v>2597</v>
      </c>
      <c r="C1786" s="12" t="s">
        <v>2598</v>
      </c>
      <c r="D1786" s="87"/>
      <c r="E1786" s="67" t="str">
        <f>HYPERLINK("https://www.google.ru/search?q=4FJSS23TFLEM040-20S&amp;newwindow=1&amp;tbm=isch","Еще фото")</f>
        <v>Еще фото</v>
      </c>
      <c r="F1786" s="14"/>
      <c r="G1786" s="25" t="s">
        <v>306</v>
      </c>
      <c r="H1786" s="25" t="s">
        <v>27</v>
      </c>
      <c r="I1786" s="25" t="s">
        <v>301</v>
      </c>
      <c r="J1786" s="15" t="s">
        <v>28</v>
      </c>
      <c r="K1786" s="16" t="s">
        <v>59</v>
      </c>
      <c r="L1786" s="84"/>
      <c r="M1786" s="15"/>
      <c r="N1786" s="15" t="s">
        <v>38</v>
      </c>
      <c r="O1786" s="15"/>
      <c r="P1786" s="16" t="s">
        <v>106</v>
      </c>
      <c r="Q1786" s="17">
        <v>3999</v>
      </c>
      <c r="R1786" s="18">
        <v>61.3</v>
      </c>
      <c r="S1786" s="19">
        <v>1779.9354999999998</v>
      </c>
      <c r="T1786" s="20" t="s">
        <v>99</v>
      </c>
      <c r="U1786" s="21" t="s">
        <v>1672</v>
      </c>
      <c r="V1786" s="23">
        <v>164</v>
      </c>
      <c r="W1786" s="23">
        <v>1</v>
      </c>
      <c r="X1786" s="24"/>
    </row>
    <row r="1787" spans="1:24" s="1" customFormat="1" ht="108" customHeight="1" x14ac:dyDescent="0.3">
      <c r="A1787" s="62">
        <v>4</v>
      </c>
      <c r="B1787" s="11" t="s">
        <v>2601</v>
      </c>
      <c r="C1787" s="12" t="s">
        <v>2602</v>
      </c>
      <c r="D1787" s="13"/>
      <c r="E1787" s="67" t="str">
        <f>HYPERLINK("https://www.google.ru/search?q=4FSS23TSWSF249-20S&amp;newwindow=1&amp;tbm=isch","Еще фото")</f>
        <v>Еще фото</v>
      </c>
      <c r="F1787" s="14"/>
      <c r="G1787" s="11" t="s">
        <v>2561</v>
      </c>
      <c r="H1787" s="11" t="s">
        <v>27</v>
      </c>
      <c r="I1787" s="15" t="s">
        <v>301</v>
      </c>
      <c r="J1787" s="15" t="s">
        <v>28</v>
      </c>
      <c r="K1787" s="16" t="s">
        <v>29</v>
      </c>
      <c r="L1787" s="15" t="s">
        <v>2603</v>
      </c>
      <c r="M1787" s="15"/>
      <c r="N1787" s="15" t="s">
        <v>38</v>
      </c>
      <c r="O1787" s="15"/>
      <c r="P1787" s="16" t="s">
        <v>2604</v>
      </c>
      <c r="Q1787" s="17">
        <v>2999</v>
      </c>
      <c r="R1787" s="18">
        <v>59.73</v>
      </c>
      <c r="S1787" s="19">
        <v>1388.9354999999998</v>
      </c>
      <c r="T1787" s="20" t="s">
        <v>99</v>
      </c>
      <c r="U1787" s="21" t="s">
        <v>442</v>
      </c>
      <c r="V1787" s="23">
        <v>42</v>
      </c>
      <c r="W1787" s="23">
        <v>1</v>
      </c>
      <c r="X1787" s="24"/>
    </row>
    <row r="1788" spans="1:24" s="1" customFormat="1" ht="52.05" customHeight="1" x14ac:dyDescent="0.3">
      <c r="A1788" s="62">
        <v>4</v>
      </c>
      <c r="B1788" s="11" t="s">
        <v>2605</v>
      </c>
      <c r="C1788" s="12" t="s">
        <v>2606</v>
      </c>
      <c r="D1788" s="81"/>
      <c r="E1788" s="67" t="str">
        <f>HYPERLINK("https://www.google.ru/search?q=4FSS23TSWSM267-47S&amp;newwindow=1&amp;tbm=isch","Еще фото")</f>
        <v>Еще фото</v>
      </c>
      <c r="F1788" s="14"/>
      <c r="G1788" s="11" t="s">
        <v>2561</v>
      </c>
      <c r="H1788" s="11" t="s">
        <v>27</v>
      </c>
      <c r="I1788" s="15" t="s">
        <v>301</v>
      </c>
      <c r="J1788" s="15" t="s">
        <v>28</v>
      </c>
      <c r="K1788" s="16" t="s">
        <v>45</v>
      </c>
      <c r="L1788" s="83" t="s">
        <v>2607</v>
      </c>
      <c r="M1788" s="15"/>
      <c r="N1788" s="15" t="s">
        <v>55</v>
      </c>
      <c r="O1788" s="15"/>
      <c r="P1788" s="16" t="s">
        <v>2608</v>
      </c>
      <c r="Q1788" s="17">
        <v>7099</v>
      </c>
      <c r="R1788" s="18">
        <v>58.76</v>
      </c>
      <c r="S1788" s="19">
        <v>3366.9354999999996</v>
      </c>
      <c r="T1788" s="20" t="s">
        <v>99</v>
      </c>
      <c r="U1788" s="21" t="s">
        <v>52</v>
      </c>
      <c r="V1788" s="23">
        <v>48</v>
      </c>
      <c r="W1788" s="23">
        <v>1</v>
      </c>
      <c r="X1788" s="24"/>
    </row>
    <row r="1789" spans="1:24" s="1" customFormat="1" ht="61.05" customHeight="1" x14ac:dyDescent="0.3">
      <c r="A1789" s="63">
        <v>4</v>
      </c>
      <c r="B1789" s="25" t="s">
        <v>2605</v>
      </c>
      <c r="C1789" s="12" t="s">
        <v>2606</v>
      </c>
      <c r="D1789" s="82"/>
      <c r="E1789" s="67" t="str">
        <f>HYPERLINK("https://www.google.ru/search?q=4FSS23TSWSM267-47S&amp;newwindow=1&amp;tbm=isch","Еще фото")</f>
        <v>Еще фото</v>
      </c>
      <c r="F1789" s="14"/>
      <c r="G1789" s="25" t="s">
        <v>2561</v>
      </c>
      <c r="H1789" s="25" t="s">
        <v>27</v>
      </c>
      <c r="I1789" s="25" t="s">
        <v>301</v>
      </c>
      <c r="J1789" s="15" t="s">
        <v>28</v>
      </c>
      <c r="K1789" s="16" t="s">
        <v>45</v>
      </c>
      <c r="L1789" s="84"/>
      <c r="M1789" s="15"/>
      <c r="N1789" s="15" t="s">
        <v>55</v>
      </c>
      <c r="O1789" s="15"/>
      <c r="P1789" s="16" t="s">
        <v>2608</v>
      </c>
      <c r="Q1789" s="17">
        <v>7099</v>
      </c>
      <c r="R1789" s="18">
        <v>58.76</v>
      </c>
      <c r="S1789" s="19">
        <v>3366.9354999999996</v>
      </c>
      <c r="T1789" s="20" t="s">
        <v>99</v>
      </c>
      <c r="U1789" s="21" t="s">
        <v>42</v>
      </c>
      <c r="V1789" s="23">
        <v>52</v>
      </c>
      <c r="W1789" s="23">
        <v>1</v>
      </c>
      <c r="X1789" s="24"/>
    </row>
    <row r="1790" spans="1:24" s="1" customFormat="1" ht="108" customHeight="1" x14ac:dyDescent="0.3">
      <c r="A1790" s="62">
        <v>4</v>
      </c>
      <c r="B1790" s="11" t="s">
        <v>2609</v>
      </c>
      <c r="C1790" s="12" t="s">
        <v>2610</v>
      </c>
      <c r="D1790" s="13"/>
      <c r="E1790" s="67" t="str">
        <f>HYPERLINK("https://www.google.ru/search?q=4FJSS23TFLEM062-31S&amp;newwindow=1&amp;tbm=isch","Еще фото")</f>
        <v>Еще фото</v>
      </c>
      <c r="F1790" s="14"/>
      <c r="G1790" s="11" t="s">
        <v>306</v>
      </c>
      <c r="H1790" s="11" t="s">
        <v>27</v>
      </c>
      <c r="I1790" s="15" t="s">
        <v>301</v>
      </c>
      <c r="J1790" s="15" t="s">
        <v>28</v>
      </c>
      <c r="K1790" s="16" t="s">
        <v>59</v>
      </c>
      <c r="L1790" s="15" t="s">
        <v>2611</v>
      </c>
      <c r="M1790" s="15"/>
      <c r="N1790" s="15" t="s">
        <v>31</v>
      </c>
      <c r="O1790" s="15"/>
      <c r="P1790" s="16" t="s">
        <v>106</v>
      </c>
      <c r="Q1790" s="17">
        <v>2999</v>
      </c>
      <c r="R1790" s="18">
        <v>53.73</v>
      </c>
      <c r="S1790" s="19">
        <v>1595.9354999999998</v>
      </c>
      <c r="T1790" s="20" t="s">
        <v>99</v>
      </c>
      <c r="U1790" s="21" t="s">
        <v>1671</v>
      </c>
      <c r="V1790" s="23">
        <v>152</v>
      </c>
      <c r="W1790" s="23">
        <v>1</v>
      </c>
      <c r="X1790" s="24"/>
    </row>
    <row r="1791" spans="1:24" s="1" customFormat="1" ht="108" customHeight="1" x14ac:dyDescent="0.3">
      <c r="A1791" s="62">
        <v>4</v>
      </c>
      <c r="B1791" s="11" t="s">
        <v>2564</v>
      </c>
      <c r="C1791" s="12" t="s">
        <v>2612</v>
      </c>
      <c r="D1791" s="13"/>
      <c r="E1791" s="67" t="str">
        <f>HYPERLINK("https://www.google.ru/search?q=4FSS23TSWSM353-20S&amp;newwindow=1&amp;tbm=isch","Еще фото")</f>
        <v>Еще фото</v>
      </c>
      <c r="F1791" s="14"/>
      <c r="G1791" s="11" t="s">
        <v>2561</v>
      </c>
      <c r="H1791" s="11" t="s">
        <v>27</v>
      </c>
      <c r="I1791" s="15" t="s">
        <v>301</v>
      </c>
      <c r="J1791" s="15" t="s">
        <v>28</v>
      </c>
      <c r="K1791" s="16" t="s">
        <v>45</v>
      </c>
      <c r="L1791" s="15" t="s">
        <v>2566</v>
      </c>
      <c r="M1791" s="15"/>
      <c r="N1791" s="15" t="s">
        <v>38</v>
      </c>
      <c r="O1791" s="15"/>
      <c r="P1791" s="16" t="s">
        <v>2613</v>
      </c>
      <c r="Q1791" s="17">
        <v>5499</v>
      </c>
      <c r="R1791" s="18">
        <v>52.4</v>
      </c>
      <c r="S1791" s="19">
        <v>3010.4354999999996</v>
      </c>
      <c r="T1791" s="20" t="s">
        <v>99</v>
      </c>
      <c r="U1791" s="21" t="s">
        <v>34</v>
      </c>
      <c r="V1791" s="23">
        <v>46</v>
      </c>
      <c r="W1791" s="23">
        <v>2</v>
      </c>
      <c r="X1791" s="24"/>
    </row>
    <row r="1792" spans="1:24" s="1" customFormat="1" ht="108" customHeight="1" x14ac:dyDescent="0.3">
      <c r="A1792" s="62">
        <v>4</v>
      </c>
      <c r="B1792" s="11" t="s">
        <v>2614</v>
      </c>
      <c r="C1792" s="12" t="s">
        <v>2615</v>
      </c>
      <c r="D1792" s="13"/>
      <c r="E1792" s="67" t="str">
        <f>HYPERLINK("https://www.google.ru/search?q=H4Z20-BLD013-48S&amp;newwindow=1&amp;tbm=isch","Еще фото")</f>
        <v>Еще фото</v>
      </c>
      <c r="F1792" s="14"/>
      <c r="G1792" s="11" t="s">
        <v>306</v>
      </c>
      <c r="H1792" s="11" t="s">
        <v>27</v>
      </c>
      <c r="I1792" s="15" t="s">
        <v>301</v>
      </c>
      <c r="J1792" s="15" t="s">
        <v>28</v>
      </c>
      <c r="K1792" s="16" t="s">
        <v>29</v>
      </c>
      <c r="L1792" s="15" t="s">
        <v>2616</v>
      </c>
      <c r="M1792" s="15"/>
      <c r="N1792" s="15" t="s">
        <v>122</v>
      </c>
      <c r="O1792" s="15"/>
      <c r="P1792" s="16" t="s">
        <v>2617</v>
      </c>
      <c r="Q1792" s="17">
        <v>5790</v>
      </c>
      <c r="R1792" s="18">
        <v>52.37</v>
      </c>
      <c r="S1792" s="19">
        <v>3171.4354999999996</v>
      </c>
      <c r="T1792" s="20" t="s">
        <v>99</v>
      </c>
      <c r="U1792" s="21" t="s">
        <v>442</v>
      </c>
      <c r="V1792" s="23">
        <v>42</v>
      </c>
      <c r="W1792" s="23">
        <v>1</v>
      </c>
      <c r="X1792" s="24"/>
    </row>
    <row r="1793" spans="1:24" s="1" customFormat="1" ht="108" customHeight="1" x14ac:dyDescent="0.3">
      <c r="A1793" s="62">
        <v>4</v>
      </c>
      <c r="B1793" s="11" t="s">
        <v>2618</v>
      </c>
      <c r="C1793" s="12" t="s">
        <v>2619</v>
      </c>
      <c r="D1793" s="13"/>
      <c r="E1793" s="67" t="str">
        <f>HYPERLINK("https://www.google.ru/search?q=H4Z21-BLD033-32S&amp;newwindow=1&amp;tbm=isch","Еще фото")</f>
        <v>Еще фото</v>
      </c>
      <c r="F1793" s="14"/>
      <c r="G1793" s="11" t="s">
        <v>300</v>
      </c>
      <c r="H1793" s="11" t="s">
        <v>27</v>
      </c>
      <c r="I1793" s="15" t="s">
        <v>301</v>
      </c>
      <c r="J1793" s="15" t="s">
        <v>162</v>
      </c>
      <c r="K1793" s="16" t="s">
        <v>29</v>
      </c>
      <c r="L1793" s="15" t="s">
        <v>2620</v>
      </c>
      <c r="M1793" s="15" t="s">
        <v>2621</v>
      </c>
      <c r="N1793" s="15" t="s">
        <v>31</v>
      </c>
      <c r="O1793" s="15"/>
      <c r="P1793" s="16" t="s">
        <v>525</v>
      </c>
      <c r="Q1793" s="17">
        <v>3990</v>
      </c>
      <c r="R1793" s="18">
        <v>47.37</v>
      </c>
      <c r="S1793" s="19">
        <v>2414.9884999999995</v>
      </c>
      <c r="T1793" s="20" t="s">
        <v>99</v>
      </c>
      <c r="U1793" s="21" t="s">
        <v>493</v>
      </c>
      <c r="V1793" s="23">
        <v>52</v>
      </c>
      <c r="W1793" s="23">
        <v>1</v>
      </c>
      <c r="X1793" s="24"/>
    </row>
    <row r="1794" spans="1:24" s="1" customFormat="1" ht="108" customHeight="1" x14ac:dyDescent="0.3">
      <c r="A1794" s="62">
        <v>4</v>
      </c>
      <c r="B1794" s="11" t="s">
        <v>2622</v>
      </c>
      <c r="C1794" s="12" t="s">
        <v>2623</v>
      </c>
      <c r="D1794" s="13"/>
      <c r="E1794" s="67" t="str">
        <f>HYPERLINK("https://www.google.ru/search?q=4FSS23TFLEF049-12S&amp;newwindow=1&amp;tbm=isch","Еще фото")</f>
        <v>Еще фото</v>
      </c>
      <c r="F1794" s="14"/>
      <c r="G1794" s="11" t="s">
        <v>306</v>
      </c>
      <c r="H1794" s="11" t="s">
        <v>27</v>
      </c>
      <c r="I1794" s="15" t="s">
        <v>301</v>
      </c>
      <c r="J1794" s="15" t="s">
        <v>28</v>
      </c>
      <c r="K1794" s="16" t="s">
        <v>29</v>
      </c>
      <c r="L1794" s="15" t="s">
        <v>2624</v>
      </c>
      <c r="M1794" s="15"/>
      <c r="N1794" s="15" t="s">
        <v>132</v>
      </c>
      <c r="O1794" s="15"/>
      <c r="P1794" s="16" t="s">
        <v>968</v>
      </c>
      <c r="Q1794" s="17">
        <v>3499</v>
      </c>
      <c r="R1794" s="18">
        <v>40</v>
      </c>
      <c r="S1794" s="19">
        <v>2414.31</v>
      </c>
      <c r="T1794" s="20" t="s">
        <v>99</v>
      </c>
      <c r="U1794" s="21" t="s">
        <v>52</v>
      </c>
      <c r="V1794" s="23">
        <v>46</v>
      </c>
      <c r="W1794" s="23">
        <v>1</v>
      </c>
      <c r="X1794" s="24"/>
    </row>
    <row r="1795" spans="1:24" s="1" customFormat="1" ht="108" customHeight="1" x14ac:dyDescent="0.3">
      <c r="A1795" s="62">
        <v>4</v>
      </c>
      <c r="B1795" s="11" t="s">
        <v>2625</v>
      </c>
      <c r="C1795" s="12" t="s">
        <v>2626</v>
      </c>
      <c r="D1795" s="13"/>
      <c r="E1795" s="67" t="str">
        <f>HYPERLINK("https://www.google.ru/search?q=4FSS23TJACF018-10S&amp;newwindow=1&amp;tbm=isch","Еще фото")</f>
        <v>Еще фото</v>
      </c>
      <c r="F1795" s="14"/>
      <c r="G1795" s="11" t="s">
        <v>1657</v>
      </c>
      <c r="H1795" s="11" t="s">
        <v>27</v>
      </c>
      <c r="I1795" s="15" t="s">
        <v>301</v>
      </c>
      <c r="J1795" s="15" t="s">
        <v>28</v>
      </c>
      <c r="K1795" s="16" t="s">
        <v>29</v>
      </c>
      <c r="L1795" s="15" t="s">
        <v>2627</v>
      </c>
      <c r="M1795" s="15"/>
      <c r="N1795" s="15" t="s">
        <v>173</v>
      </c>
      <c r="O1795" s="15"/>
      <c r="P1795" s="16" t="s">
        <v>2628</v>
      </c>
      <c r="Q1795" s="17">
        <v>6299</v>
      </c>
      <c r="R1795" s="18">
        <v>40</v>
      </c>
      <c r="S1795" s="19">
        <v>4346.3099999999995</v>
      </c>
      <c r="T1795" s="20" t="s">
        <v>99</v>
      </c>
      <c r="U1795" s="21" t="s">
        <v>34</v>
      </c>
      <c r="V1795" s="23">
        <v>44</v>
      </c>
      <c r="W1795" s="23">
        <v>1</v>
      </c>
      <c r="X1795" s="24"/>
    </row>
    <row r="1796" spans="1:24" s="1" customFormat="1" ht="108" customHeight="1" x14ac:dyDescent="0.3">
      <c r="A1796" s="62">
        <v>4</v>
      </c>
      <c r="B1796" s="11" t="s">
        <v>2629</v>
      </c>
      <c r="C1796" s="12" t="s">
        <v>2630</v>
      </c>
      <c r="D1796" s="13"/>
      <c r="E1796" s="67" t="str">
        <f>HYPERLINK("https://www.google.ru/search?q=H4Z22-BLD023-52S&amp;newwindow=1&amp;tbm=isch","Еще фото")</f>
        <v>Еще фото</v>
      </c>
      <c r="F1796" s="14"/>
      <c r="G1796" s="11" t="s">
        <v>306</v>
      </c>
      <c r="H1796" s="11" t="s">
        <v>27</v>
      </c>
      <c r="I1796" s="15" t="s">
        <v>301</v>
      </c>
      <c r="J1796" s="15" t="s">
        <v>28</v>
      </c>
      <c r="K1796" s="16" t="s">
        <v>29</v>
      </c>
      <c r="L1796" s="15" t="s">
        <v>2631</v>
      </c>
      <c r="M1796" s="15"/>
      <c r="N1796" s="15" t="s">
        <v>413</v>
      </c>
      <c r="O1796" s="15"/>
      <c r="P1796" s="16" t="s">
        <v>2428</v>
      </c>
      <c r="Q1796" s="17">
        <v>4199</v>
      </c>
      <c r="R1796" s="18">
        <v>40</v>
      </c>
      <c r="S1796" s="19">
        <v>2897.31</v>
      </c>
      <c r="T1796" s="20" t="s">
        <v>99</v>
      </c>
      <c r="U1796" s="21" t="s">
        <v>34</v>
      </c>
      <c r="V1796" s="23">
        <v>44</v>
      </c>
      <c r="W1796" s="23">
        <v>1</v>
      </c>
      <c r="X1796" s="24"/>
    </row>
    <row r="1797" spans="1:24" s="1" customFormat="1" ht="35" customHeight="1" x14ac:dyDescent="0.3">
      <c r="A1797" s="62">
        <v>4</v>
      </c>
      <c r="B1797" s="11" t="s">
        <v>2632</v>
      </c>
      <c r="C1797" s="12" t="s">
        <v>2633</v>
      </c>
      <c r="D1797" s="85"/>
      <c r="E1797" s="67" t="str">
        <f>HYPERLINK("https://www.google.ru/search?q=4FAW23TTSHF0907-27M&amp;newwindow=1&amp;tbm=isch","Еще фото")</f>
        <v>Еще фото</v>
      </c>
      <c r="F1797" s="14"/>
      <c r="G1797" s="11" t="s">
        <v>315</v>
      </c>
      <c r="H1797" s="11" t="s">
        <v>27</v>
      </c>
      <c r="I1797" s="15" t="s">
        <v>316</v>
      </c>
      <c r="J1797" s="15" t="s">
        <v>28</v>
      </c>
      <c r="K1797" s="16" t="s">
        <v>29</v>
      </c>
      <c r="L1797" s="83" t="s">
        <v>2634</v>
      </c>
      <c r="M1797" s="15"/>
      <c r="N1797" s="15" t="s">
        <v>2536</v>
      </c>
      <c r="O1797" s="15"/>
      <c r="P1797" s="16" t="s">
        <v>2440</v>
      </c>
      <c r="Q1797" s="17">
        <v>1599</v>
      </c>
      <c r="R1797" s="18">
        <v>78.88</v>
      </c>
      <c r="S1797" s="26">
        <v>388.43549999999993</v>
      </c>
      <c r="T1797" s="20" t="s">
        <v>99</v>
      </c>
      <c r="U1797" s="21" t="s">
        <v>442</v>
      </c>
      <c r="V1797" s="23">
        <v>42</v>
      </c>
      <c r="W1797" s="23">
        <v>5</v>
      </c>
      <c r="X1797" s="24"/>
    </row>
    <row r="1798" spans="1:24" s="1" customFormat="1" ht="35" customHeight="1" x14ac:dyDescent="0.3">
      <c r="A1798" s="63">
        <v>4</v>
      </c>
      <c r="B1798" s="25" t="s">
        <v>2632</v>
      </c>
      <c r="C1798" s="12" t="s">
        <v>2633</v>
      </c>
      <c r="D1798" s="86"/>
      <c r="E1798" s="67" t="str">
        <f>HYPERLINK("https://www.google.ru/search?q=4FAW23TTSHF0907-27M&amp;newwindow=1&amp;tbm=isch","Еще фото")</f>
        <v>Еще фото</v>
      </c>
      <c r="F1798" s="14"/>
      <c r="G1798" s="25" t="s">
        <v>315</v>
      </c>
      <c r="H1798" s="25" t="s">
        <v>27</v>
      </c>
      <c r="I1798" s="25" t="s">
        <v>316</v>
      </c>
      <c r="J1798" s="15" t="s">
        <v>28</v>
      </c>
      <c r="K1798" s="16" t="s">
        <v>29</v>
      </c>
      <c r="L1798" s="88"/>
      <c r="M1798" s="15"/>
      <c r="N1798" s="15" t="s">
        <v>2536</v>
      </c>
      <c r="O1798" s="15"/>
      <c r="P1798" s="16" t="s">
        <v>2440</v>
      </c>
      <c r="Q1798" s="17">
        <v>1599</v>
      </c>
      <c r="R1798" s="18">
        <v>78.88</v>
      </c>
      <c r="S1798" s="26">
        <v>388.43549999999993</v>
      </c>
      <c r="T1798" s="20" t="s">
        <v>99</v>
      </c>
      <c r="U1798" s="21" t="s">
        <v>34</v>
      </c>
      <c r="V1798" s="23">
        <v>44</v>
      </c>
      <c r="W1798" s="23">
        <v>7</v>
      </c>
      <c r="X1798" s="24"/>
    </row>
    <row r="1799" spans="1:24" s="1" customFormat="1" ht="37.049999999999997" customHeight="1" x14ac:dyDescent="0.3">
      <c r="A1799" s="63">
        <v>4</v>
      </c>
      <c r="B1799" s="25" t="s">
        <v>2632</v>
      </c>
      <c r="C1799" s="12" t="s">
        <v>2633</v>
      </c>
      <c r="D1799" s="87"/>
      <c r="E1799" s="67" t="str">
        <f>HYPERLINK("https://www.google.ru/search?q=4FAW23TTSHF0907-27M&amp;newwindow=1&amp;tbm=isch","Еще фото")</f>
        <v>Еще фото</v>
      </c>
      <c r="F1799" s="14"/>
      <c r="G1799" s="25" t="s">
        <v>315</v>
      </c>
      <c r="H1799" s="25" t="s">
        <v>27</v>
      </c>
      <c r="I1799" s="25" t="s">
        <v>316</v>
      </c>
      <c r="J1799" s="15" t="s">
        <v>28</v>
      </c>
      <c r="K1799" s="16" t="s">
        <v>29</v>
      </c>
      <c r="L1799" s="84"/>
      <c r="M1799" s="15"/>
      <c r="N1799" s="15" t="s">
        <v>2536</v>
      </c>
      <c r="O1799" s="15"/>
      <c r="P1799" s="16" t="s">
        <v>2440</v>
      </c>
      <c r="Q1799" s="17">
        <v>1599</v>
      </c>
      <c r="R1799" s="18">
        <v>78.88</v>
      </c>
      <c r="S1799" s="26">
        <v>388.43549999999993</v>
      </c>
      <c r="T1799" s="20" t="s">
        <v>99</v>
      </c>
      <c r="U1799" s="21" t="s">
        <v>52</v>
      </c>
      <c r="V1799" s="23">
        <v>46</v>
      </c>
      <c r="W1799" s="23">
        <v>8</v>
      </c>
      <c r="X1799" s="24"/>
    </row>
    <row r="1800" spans="1:24" s="1" customFormat="1" ht="108" customHeight="1" x14ac:dyDescent="0.3">
      <c r="A1800" s="62">
        <v>4</v>
      </c>
      <c r="B1800" s="11" t="s">
        <v>2635</v>
      </c>
      <c r="C1800" s="12" t="s">
        <v>2636</v>
      </c>
      <c r="D1800" s="13"/>
      <c r="E1800" s="67" t="str">
        <f>HYPERLINK("https://www.google.ru/search?q=4FSS23TFTSM404-45S&amp;newwindow=1&amp;tbm=isch","Еще фото")</f>
        <v>Еще фото</v>
      </c>
      <c r="F1800" s="14"/>
      <c r="G1800" s="11" t="s">
        <v>315</v>
      </c>
      <c r="H1800" s="11" t="s">
        <v>27</v>
      </c>
      <c r="I1800" s="15" t="s">
        <v>316</v>
      </c>
      <c r="J1800" s="15" t="s">
        <v>28</v>
      </c>
      <c r="K1800" s="16" t="s">
        <v>45</v>
      </c>
      <c r="L1800" s="15" t="s">
        <v>2637</v>
      </c>
      <c r="M1800" s="15"/>
      <c r="N1800" s="15" t="s">
        <v>55</v>
      </c>
      <c r="O1800" s="15"/>
      <c r="P1800" s="16" t="s">
        <v>2638</v>
      </c>
      <c r="Q1800" s="17">
        <v>2399</v>
      </c>
      <c r="R1800" s="18">
        <v>64.66</v>
      </c>
      <c r="S1800" s="26">
        <v>974.93549999999993</v>
      </c>
      <c r="T1800" s="20" t="s">
        <v>99</v>
      </c>
      <c r="U1800" s="21" t="s">
        <v>52</v>
      </c>
      <c r="V1800" s="23">
        <v>48</v>
      </c>
      <c r="W1800" s="23">
        <v>1</v>
      </c>
      <c r="X1800" s="24"/>
    </row>
    <row r="1801" spans="1:24" s="1" customFormat="1" ht="108" customHeight="1" x14ac:dyDescent="0.3">
      <c r="A1801" s="62">
        <v>4</v>
      </c>
      <c r="B1801" s="11" t="s">
        <v>2639</v>
      </c>
      <c r="C1801" s="12" t="s">
        <v>2640</v>
      </c>
      <c r="D1801" s="13"/>
      <c r="E1801" s="67" t="str">
        <f>HYPERLINK("https://www.google.ru/search?q=4FJSS23TTSHF387-30S&amp;newwindow=1&amp;tbm=isch","Еще фото")</f>
        <v>Еще фото</v>
      </c>
      <c r="F1801" s="14"/>
      <c r="G1801" s="11" t="s">
        <v>315</v>
      </c>
      <c r="H1801" s="11" t="s">
        <v>27</v>
      </c>
      <c r="I1801" s="15" t="s">
        <v>316</v>
      </c>
      <c r="J1801" s="15" t="s">
        <v>28</v>
      </c>
      <c r="K1801" s="16" t="s">
        <v>59</v>
      </c>
      <c r="L1801" s="15" t="s">
        <v>2641</v>
      </c>
      <c r="M1801" s="15"/>
      <c r="N1801" s="15" t="s">
        <v>31</v>
      </c>
      <c r="O1801" s="15"/>
      <c r="P1801" s="16" t="s">
        <v>74</v>
      </c>
      <c r="Q1801" s="17">
        <v>1299</v>
      </c>
      <c r="R1801" s="18">
        <v>63.99</v>
      </c>
      <c r="S1801" s="26">
        <v>537.93549999999993</v>
      </c>
      <c r="T1801" s="20" t="s">
        <v>99</v>
      </c>
      <c r="U1801" s="21" t="s">
        <v>1670</v>
      </c>
      <c r="V1801" s="23">
        <v>140</v>
      </c>
      <c r="W1801" s="23">
        <v>1</v>
      </c>
      <c r="X1801" s="24"/>
    </row>
    <row r="1802" spans="1:24" s="1" customFormat="1" ht="52.05" customHeight="1" x14ac:dyDescent="0.3">
      <c r="A1802" s="62">
        <v>4</v>
      </c>
      <c r="B1802" s="11" t="s">
        <v>2642</v>
      </c>
      <c r="C1802" s="12" t="s">
        <v>2643</v>
      </c>
      <c r="D1802" s="81"/>
      <c r="E1802" s="67" t="str">
        <f>HYPERLINK("https://www.google.ru/search?q=4FSS23TTSHF716-20S&amp;newwindow=1&amp;tbm=isch","Еще фото")</f>
        <v>Еще фото</v>
      </c>
      <c r="F1802" s="14"/>
      <c r="G1802" s="11" t="s">
        <v>315</v>
      </c>
      <c r="H1802" s="11" t="s">
        <v>27</v>
      </c>
      <c r="I1802" s="15" t="s">
        <v>316</v>
      </c>
      <c r="J1802" s="15" t="s">
        <v>28</v>
      </c>
      <c r="K1802" s="16" t="s">
        <v>29</v>
      </c>
      <c r="L1802" s="83" t="s">
        <v>2644</v>
      </c>
      <c r="M1802" s="15"/>
      <c r="N1802" s="15" t="s">
        <v>38</v>
      </c>
      <c r="O1802" s="15"/>
      <c r="P1802" s="16" t="s">
        <v>2645</v>
      </c>
      <c r="Q1802" s="17">
        <v>2499</v>
      </c>
      <c r="R1802" s="18">
        <v>63.67</v>
      </c>
      <c r="S1802" s="26">
        <v>1043.9354999999998</v>
      </c>
      <c r="T1802" s="20" t="s">
        <v>99</v>
      </c>
      <c r="U1802" s="21" t="s">
        <v>34</v>
      </c>
      <c r="V1802" s="23">
        <v>44</v>
      </c>
      <c r="W1802" s="23">
        <v>1</v>
      </c>
      <c r="X1802" s="24"/>
    </row>
    <row r="1803" spans="1:24" s="1" customFormat="1" ht="61.05" customHeight="1" x14ac:dyDescent="0.3">
      <c r="A1803" s="63">
        <v>4</v>
      </c>
      <c r="B1803" s="25" t="s">
        <v>2642</v>
      </c>
      <c r="C1803" s="12" t="s">
        <v>2643</v>
      </c>
      <c r="D1803" s="82"/>
      <c r="E1803" s="67" t="str">
        <f>HYPERLINK("https://www.google.ru/search?q=4FSS23TTSHF716-20S&amp;newwindow=1&amp;tbm=isch","Еще фото")</f>
        <v>Еще фото</v>
      </c>
      <c r="F1803" s="14"/>
      <c r="G1803" s="25" t="s">
        <v>315</v>
      </c>
      <c r="H1803" s="25" t="s">
        <v>27</v>
      </c>
      <c r="I1803" s="25" t="s">
        <v>316</v>
      </c>
      <c r="J1803" s="15" t="s">
        <v>28</v>
      </c>
      <c r="K1803" s="16" t="s">
        <v>29</v>
      </c>
      <c r="L1803" s="84"/>
      <c r="M1803" s="15"/>
      <c r="N1803" s="15" t="s">
        <v>38</v>
      </c>
      <c r="O1803" s="15"/>
      <c r="P1803" s="16" t="s">
        <v>2645</v>
      </c>
      <c r="Q1803" s="17">
        <v>2499</v>
      </c>
      <c r="R1803" s="18">
        <v>63.67</v>
      </c>
      <c r="S1803" s="26">
        <v>1043.9354999999998</v>
      </c>
      <c r="T1803" s="20" t="s">
        <v>99</v>
      </c>
      <c r="U1803" s="21" t="s">
        <v>40</v>
      </c>
      <c r="V1803" s="23">
        <v>48</v>
      </c>
      <c r="W1803" s="23">
        <v>1</v>
      </c>
      <c r="X1803" s="24"/>
    </row>
    <row r="1804" spans="1:24" s="1" customFormat="1" ht="108" customHeight="1" x14ac:dyDescent="0.3">
      <c r="A1804" s="62">
        <v>4</v>
      </c>
      <c r="B1804" s="11" t="s">
        <v>2646</v>
      </c>
      <c r="C1804" s="12" t="s">
        <v>2647</v>
      </c>
      <c r="D1804" s="13"/>
      <c r="E1804" s="67" t="str">
        <f>HYPERLINK("https://www.google.ru/search?q=4FSS23TTSHF583-10S&amp;newwindow=1&amp;tbm=isch","Еще фото")</f>
        <v>Еще фото</v>
      </c>
      <c r="F1804" s="14"/>
      <c r="G1804" s="11" t="s">
        <v>315</v>
      </c>
      <c r="H1804" s="11" t="s">
        <v>27</v>
      </c>
      <c r="I1804" s="15" t="s">
        <v>316</v>
      </c>
      <c r="J1804" s="15" t="s">
        <v>28</v>
      </c>
      <c r="K1804" s="16" t="s">
        <v>29</v>
      </c>
      <c r="L1804" s="15" t="s">
        <v>2648</v>
      </c>
      <c r="M1804" s="15"/>
      <c r="N1804" s="15" t="s">
        <v>173</v>
      </c>
      <c r="O1804" s="15"/>
      <c r="P1804" s="16" t="s">
        <v>2440</v>
      </c>
      <c r="Q1804" s="17">
        <v>1599</v>
      </c>
      <c r="R1804" s="18">
        <v>61.99</v>
      </c>
      <c r="S1804" s="26">
        <v>698.93549999999993</v>
      </c>
      <c r="T1804" s="20" t="s">
        <v>99</v>
      </c>
      <c r="U1804" s="21" t="s">
        <v>34</v>
      </c>
      <c r="V1804" s="23">
        <v>44</v>
      </c>
      <c r="W1804" s="23">
        <v>1</v>
      </c>
      <c r="X1804" s="24"/>
    </row>
    <row r="1805" spans="1:24" s="1" customFormat="1" ht="108" customHeight="1" x14ac:dyDescent="0.3">
      <c r="A1805" s="62">
        <v>4</v>
      </c>
      <c r="B1805" s="11" t="s">
        <v>2635</v>
      </c>
      <c r="C1805" s="12" t="s">
        <v>2649</v>
      </c>
      <c r="D1805" s="13"/>
      <c r="E1805" s="67" t="str">
        <f>HYPERLINK("https://www.google.ru/search?q=4FSS23TFTSM404-62S&amp;newwindow=1&amp;tbm=isch","Еще фото")</f>
        <v>Еще фото</v>
      </c>
      <c r="F1805" s="14" t="s">
        <v>253</v>
      </c>
      <c r="G1805" s="11" t="s">
        <v>315</v>
      </c>
      <c r="H1805" s="11" t="s">
        <v>27</v>
      </c>
      <c r="I1805" s="15" t="s">
        <v>316</v>
      </c>
      <c r="J1805" s="15" t="s">
        <v>28</v>
      </c>
      <c r="K1805" s="16" t="s">
        <v>45</v>
      </c>
      <c r="L1805" s="15" t="s">
        <v>2637</v>
      </c>
      <c r="M1805" s="15"/>
      <c r="N1805" s="15" t="s">
        <v>73</v>
      </c>
      <c r="O1805" s="15"/>
      <c r="P1805" s="16" t="s">
        <v>2638</v>
      </c>
      <c r="Q1805" s="17">
        <v>2399</v>
      </c>
      <c r="R1805" s="18">
        <v>55.49</v>
      </c>
      <c r="S1805" s="19">
        <v>1227.9354999999998</v>
      </c>
      <c r="T1805" s="20" t="s">
        <v>99</v>
      </c>
      <c r="U1805" s="21" t="s">
        <v>40</v>
      </c>
      <c r="V1805" s="23">
        <v>50</v>
      </c>
      <c r="W1805" s="23">
        <v>2</v>
      </c>
      <c r="X1805" s="24"/>
    </row>
    <row r="1806" spans="1:24" s="1" customFormat="1" ht="52.05" customHeight="1" x14ac:dyDescent="0.3">
      <c r="A1806" s="62">
        <v>4</v>
      </c>
      <c r="B1806" s="11" t="s">
        <v>2639</v>
      </c>
      <c r="C1806" s="12" t="s">
        <v>2650</v>
      </c>
      <c r="D1806" s="81"/>
      <c r="E1806" s="67" t="str">
        <f>HYPERLINK("https://www.google.ru/search?q=4FJSS23TTSHF387-47S&amp;newwindow=1&amp;tbm=isch","Еще фото")</f>
        <v>Еще фото</v>
      </c>
      <c r="F1806" s="14"/>
      <c r="G1806" s="11" t="s">
        <v>315</v>
      </c>
      <c r="H1806" s="11" t="s">
        <v>27</v>
      </c>
      <c r="I1806" s="15" t="s">
        <v>316</v>
      </c>
      <c r="J1806" s="15" t="s">
        <v>28</v>
      </c>
      <c r="K1806" s="16" t="s">
        <v>59</v>
      </c>
      <c r="L1806" s="83" t="s">
        <v>2641</v>
      </c>
      <c r="M1806" s="15"/>
      <c r="N1806" s="15" t="s">
        <v>55</v>
      </c>
      <c r="O1806" s="15"/>
      <c r="P1806" s="16" t="s">
        <v>74</v>
      </c>
      <c r="Q1806" s="17">
        <v>1299</v>
      </c>
      <c r="R1806" s="18">
        <v>52.44</v>
      </c>
      <c r="S1806" s="26">
        <v>710.43549999999993</v>
      </c>
      <c r="T1806" s="20" t="s">
        <v>99</v>
      </c>
      <c r="U1806" s="21" t="s">
        <v>2600</v>
      </c>
      <c r="V1806" s="23">
        <v>146</v>
      </c>
      <c r="W1806" s="23">
        <v>1</v>
      </c>
      <c r="X1806" s="24"/>
    </row>
    <row r="1807" spans="1:24" s="1" customFormat="1" ht="61.05" customHeight="1" x14ac:dyDescent="0.3">
      <c r="A1807" s="63">
        <v>4</v>
      </c>
      <c r="B1807" s="25" t="s">
        <v>2639</v>
      </c>
      <c r="C1807" s="12" t="s">
        <v>2650</v>
      </c>
      <c r="D1807" s="82"/>
      <c r="E1807" s="67" t="str">
        <f>HYPERLINK("https://www.google.ru/search?q=4FJSS23TTSHF387-47S&amp;newwindow=1&amp;tbm=isch","Еще фото")</f>
        <v>Еще фото</v>
      </c>
      <c r="F1807" s="14"/>
      <c r="G1807" s="25" t="s">
        <v>315</v>
      </c>
      <c r="H1807" s="25" t="s">
        <v>27</v>
      </c>
      <c r="I1807" s="25" t="s">
        <v>316</v>
      </c>
      <c r="J1807" s="15" t="s">
        <v>28</v>
      </c>
      <c r="K1807" s="16" t="s">
        <v>59</v>
      </c>
      <c r="L1807" s="84"/>
      <c r="M1807" s="15"/>
      <c r="N1807" s="15" t="s">
        <v>55</v>
      </c>
      <c r="O1807" s="15"/>
      <c r="P1807" s="16" t="s">
        <v>74</v>
      </c>
      <c r="Q1807" s="17">
        <v>1299</v>
      </c>
      <c r="R1807" s="18">
        <v>52.44</v>
      </c>
      <c r="S1807" s="26">
        <v>710.43549999999993</v>
      </c>
      <c r="T1807" s="20" t="s">
        <v>99</v>
      </c>
      <c r="U1807" s="21" t="s">
        <v>1671</v>
      </c>
      <c r="V1807" s="23">
        <v>152</v>
      </c>
      <c r="W1807" s="23">
        <v>2</v>
      </c>
      <c r="X1807" s="24"/>
    </row>
    <row r="1808" spans="1:24" s="1" customFormat="1" ht="108" customHeight="1" x14ac:dyDescent="0.3">
      <c r="A1808" s="62">
        <v>4</v>
      </c>
      <c r="B1808" s="11" t="s">
        <v>2651</v>
      </c>
      <c r="C1808" s="12" t="s">
        <v>2652</v>
      </c>
      <c r="D1808" s="13"/>
      <c r="E1808" s="67" t="str">
        <f>HYPERLINK("https://www.google.ru/search?q=H4Z21-CAD013-42S&amp;newwindow=1&amp;tbm=isch","Еще фото")</f>
        <v>Еще фото</v>
      </c>
      <c r="F1808" s="14"/>
      <c r="G1808" s="11" t="s">
        <v>2653</v>
      </c>
      <c r="H1808" s="11" t="s">
        <v>69</v>
      </c>
      <c r="I1808" s="15" t="s">
        <v>2387</v>
      </c>
      <c r="J1808" s="15" t="s">
        <v>28</v>
      </c>
      <c r="K1808" s="16" t="s">
        <v>29</v>
      </c>
      <c r="L1808" s="15" t="s">
        <v>2654</v>
      </c>
      <c r="M1808" s="15" t="s">
        <v>61</v>
      </c>
      <c r="N1808" s="15" t="s">
        <v>55</v>
      </c>
      <c r="O1808" s="15" t="s">
        <v>2523</v>
      </c>
      <c r="P1808" s="16" t="s">
        <v>2655</v>
      </c>
      <c r="Q1808" s="17">
        <v>1599</v>
      </c>
      <c r="R1808" s="18">
        <v>78.25</v>
      </c>
      <c r="S1808" s="26">
        <v>399.93549999999993</v>
      </c>
      <c r="T1808" s="20" t="s">
        <v>99</v>
      </c>
      <c r="U1808" s="21" t="s">
        <v>34</v>
      </c>
      <c r="V1808" s="22" t="s">
        <v>2656</v>
      </c>
      <c r="W1808" s="23">
        <v>1</v>
      </c>
      <c r="X1808" s="24"/>
    </row>
    <row r="1809" spans="1:24" s="1" customFormat="1" ht="108" customHeight="1" x14ac:dyDescent="0.3">
      <c r="A1809" s="62">
        <v>4</v>
      </c>
      <c r="B1809" s="11" t="s">
        <v>2657</v>
      </c>
      <c r="C1809" s="12" t="s">
        <v>2658</v>
      </c>
      <c r="D1809" s="13"/>
      <c r="E1809" s="67" t="str">
        <f>HYPERLINK("https://www.google.ru/search?q=4FAW23ACAPM314-23S&amp;newwindow=1&amp;tbm=isch","Еще фото")</f>
        <v>Еще фото</v>
      </c>
      <c r="F1809" s="14"/>
      <c r="G1809" s="11" t="s">
        <v>2653</v>
      </c>
      <c r="H1809" s="11" t="s">
        <v>69</v>
      </c>
      <c r="I1809" s="15" t="s">
        <v>2387</v>
      </c>
      <c r="J1809" s="15" t="s">
        <v>28</v>
      </c>
      <c r="K1809" s="16" t="s">
        <v>45</v>
      </c>
      <c r="L1809" s="15" t="s">
        <v>2659</v>
      </c>
      <c r="M1809" s="15"/>
      <c r="N1809" s="15" t="s">
        <v>218</v>
      </c>
      <c r="O1809" s="15"/>
      <c r="P1809" s="16" t="s">
        <v>2660</v>
      </c>
      <c r="Q1809" s="17">
        <v>1799</v>
      </c>
      <c r="R1809" s="18">
        <v>76.22</v>
      </c>
      <c r="S1809" s="26">
        <v>491.93549999999993</v>
      </c>
      <c r="T1809" s="20" t="s">
        <v>75</v>
      </c>
      <c r="U1809" s="21" t="s">
        <v>2532</v>
      </c>
      <c r="V1809" s="22" t="s">
        <v>77</v>
      </c>
      <c r="W1809" s="23">
        <v>37</v>
      </c>
      <c r="X1809" s="24"/>
    </row>
    <row r="1810" spans="1:24" s="1" customFormat="1" ht="108" customHeight="1" x14ac:dyDescent="0.3">
      <c r="A1810" s="62">
        <v>4</v>
      </c>
      <c r="B1810" s="11" t="s">
        <v>2661</v>
      </c>
      <c r="C1810" s="12" t="s">
        <v>2662</v>
      </c>
      <c r="D1810" s="13"/>
      <c r="E1810" s="67" t="str">
        <f>HYPERLINK("https://www.google.ru/search?q=H4Z22-CAD017-25M&amp;newwindow=1&amp;tbm=isch","Еще фото")</f>
        <v>Еще фото</v>
      </c>
      <c r="F1810" s="14"/>
      <c r="G1810" s="11" t="s">
        <v>2653</v>
      </c>
      <c r="H1810" s="11" t="s">
        <v>69</v>
      </c>
      <c r="I1810" s="15" t="s">
        <v>2387</v>
      </c>
      <c r="J1810" s="15" t="s">
        <v>28</v>
      </c>
      <c r="K1810" s="16" t="s">
        <v>29</v>
      </c>
      <c r="L1810" s="15" t="s">
        <v>2663</v>
      </c>
      <c r="M1810" s="15"/>
      <c r="N1810" s="15" t="s">
        <v>218</v>
      </c>
      <c r="O1810" s="15"/>
      <c r="P1810" s="16" t="s">
        <v>2664</v>
      </c>
      <c r="Q1810" s="17">
        <v>1899</v>
      </c>
      <c r="R1810" s="18">
        <v>75.89</v>
      </c>
      <c r="S1810" s="26">
        <v>526.43549999999993</v>
      </c>
      <c r="T1810" s="20" t="s">
        <v>99</v>
      </c>
      <c r="U1810" s="21" t="s">
        <v>2532</v>
      </c>
      <c r="V1810" s="22" t="s">
        <v>77</v>
      </c>
      <c r="W1810" s="23">
        <v>19</v>
      </c>
      <c r="X1810" s="24"/>
    </row>
    <row r="1811" spans="1:24" s="1" customFormat="1" ht="52.05" customHeight="1" x14ac:dyDescent="0.3">
      <c r="A1811" s="62">
        <v>4</v>
      </c>
      <c r="B1811" s="11" t="s">
        <v>2665</v>
      </c>
      <c r="C1811" s="12" t="s">
        <v>2666</v>
      </c>
      <c r="D1811" s="81"/>
      <c r="E1811" s="67" t="str">
        <f>HYPERLINK("https://www.google.ru/search?q=4FAW23ACAPF291-83S&amp;newwindow=1&amp;tbm=isch","Еще фото")</f>
        <v>Еще фото</v>
      </c>
      <c r="F1811" s="14"/>
      <c r="G1811" s="11" t="s">
        <v>2653</v>
      </c>
      <c r="H1811" s="11" t="s">
        <v>69</v>
      </c>
      <c r="I1811" s="15" t="s">
        <v>2387</v>
      </c>
      <c r="J1811" s="15" t="s">
        <v>28</v>
      </c>
      <c r="K1811" s="16" t="s">
        <v>29</v>
      </c>
      <c r="L1811" s="83" t="s">
        <v>2667</v>
      </c>
      <c r="M1811" s="15"/>
      <c r="N1811" s="15" t="s">
        <v>132</v>
      </c>
      <c r="O1811" s="15"/>
      <c r="P1811" s="16" t="s">
        <v>2668</v>
      </c>
      <c r="Q1811" s="17">
        <v>1199</v>
      </c>
      <c r="R1811" s="18">
        <v>73.5</v>
      </c>
      <c r="S1811" s="26">
        <v>365.43549999999993</v>
      </c>
      <c r="T1811" s="20" t="s">
        <v>99</v>
      </c>
      <c r="U1811" s="21" t="s">
        <v>34</v>
      </c>
      <c r="V1811" s="22" t="s">
        <v>2656</v>
      </c>
      <c r="W1811" s="23">
        <v>16</v>
      </c>
      <c r="X1811" s="24"/>
    </row>
    <row r="1812" spans="1:24" s="1" customFormat="1" ht="61.05" customHeight="1" x14ac:dyDescent="0.3">
      <c r="A1812" s="63">
        <v>4</v>
      </c>
      <c r="B1812" s="25" t="s">
        <v>2665</v>
      </c>
      <c r="C1812" s="12" t="s">
        <v>2666</v>
      </c>
      <c r="D1812" s="82"/>
      <c r="E1812" s="67" t="str">
        <f>HYPERLINK("https://www.google.ru/search?q=4FAW23ACAPF291-83S&amp;newwindow=1&amp;tbm=isch","Еще фото")</f>
        <v>Еще фото</v>
      </c>
      <c r="F1812" s="14"/>
      <c r="G1812" s="25" t="s">
        <v>2653</v>
      </c>
      <c r="H1812" s="25" t="s">
        <v>69</v>
      </c>
      <c r="I1812" s="25" t="s">
        <v>2387</v>
      </c>
      <c r="J1812" s="15" t="s">
        <v>28</v>
      </c>
      <c r="K1812" s="16" t="s">
        <v>29</v>
      </c>
      <c r="L1812" s="84"/>
      <c r="M1812" s="15"/>
      <c r="N1812" s="15" t="s">
        <v>132</v>
      </c>
      <c r="O1812" s="15"/>
      <c r="P1812" s="16" t="s">
        <v>2668</v>
      </c>
      <c r="Q1812" s="17">
        <v>1199</v>
      </c>
      <c r="R1812" s="18">
        <v>73.5</v>
      </c>
      <c r="S1812" s="26">
        <v>365.43549999999993</v>
      </c>
      <c r="T1812" s="20" t="s">
        <v>99</v>
      </c>
      <c r="U1812" s="21" t="s">
        <v>52</v>
      </c>
      <c r="V1812" s="22" t="s">
        <v>2669</v>
      </c>
      <c r="W1812" s="23">
        <v>1</v>
      </c>
      <c r="X1812" s="24"/>
    </row>
    <row r="1813" spans="1:24" s="1" customFormat="1" ht="108" customHeight="1" x14ac:dyDescent="0.3">
      <c r="A1813" s="62">
        <v>4</v>
      </c>
      <c r="B1813" s="11" t="s">
        <v>2670</v>
      </c>
      <c r="C1813" s="12" t="s">
        <v>2671</v>
      </c>
      <c r="D1813" s="13"/>
      <c r="E1813" s="67" t="str">
        <f>HYPERLINK("https://www.google.ru/search?q=4FAW23ACAPF288-54S&amp;newwindow=1&amp;tbm=isch","Еще фото")</f>
        <v>Еще фото</v>
      </c>
      <c r="F1813" s="14"/>
      <c r="G1813" s="11" t="s">
        <v>2653</v>
      </c>
      <c r="H1813" s="11" t="s">
        <v>69</v>
      </c>
      <c r="I1813" s="15" t="s">
        <v>2387</v>
      </c>
      <c r="J1813" s="15" t="s">
        <v>28</v>
      </c>
      <c r="K1813" s="16" t="s">
        <v>29</v>
      </c>
      <c r="L1813" s="15" t="s">
        <v>2672</v>
      </c>
      <c r="M1813" s="15"/>
      <c r="N1813" s="15" t="s">
        <v>212</v>
      </c>
      <c r="O1813" s="15"/>
      <c r="P1813" s="16" t="s">
        <v>2673</v>
      </c>
      <c r="Q1813" s="17">
        <v>1499</v>
      </c>
      <c r="R1813" s="18">
        <v>72.13</v>
      </c>
      <c r="S1813" s="26">
        <v>480.43549999999993</v>
      </c>
      <c r="T1813" s="20" t="s">
        <v>99</v>
      </c>
      <c r="U1813" s="21" t="s">
        <v>34</v>
      </c>
      <c r="V1813" s="22" t="s">
        <v>2656</v>
      </c>
      <c r="W1813" s="23">
        <v>7</v>
      </c>
      <c r="X1813" s="24"/>
    </row>
    <row r="1814" spans="1:24" s="1" customFormat="1" ht="108" customHeight="1" x14ac:dyDescent="0.3">
      <c r="A1814" s="62">
        <v>4</v>
      </c>
      <c r="B1814" s="11" t="s">
        <v>2674</v>
      </c>
      <c r="C1814" s="12" t="s">
        <v>2675</v>
      </c>
      <c r="D1814" s="13"/>
      <c r="E1814" s="67" t="str">
        <f>HYPERLINK("https://www.google.ru/search?q=4FAW23ACAPF294-55S&amp;newwindow=1&amp;tbm=isch","Еще фото")</f>
        <v>Еще фото</v>
      </c>
      <c r="F1814" s="14"/>
      <c r="G1814" s="11" t="s">
        <v>2653</v>
      </c>
      <c r="H1814" s="11" t="s">
        <v>69</v>
      </c>
      <c r="I1814" s="15" t="s">
        <v>2387</v>
      </c>
      <c r="J1814" s="15" t="s">
        <v>28</v>
      </c>
      <c r="K1814" s="16" t="s">
        <v>29</v>
      </c>
      <c r="L1814" s="15" t="s">
        <v>2676</v>
      </c>
      <c r="M1814" s="15"/>
      <c r="N1814" s="15" t="s">
        <v>212</v>
      </c>
      <c r="O1814" s="15"/>
      <c r="P1814" s="16" t="s">
        <v>2677</v>
      </c>
      <c r="Q1814" s="17">
        <v>1299</v>
      </c>
      <c r="R1814" s="18">
        <v>67.84</v>
      </c>
      <c r="S1814" s="26">
        <v>480.43549999999993</v>
      </c>
      <c r="T1814" s="20" t="s">
        <v>99</v>
      </c>
      <c r="U1814" s="21" t="s">
        <v>34</v>
      </c>
      <c r="V1814" s="22" t="s">
        <v>2656</v>
      </c>
      <c r="W1814" s="23">
        <v>6</v>
      </c>
      <c r="X1814" s="24"/>
    </row>
    <row r="1815" spans="1:24" s="1" customFormat="1" ht="108" customHeight="1" x14ac:dyDescent="0.3">
      <c r="A1815" s="62">
        <v>4</v>
      </c>
      <c r="B1815" s="11" t="s">
        <v>2661</v>
      </c>
      <c r="C1815" s="12" t="s">
        <v>2678</v>
      </c>
      <c r="D1815" s="13"/>
      <c r="E1815" s="67" t="str">
        <f>HYPERLINK("https://www.google.ru/search?q=H4Z22-CAD017-32S&amp;newwindow=1&amp;tbm=isch","Еще фото")</f>
        <v>Еще фото</v>
      </c>
      <c r="F1815" s="14"/>
      <c r="G1815" s="11" t="s">
        <v>2653</v>
      </c>
      <c r="H1815" s="11" t="s">
        <v>69</v>
      </c>
      <c r="I1815" s="15" t="s">
        <v>2387</v>
      </c>
      <c r="J1815" s="15" t="s">
        <v>28</v>
      </c>
      <c r="K1815" s="16" t="s">
        <v>29</v>
      </c>
      <c r="L1815" s="15" t="s">
        <v>2663</v>
      </c>
      <c r="M1815" s="15"/>
      <c r="N1815" s="15" t="s">
        <v>31</v>
      </c>
      <c r="O1815" s="15"/>
      <c r="P1815" s="16" t="s">
        <v>2664</v>
      </c>
      <c r="Q1815" s="17">
        <v>1899</v>
      </c>
      <c r="R1815" s="18">
        <v>64.31</v>
      </c>
      <c r="S1815" s="26">
        <v>779.43549999999993</v>
      </c>
      <c r="T1815" s="20" t="s">
        <v>99</v>
      </c>
      <c r="U1815" s="21" t="s">
        <v>2532</v>
      </c>
      <c r="V1815" s="22" t="s">
        <v>77</v>
      </c>
      <c r="W1815" s="23">
        <v>3</v>
      </c>
      <c r="X1815" s="24"/>
    </row>
    <row r="1816" spans="1:24" s="1" customFormat="1" ht="108" customHeight="1" x14ac:dyDescent="0.3">
      <c r="A1816" s="62">
        <v>4</v>
      </c>
      <c r="B1816" s="11" t="s">
        <v>2657</v>
      </c>
      <c r="C1816" s="12" t="s">
        <v>2679</v>
      </c>
      <c r="D1816" s="13"/>
      <c r="E1816" s="67" t="str">
        <f>HYPERLINK("https://www.google.ru/search?q=4FAW23ACAPM314-41S&amp;newwindow=1&amp;tbm=isch","Еще фото")</f>
        <v>Еще фото</v>
      </c>
      <c r="F1816" s="14"/>
      <c r="G1816" s="11" t="s">
        <v>2653</v>
      </c>
      <c r="H1816" s="11" t="s">
        <v>69</v>
      </c>
      <c r="I1816" s="15" t="s">
        <v>2387</v>
      </c>
      <c r="J1816" s="15" t="s">
        <v>28</v>
      </c>
      <c r="K1816" s="16" t="s">
        <v>45</v>
      </c>
      <c r="L1816" s="15" t="s">
        <v>2659</v>
      </c>
      <c r="M1816" s="15"/>
      <c r="N1816" s="15" t="s">
        <v>55</v>
      </c>
      <c r="O1816" s="15"/>
      <c r="P1816" s="16" t="s">
        <v>2660</v>
      </c>
      <c r="Q1816" s="17">
        <v>1799</v>
      </c>
      <c r="R1816" s="18">
        <v>58.43</v>
      </c>
      <c r="S1816" s="26">
        <v>859.93549999999993</v>
      </c>
      <c r="T1816" s="20" t="s">
        <v>75</v>
      </c>
      <c r="U1816" s="21" t="s">
        <v>2532</v>
      </c>
      <c r="V1816" s="22" t="s">
        <v>77</v>
      </c>
      <c r="W1816" s="23">
        <v>4</v>
      </c>
      <c r="X1816" s="24"/>
    </row>
    <row r="1817" spans="1:24" s="1" customFormat="1" ht="108" customHeight="1" x14ac:dyDescent="0.3">
      <c r="A1817" s="62">
        <v>4</v>
      </c>
      <c r="B1817" s="11" t="s">
        <v>2651</v>
      </c>
      <c r="C1817" s="12" t="s">
        <v>2680</v>
      </c>
      <c r="D1817" s="13"/>
      <c r="E1817" s="67" t="str">
        <f>HYPERLINK("https://www.google.ru/search?q=H4Z20-CAD007-56S&amp;newwindow=1&amp;tbm=isch","Еще фото")</f>
        <v>Еще фото</v>
      </c>
      <c r="F1817" s="14"/>
      <c r="G1817" s="11" t="s">
        <v>2653</v>
      </c>
      <c r="H1817" s="11" t="s">
        <v>69</v>
      </c>
      <c r="I1817" s="15" t="s">
        <v>2387</v>
      </c>
      <c r="J1817" s="15" t="s">
        <v>28</v>
      </c>
      <c r="K1817" s="16" t="s">
        <v>29</v>
      </c>
      <c r="L1817" s="15" t="s">
        <v>2681</v>
      </c>
      <c r="M1817" s="15"/>
      <c r="N1817" s="15" t="s">
        <v>212</v>
      </c>
      <c r="O1817" s="15"/>
      <c r="P1817" s="16" t="s">
        <v>2682</v>
      </c>
      <c r="Q1817" s="17">
        <v>2190</v>
      </c>
      <c r="R1817" s="18">
        <v>52</v>
      </c>
      <c r="S1817" s="19">
        <v>1208.8799999999999</v>
      </c>
      <c r="T1817" s="20" t="s">
        <v>99</v>
      </c>
      <c r="U1817" s="21" t="s">
        <v>34</v>
      </c>
      <c r="V1817" s="22" t="s">
        <v>2656</v>
      </c>
      <c r="W1817" s="23">
        <v>1</v>
      </c>
      <c r="X1817" s="24"/>
    </row>
    <row r="1818" spans="1:24" s="1" customFormat="1" ht="108" customHeight="1" x14ac:dyDescent="0.3">
      <c r="A1818" s="62">
        <v>4</v>
      </c>
      <c r="B1818" s="11" t="s">
        <v>2661</v>
      </c>
      <c r="C1818" s="12" t="s">
        <v>2683</v>
      </c>
      <c r="D1818" s="13"/>
      <c r="E1818" s="67" t="str">
        <f>HYPERLINK("https://www.google.ru/search?q=H4Z22-CAD005-47M&amp;newwindow=1&amp;tbm=isch","Еще фото")</f>
        <v>Еще фото</v>
      </c>
      <c r="F1818" s="14"/>
      <c r="G1818" s="11" t="s">
        <v>2653</v>
      </c>
      <c r="H1818" s="11" t="s">
        <v>69</v>
      </c>
      <c r="I1818" s="15" t="s">
        <v>2387</v>
      </c>
      <c r="J1818" s="15" t="s">
        <v>28</v>
      </c>
      <c r="K1818" s="16" t="s">
        <v>29</v>
      </c>
      <c r="L1818" s="15" t="s">
        <v>2684</v>
      </c>
      <c r="M1818" s="15"/>
      <c r="N1818" s="15" t="s">
        <v>55</v>
      </c>
      <c r="O1818" s="15"/>
      <c r="P1818" s="16" t="s">
        <v>2685</v>
      </c>
      <c r="Q1818" s="17">
        <v>1899</v>
      </c>
      <c r="R1818" s="18">
        <v>49</v>
      </c>
      <c r="S1818" s="26">
        <v>1113.7635</v>
      </c>
      <c r="T1818" s="20" t="s">
        <v>99</v>
      </c>
      <c r="U1818" s="21" t="s">
        <v>34</v>
      </c>
      <c r="V1818" s="22" t="s">
        <v>2656</v>
      </c>
      <c r="W1818" s="23">
        <v>3</v>
      </c>
      <c r="X1818" s="24"/>
    </row>
    <row r="1819" spans="1:24" s="1" customFormat="1" ht="108" customHeight="1" x14ac:dyDescent="0.3">
      <c r="A1819" s="62">
        <v>4</v>
      </c>
      <c r="B1819" s="11" t="s">
        <v>2670</v>
      </c>
      <c r="C1819" s="12" t="s">
        <v>2686</v>
      </c>
      <c r="D1819" s="13"/>
      <c r="E1819" s="67" t="str">
        <f>HYPERLINK("https://www.google.ru/search?q=4FAW23ACAPF288-83S&amp;newwindow=1&amp;tbm=isch","Еще фото")</f>
        <v>Еще фото</v>
      </c>
      <c r="F1819" s="14"/>
      <c r="G1819" s="11" t="s">
        <v>2653</v>
      </c>
      <c r="H1819" s="11" t="s">
        <v>69</v>
      </c>
      <c r="I1819" s="15" t="s">
        <v>2387</v>
      </c>
      <c r="J1819" s="15" t="s">
        <v>28</v>
      </c>
      <c r="K1819" s="16" t="s">
        <v>29</v>
      </c>
      <c r="L1819" s="15" t="s">
        <v>2672</v>
      </c>
      <c r="M1819" s="15"/>
      <c r="N1819" s="15" t="s">
        <v>132</v>
      </c>
      <c r="O1819" s="15"/>
      <c r="P1819" s="16" t="s">
        <v>2673</v>
      </c>
      <c r="Q1819" s="17">
        <v>1499</v>
      </c>
      <c r="R1819" s="18">
        <v>48.78</v>
      </c>
      <c r="S1819" s="26">
        <v>882.93549999999993</v>
      </c>
      <c r="T1819" s="20" t="s">
        <v>99</v>
      </c>
      <c r="U1819" s="21" t="s">
        <v>34</v>
      </c>
      <c r="V1819" s="22" t="s">
        <v>2656</v>
      </c>
      <c r="W1819" s="23">
        <v>1</v>
      </c>
      <c r="X1819" s="24"/>
    </row>
    <row r="1820" spans="1:24" s="1" customFormat="1" ht="108" customHeight="1" x14ac:dyDescent="0.3">
      <c r="A1820" s="62">
        <v>4</v>
      </c>
      <c r="B1820" s="11" t="s">
        <v>2661</v>
      </c>
      <c r="C1820" s="12" t="s">
        <v>2687</v>
      </c>
      <c r="D1820" s="13"/>
      <c r="E1820" s="67" t="str">
        <f>HYPERLINK("https://www.google.ru/search?q=H4Z22-CAD005-64M&amp;newwindow=1&amp;tbm=isch","Еще фото")</f>
        <v>Еще фото</v>
      </c>
      <c r="F1820" s="14"/>
      <c r="G1820" s="11" t="s">
        <v>2653</v>
      </c>
      <c r="H1820" s="11" t="s">
        <v>69</v>
      </c>
      <c r="I1820" s="15" t="s">
        <v>2387</v>
      </c>
      <c r="J1820" s="15" t="s">
        <v>28</v>
      </c>
      <c r="K1820" s="16" t="s">
        <v>29</v>
      </c>
      <c r="L1820" s="15" t="s">
        <v>2684</v>
      </c>
      <c r="M1820" s="15"/>
      <c r="N1820" s="15" t="s">
        <v>212</v>
      </c>
      <c r="O1820" s="15"/>
      <c r="P1820" s="16" t="s">
        <v>2685</v>
      </c>
      <c r="Q1820" s="17">
        <v>1599</v>
      </c>
      <c r="R1820" s="18">
        <v>40</v>
      </c>
      <c r="S1820" s="26">
        <v>1103.31</v>
      </c>
      <c r="T1820" s="20" t="s">
        <v>99</v>
      </c>
      <c r="U1820" s="21" t="s">
        <v>34</v>
      </c>
      <c r="V1820" s="22" t="s">
        <v>2656</v>
      </c>
      <c r="W1820" s="23">
        <v>3</v>
      </c>
      <c r="X1820" s="24"/>
    </row>
    <row r="1821" spans="1:24" s="1" customFormat="1" ht="108" customHeight="1" x14ac:dyDescent="0.3">
      <c r="A1821" s="62">
        <v>4</v>
      </c>
      <c r="B1821" s="11" t="s">
        <v>2688</v>
      </c>
      <c r="C1821" s="12" t="s">
        <v>2689</v>
      </c>
      <c r="D1821" s="13"/>
      <c r="E1821" s="67" t="str">
        <f>HYPERLINK("https://www.google.ru/search?q=4FJSS23AHELU024-21S&amp;newwindow=1&amp;tbm=isch","Еще фото")</f>
        <v>Еще фото</v>
      </c>
      <c r="F1821" s="14"/>
      <c r="G1821" s="11" t="s">
        <v>2690</v>
      </c>
      <c r="H1821" s="11" t="s">
        <v>669</v>
      </c>
      <c r="I1821" s="15" t="s">
        <v>2691</v>
      </c>
      <c r="J1821" s="15" t="s">
        <v>2692</v>
      </c>
      <c r="K1821" s="16" t="s">
        <v>71</v>
      </c>
      <c r="L1821" s="15" t="s">
        <v>2693</v>
      </c>
      <c r="M1821" s="15"/>
      <c r="N1821" s="15" t="s">
        <v>38</v>
      </c>
      <c r="O1821" s="15"/>
      <c r="P1821" s="16" t="s">
        <v>2694</v>
      </c>
      <c r="Q1821" s="17">
        <v>6299</v>
      </c>
      <c r="R1821" s="18">
        <v>55.74</v>
      </c>
      <c r="S1821" s="19">
        <v>3205.9354999999996</v>
      </c>
      <c r="T1821" s="20" t="s">
        <v>63</v>
      </c>
      <c r="U1821" s="21" t="s">
        <v>2695</v>
      </c>
      <c r="V1821" s="22" t="s">
        <v>2696</v>
      </c>
      <c r="W1821" s="23">
        <v>1</v>
      </c>
      <c r="X1821" s="24"/>
    </row>
    <row r="1822" spans="1:24" s="1" customFormat="1" ht="26" customHeight="1" x14ac:dyDescent="0.3">
      <c r="A1822" s="62">
        <v>4</v>
      </c>
      <c r="B1822" s="11" t="s">
        <v>2697</v>
      </c>
      <c r="C1822" s="12" t="s">
        <v>2698</v>
      </c>
      <c r="D1822" s="85"/>
      <c r="E1822" s="67" t="str">
        <f>HYPERLINK("https://www.google.ru/search?q=4FSS23TSHOM057-61S&amp;newwindow=1&amp;tbm=isch","Еще фото")</f>
        <v>Еще фото</v>
      </c>
      <c r="F1822" s="14"/>
      <c r="G1822" s="11" t="s">
        <v>439</v>
      </c>
      <c r="H1822" s="11" t="s">
        <v>27</v>
      </c>
      <c r="I1822" s="15" t="s">
        <v>439</v>
      </c>
      <c r="J1822" s="15" t="s">
        <v>28</v>
      </c>
      <c r="K1822" s="16" t="s">
        <v>45</v>
      </c>
      <c r="L1822" s="83" t="s">
        <v>2699</v>
      </c>
      <c r="M1822" s="15"/>
      <c r="N1822" s="15" t="s">
        <v>73</v>
      </c>
      <c r="O1822" s="15"/>
      <c r="P1822" s="16" t="s">
        <v>74</v>
      </c>
      <c r="Q1822" s="17">
        <v>3799</v>
      </c>
      <c r="R1822" s="18">
        <v>79.53</v>
      </c>
      <c r="S1822" s="26">
        <v>894.43549999999993</v>
      </c>
      <c r="T1822" s="20" t="s">
        <v>99</v>
      </c>
      <c r="U1822" s="21" t="s">
        <v>34</v>
      </c>
      <c r="V1822" s="23">
        <v>46</v>
      </c>
      <c r="W1822" s="23">
        <v>8</v>
      </c>
      <c r="X1822" s="24"/>
    </row>
    <row r="1823" spans="1:24" s="1" customFormat="1" ht="26" customHeight="1" x14ac:dyDescent="0.3">
      <c r="A1823" s="63">
        <v>4</v>
      </c>
      <c r="B1823" s="25" t="s">
        <v>2697</v>
      </c>
      <c r="C1823" s="12" t="s">
        <v>2698</v>
      </c>
      <c r="D1823" s="86"/>
      <c r="E1823" s="67" t="str">
        <f>HYPERLINK("https://www.google.ru/search?q=4FSS23TSHOM057-61S&amp;newwindow=1&amp;tbm=isch","Еще фото")</f>
        <v>Еще фото</v>
      </c>
      <c r="F1823" s="14"/>
      <c r="G1823" s="25" t="s">
        <v>439</v>
      </c>
      <c r="H1823" s="25" t="s">
        <v>27</v>
      </c>
      <c r="I1823" s="25" t="s">
        <v>439</v>
      </c>
      <c r="J1823" s="15" t="s">
        <v>28</v>
      </c>
      <c r="K1823" s="16" t="s">
        <v>45</v>
      </c>
      <c r="L1823" s="88"/>
      <c r="M1823" s="15"/>
      <c r="N1823" s="15" t="s">
        <v>73</v>
      </c>
      <c r="O1823" s="15"/>
      <c r="P1823" s="16" t="s">
        <v>74</v>
      </c>
      <c r="Q1823" s="17">
        <v>3799</v>
      </c>
      <c r="R1823" s="18">
        <v>79.53</v>
      </c>
      <c r="S1823" s="26">
        <v>894.43549999999993</v>
      </c>
      <c r="T1823" s="20" t="s">
        <v>99</v>
      </c>
      <c r="U1823" s="21" t="s">
        <v>52</v>
      </c>
      <c r="V1823" s="23">
        <v>48</v>
      </c>
      <c r="W1823" s="23">
        <v>11</v>
      </c>
      <c r="X1823" s="24"/>
    </row>
    <row r="1824" spans="1:24" s="1" customFormat="1" ht="26" customHeight="1" x14ac:dyDescent="0.3">
      <c r="A1824" s="63">
        <v>4</v>
      </c>
      <c r="B1824" s="25" t="s">
        <v>2697</v>
      </c>
      <c r="C1824" s="12" t="s">
        <v>2698</v>
      </c>
      <c r="D1824" s="86"/>
      <c r="E1824" s="67" t="str">
        <f>HYPERLINK("https://www.google.ru/search?q=4FSS23TSHOM057-61S&amp;newwindow=1&amp;tbm=isch","Еще фото")</f>
        <v>Еще фото</v>
      </c>
      <c r="F1824" s="14"/>
      <c r="G1824" s="25" t="s">
        <v>439</v>
      </c>
      <c r="H1824" s="25" t="s">
        <v>27</v>
      </c>
      <c r="I1824" s="25" t="s">
        <v>439</v>
      </c>
      <c r="J1824" s="15" t="s">
        <v>28</v>
      </c>
      <c r="K1824" s="16" t="s">
        <v>45</v>
      </c>
      <c r="L1824" s="88"/>
      <c r="M1824" s="15"/>
      <c r="N1824" s="15" t="s">
        <v>73</v>
      </c>
      <c r="O1824" s="15"/>
      <c r="P1824" s="16" t="s">
        <v>74</v>
      </c>
      <c r="Q1824" s="17">
        <v>3799</v>
      </c>
      <c r="R1824" s="18">
        <v>79.53</v>
      </c>
      <c r="S1824" s="26">
        <v>894.43549999999993</v>
      </c>
      <c r="T1824" s="20" t="s">
        <v>99</v>
      </c>
      <c r="U1824" s="21" t="s">
        <v>40</v>
      </c>
      <c r="V1824" s="23">
        <v>50</v>
      </c>
      <c r="W1824" s="23">
        <v>6</v>
      </c>
      <c r="X1824" s="24"/>
    </row>
    <row r="1825" spans="1:24" s="1" customFormat="1" ht="26" customHeight="1" x14ac:dyDescent="0.3">
      <c r="A1825" s="63">
        <v>4</v>
      </c>
      <c r="B1825" s="25" t="s">
        <v>2697</v>
      </c>
      <c r="C1825" s="12" t="s">
        <v>2698</v>
      </c>
      <c r="D1825" s="87"/>
      <c r="E1825" s="67" t="str">
        <f>HYPERLINK("https://www.google.ru/search?q=4FSS23TSHOM057-61S&amp;newwindow=1&amp;tbm=isch","Еще фото")</f>
        <v>Еще фото</v>
      </c>
      <c r="F1825" s="14"/>
      <c r="G1825" s="25" t="s">
        <v>439</v>
      </c>
      <c r="H1825" s="25" t="s">
        <v>27</v>
      </c>
      <c r="I1825" s="25" t="s">
        <v>439</v>
      </c>
      <c r="J1825" s="15" t="s">
        <v>28</v>
      </c>
      <c r="K1825" s="16" t="s">
        <v>45</v>
      </c>
      <c r="L1825" s="84"/>
      <c r="M1825" s="15"/>
      <c r="N1825" s="15" t="s">
        <v>73</v>
      </c>
      <c r="O1825" s="15"/>
      <c r="P1825" s="16" t="s">
        <v>74</v>
      </c>
      <c r="Q1825" s="17">
        <v>3799</v>
      </c>
      <c r="R1825" s="18">
        <v>79.53</v>
      </c>
      <c r="S1825" s="26">
        <v>894.43549999999993</v>
      </c>
      <c r="T1825" s="20" t="s">
        <v>99</v>
      </c>
      <c r="U1825" s="21" t="s">
        <v>42</v>
      </c>
      <c r="V1825" s="23">
        <v>52</v>
      </c>
      <c r="W1825" s="23">
        <v>1</v>
      </c>
      <c r="X1825" s="24"/>
    </row>
    <row r="1826" spans="1:24" s="1" customFormat="1" ht="26" customHeight="1" x14ac:dyDescent="0.3">
      <c r="A1826" s="62">
        <v>4</v>
      </c>
      <c r="B1826" s="11" t="s">
        <v>2700</v>
      </c>
      <c r="C1826" s="12" t="s">
        <v>2701</v>
      </c>
      <c r="D1826" s="85"/>
      <c r="E1826" s="67" t="str">
        <f>HYPERLINK("https://www.google.ru/search?q=4FJSS23UBDSF033-64N&amp;newwindow=1&amp;tbm=isch","Еще фото")</f>
        <v>Еще фото</v>
      </c>
      <c r="F1826" s="14"/>
      <c r="G1826" s="11" t="s">
        <v>439</v>
      </c>
      <c r="H1826" s="11" t="s">
        <v>27</v>
      </c>
      <c r="I1826" s="15" t="s">
        <v>439</v>
      </c>
      <c r="J1826" s="15" t="s">
        <v>28</v>
      </c>
      <c r="K1826" s="16" t="s">
        <v>59</v>
      </c>
      <c r="L1826" s="83" t="s">
        <v>2702</v>
      </c>
      <c r="M1826" s="15"/>
      <c r="N1826" s="15" t="s">
        <v>212</v>
      </c>
      <c r="O1826" s="15"/>
      <c r="P1826" s="16" t="s">
        <v>2703</v>
      </c>
      <c r="Q1826" s="17">
        <v>2599</v>
      </c>
      <c r="R1826" s="18">
        <v>77</v>
      </c>
      <c r="S1826" s="26">
        <v>687.43549999999993</v>
      </c>
      <c r="T1826" s="20" t="s">
        <v>99</v>
      </c>
      <c r="U1826" s="21" t="s">
        <v>2704</v>
      </c>
      <c r="V1826" s="22" t="s">
        <v>2705</v>
      </c>
      <c r="W1826" s="23">
        <v>2</v>
      </c>
      <c r="X1826" s="24"/>
    </row>
    <row r="1827" spans="1:24" s="1" customFormat="1" ht="26" customHeight="1" x14ac:dyDescent="0.3">
      <c r="A1827" s="63">
        <v>4</v>
      </c>
      <c r="B1827" s="25" t="s">
        <v>2700</v>
      </c>
      <c r="C1827" s="12" t="s">
        <v>2701</v>
      </c>
      <c r="D1827" s="86"/>
      <c r="E1827" s="67" t="str">
        <f>HYPERLINK("https://www.google.ru/search?q=4FJSS23UBDSF033-64N&amp;newwindow=1&amp;tbm=isch","Еще фото")</f>
        <v>Еще фото</v>
      </c>
      <c r="F1827" s="14"/>
      <c r="G1827" s="25" t="s">
        <v>439</v>
      </c>
      <c r="H1827" s="25" t="s">
        <v>27</v>
      </c>
      <c r="I1827" s="25" t="s">
        <v>439</v>
      </c>
      <c r="J1827" s="15" t="s">
        <v>28</v>
      </c>
      <c r="K1827" s="16" t="s">
        <v>59</v>
      </c>
      <c r="L1827" s="88"/>
      <c r="M1827" s="15"/>
      <c r="N1827" s="15" t="s">
        <v>212</v>
      </c>
      <c r="O1827" s="15"/>
      <c r="P1827" s="16" t="s">
        <v>2703</v>
      </c>
      <c r="Q1827" s="17">
        <v>2599</v>
      </c>
      <c r="R1827" s="18">
        <v>77</v>
      </c>
      <c r="S1827" s="26">
        <v>687.43549999999993</v>
      </c>
      <c r="T1827" s="20" t="s">
        <v>99</v>
      </c>
      <c r="U1827" s="21" t="s">
        <v>2706</v>
      </c>
      <c r="V1827" s="22" t="s">
        <v>2707</v>
      </c>
      <c r="W1827" s="23">
        <v>5</v>
      </c>
      <c r="X1827" s="24"/>
    </row>
    <row r="1828" spans="1:24" s="1" customFormat="1" ht="26" customHeight="1" x14ac:dyDescent="0.3">
      <c r="A1828" s="63">
        <v>4</v>
      </c>
      <c r="B1828" s="25" t="s">
        <v>2700</v>
      </c>
      <c r="C1828" s="12" t="s">
        <v>2701</v>
      </c>
      <c r="D1828" s="86"/>
      <c r="E1828" s="67" t="str">
        <f>HYPERLINK("https://www.google.ru/search?q=4FJSS23UBDSF033-64N&amp;newwindow=1&amp;tbm=isch","Еще фото")</f>
        <v>Еще фото</v>
      </c>
      <c r="F1828" s="14"/>
      <c r="G1828" s="25" t="s">
        <v>439</v>
      </c>
      <c r="H1828" s="25" t="s">
        <v>27</v>
      </c>
      <c r="I1828" s="25" t="s">
        <v>439</v>
      </c>
      <c r="J1828" s="15" t="s">
        <v>28</v>
      </c>
      <c r="K1828" s="16" t="s">
        <v>59</v>
      </c>
      <c r="L1828" s="88"/>
      <c r="M1828" s="15"/>
      <c r="N1828" s="15" t="s">
        <v>212</v>
      </c>
      <c r="O1828" s="15"/>
      <c r="P1828" s="16" t="s">
        <v>2703</v>
      </c>
      <c r="Q1828" s="17">
        <v>2599</v>
      </c>
      <c r="R1828" s="18">
        <v>77</v>
      </c>
      <c r="S1828" s="26">
        <v>687.43549999999993</v>
      </c>
      <c r="T1828" s="20" t="s">
        <v>99</v>
      </c>
      <c r="U1828" s="21" t="s">
        <v>2708</v>
      </c>
      <c r="V1828" s="22" t="s">
        <v>2709</v>
      </c>
      <c r="W1828" s="23">
        <v>7</v>
      </c>
      <c r="X1828" s="24"/>
    </row>
    <row r="1829" spans="1:24" s="1" customFormat="1" ht="26" customHeight="1" x14ac:dyDescent="0.3">
      <c r="A1829" s="63">
        <v>4</v>
      </c>
      <c r="B1829" s="25" t="s">
        <v>2700</v>
      </c>
      <c r="C1829" s="12" t="s">
        <v>2701</v>
      </c>
      <c r="D1829" s="87"/>
      <c r="E1829" s="67" t="str">
        <f>HYPERLINK("https://www.google.ru/search?q=4FJSS23UBDSF033-64N&amp;newwindow=1&amp;tbm=isch","Еще фото")</f>
        <v>Еще фото</v>
      </c>
      <c r="F1829" s="14"/>
      <c r="G1829" s="25" t="s">
        <v>439</v>
      </c>
      <c r="H1829" s="25" t="s">
        <v>27</v>
      </c>
      <c r="I1829" s="25" t="s">
        <v>439</v>
      </c>
      <c r="J1829" s="15" t="s">
        <v>28</v>
      </c>
      <c r="K1829" s="16" t="s">
        <v>59</v>
      </c>
      <c r="L1829" s="84"/>
      <c r="M1829" s="15"/>
      <c r="N1829" s="15" t="s">
        <v>212</v>
      </c>
      <c r="O1829" s="15"/>
      <c r="P1829" s="16" t="s">
        <v>2703</v>
      </c>
      <c r="Q1829" s="17">
        <v>2599</v>
      </c>
      <c r="R1829" s="18">
        <v>77</v>
      </c>
      <c r="S1829" s="26">
        <v>687.43549999999993</v>
      </c>
      <c r="T1829" s="20" t="s">
        <v>99</v>
      </c>
      <c r="U1829" s="21" t="s">
        <v>2710</v>
      </c>
      <c r="V1829" s="22" t="s">
        <v>2711</v>
      </c>
      <c r="W1829" s="23">
        <v>5</v>
      </c>
      <c r="X1829" s="24"/>
    </row>
    <row r="1830" spans="1:24" s="1" customFormat="1" ht="52.05" customHeight="1" x14ac:dyDescent="0.3">
      <c r="A1830" s="62">
        <v>4</v>
      </c>
      <c r="B1830" s="11" t="s">
        <v>2712</v>
      </c>
      <c r="C1830" s="12" t="s">
        <v>2713</v>
      </c>
      <c r="D1830" s="81"/>
      <c r="E1830" s="67" t="str">
        <f>HYPERLINK("https://www.google.ru/search?q=4FSS23TSHOF070-64S&amp;newwindow=1&amp;tbm=isch","Еще фото")</f>
        <v>Еще фото</v>
      </c>
      <c r="F1830" s="14"/>
      <c r="G1830" s="11" t="s">
        <v>439</v>
      </c>
      <c r="H1830" s="11" t="s">
        <v>27</v>
      </c>
      <c r="I1830" s="15" t="s">
        <v>439</v>
      </c>
      <c r="J1830" s="15" t="s">
        <v>28</v>
      </c>
      <c r="K1830" s="16" t="s">
        <v>29</v>
      </c>
      <c r="L1830" s="83" t="s">
        <v>2714</v>
      </c>
      <c r="M1830" s="15"/>
      <c r="N1830" s="15" t="s">
        <v>212</v>
      </c>
      <c r="O1830" s="15"/>
      <c r="P1830" s="16" t="s">
        <v>2440</v>
      </c>
      <c r="Q1830" s="17">
        <v>3199</v>
      </c>
      <c r="R1830" s="18">
        <v>64.75</v>
      </c>
      <c r="S1830" s="19">
        <v>1296.9354999999998</v>
      </c>
      <c r="T1830" s="20" t="s">
        <v>99</v>
      </c>
      <c r="U1830" s="21" t="s">
        <v>40</v>
      </c>
      <c r="V1830" s="23">
        <v>48</v>
      </c>
      <c r="W1830" s="23">
        <v>1</v>
      </c>
      <c r="X1830" s="24"/>
    </row>
    <row r="1831" spans="1:24" s="1" customFormat="1" ht="61.05" customHeight="1" x14ac:dyDescent="0.3">
      <c r="A1831" s="63">
        <v>4</v>
      </c>
      <c r="B1831" s="25" t="s">
        <v>2712</v>
      </c>
      <c r="C1831" s="12" t="s">
        <v>2713</v>
      </c>
      <c r="D1831" s="82"/>
      <c r="E1831" s="67" t="str">
        <f>HYPERLINK("https://www.google.ru/search?q=4FSS23TSHOF070-64S&amp;newwindow=1&amp;tbm=isch","Еще фото")</f>
        <v>Еще фото</v>
      </c>
      <c r="F1831" s="14"/>
      <c r="G1831" s="25" t="s">
        <v>439</v>
      </c>
      <c r="H1831" s="25" t="s">
        <v>27</v>
      </c>
      <c r="I1831" s="25" t="s">
        <v>439</v>
      </c>
      <c r="J1831" s="15" t="s">
        <v>28</v>
      </c>
      <c r="K1831" s="16" t="s">
        <v>29</v>
      </c>
      <c r="L1831" s="84"/>
      <c r="M1831" s="15"/>
      <c r="N1831" s="15" t="s">
        <v>212</v>
      </c>
      <c r="O1831" s="15"/>
      <c r="P1831" s="16" t="s">
        <v>2440</v>
      </c>
      <c r="Q1831" s="17">
        <v>3199</v>
      </c>
      <c r="R1831" s="18">
        <v>64.75</v>
      </c>
      <c r="S1831" s="19">
        <v>1296.9354999999998</v>
      </c>
      <c r="T1831" s="20" t="s">
        <v>99</v>
      </c>
      <c r="U1831" s="21" t="s">
        <v>42</v>
      </c>
      <c r="V1831" s="23">
        <v>50</v>
      </c>
      <c r="W1831" s="23">
        <v>1</v>
      </c>
      <c r="X1831" s="24"/>
    </row>
    <row r="1832" spans="1:24" s="1" customFormat="1" ht="26" customHeight="1" x14ac:dyDescent="0.3">
      <c r="A1832" s="62">
        <v>4</v>
      </c>
      <c r="B1832" s="11" t="s">
        <v>2700</v>
      </c>
      <c r="C1832" s="12" t="s">
        <v>2715</v>
      </c>
      <c r="D1832" s="85"/>
      <c r="E1832" s="67" t="str">
        <f>HYPERLINK("https://www.google.ru/search?q=4FJSS23UBDSF033-46S&amp;newwindow=1&amp;tbm=isch","Еще фото")</f>
        <v>Еще фото</v>
      </c>
      <c r="F1832" s="14"/>
      <c r="G1832" s="11" t="s">
        <v>439</v>
      </c>
      <c r="H1832" s="11" t="s">
        <v>27</v>
      </c>
      <c r="I1832" s="15" t="s">
        <v>439</v>
      </c>
      <c r="J1832" s="15" t="s">
        <v>28</v>
      </c>
      <c r="K1832" s="16" t="s">
        <v>59</v>
      </c>
      <c r="L1832" s="83" t="s">
        <v>2702</v>
      </c>
      <c r="M1832" s="15"/>
      <c r="N1832" s="15" t="s">
        <v>55</v>
      </c>
      <c r="O1832" s="15"/>
      <c r="P1832" s="16" t="s">
        <v>2703</v>
      </c>
      <c r="Q1832" s="17">
        <v>2599</v>
      </c>
      <c r="R1832" s="18">
        <v>58.53</v>
      </c>
      <c r="S1832" s="19">
        <v>1239.4354999999998</v>
      </c>
      <c r="T1832" s="20" t="s">
        <v>99</v>
      </c>
      <c r="U1832" s="21" t="s">
        <v>2704</v>
      </c>
      <c r="V1832" s="22" t="s">
        <v>2705</v>
      </c>
      <c r="W1832" s="23">
        <v>3</v>
      </c>
      <c r="X1832" s="24"/>
    </row>
    <row r="1833" spans="1:24" s="1" customFormat="1" ht="26" customHeight="1" x14ac:dyDescent="0.3">
      <c r="A1833" s="63">
        <v>4</v>
      </c>
      <c r="B1833" s="25" t="s">
        <v>2700</v>
      </c>
      <c r="C1833" s="12" t="s">
        <v>2715</v>
      </c>
      <c r="D1833" s="86"/>
      <c r="E1833" s="67" t="str">
        <f>HYPERLINK("https://www.google.ru/search?q=4FJSS23UBDSF033-46S&amp;newwindow=1&amp;tbm=isch","Еще фото")</f>
        <v>Еще фото</v>
      </c>
      <c r="F1833" s="14"/>
      <c r="G1833" s="25" t="s">
        <v>439</v>
      </c>
      <c r="H1833" s="25" t="s">
        <v>27</v>
      </c>
      <c r="I1833" s="25" t="s">
        <v>439</v>
      </c>
      <c r="J1833" s="15" t="s">
        <v>28</v>
      </c>
      <c r="K1833" s="16" t="s">
        <v>59</v>
      </c>
      <c r="L1833" s="88"/>
      <c r="M1833" s="15"/>
      <c r="N1833" s="15" t="s">
        <v>55</v>
      </c>
      <c r="O1833" s="15"/>
      <c r="P1833" s="16" t="s">
        <v>2703</v>
      </c>
      <c r="Q1833" s="17">
        <v>2599</v>
      </c>
      <c r="R1833" s="18">
        <v>58.53</v>
      </c>
      <c r="S1833" s="19">
        <v>1239.4354999999998</v>
      </c>
      <c r="T1833" s="20" t="s">
        <v>99</v>
      </c>
      <c r="U1833" s="21" t="s">
        <v>2706</v>
      </c>
      <c r="V1833" s="22" t="s">
        <v>2707</v>
      </c>
      <c r="W1833" s="23">
        <v>3</v>
      </c>
      <c r="X1833" s="24"/>
    </row>
    <row r="1834" spans="1:24" s="1" customFormat="1" ht="26" customHeight="1" x14ac:dyDescent="0.3">
      <c r="A1834" s="63">
        <v>4</v>
      </c>
      <c r="B1834" s="25" t="s">
        <v>2700</v>
      </c>
      <c r="C1834" s="12" t="s">
        <v>2715</v>
      </c>
      <c r="D1834" s="86"/>
      <c r="E1834" s="67" t="str">
        <f>HYPERLINK("https://www.google.ru/search?q=4FJSS23UBDSF033-46S&amp;newwindow=1&amp;tbm=isch","Еще фото")</f>
        <v>Еще фото</v>
      </c>
      <c r="F1834" s="14"/>
      <c r="G1834" s="25" t="s">
        <v>439</v>
      </c>
      <c r="H1834" s="25" t="s">
        <v>27</v>
      </c>
      <c r="I1834" s="25" t="s">
        <v>439</v>
      </c>
      <c r="J1834" s="15" t="s">
        <v>28</v>
      </c>
      <c r="K1834" s="16" t="s">
        <v>59</v>
      </c>
      <c r="L1834" s="88"/>
      <c r="M1834" s="15"/>
      <c r="N1834" s="15" t="s">
        <v>55</v>
      </c>
      <c r="O1834" s="15"/>
      <c r="P1834" s="16" t="s">
        <v>2703</v>
      </c>
      <c r="Q1834" s="17">
        <v>2599</v>
      </c>
      <c r="R1834" s="18">
        <v>58.53</v>
      </c>
      <c r="S1834" s="19">
        <v>1239.4354999999998</v>
      </c>
      <c r="T1834" s="20" t="s">
        <v>99</v>
      </c>
      <c r="U1834" s="21" t="s">
        <v>2708</v>
      </c>
      <c r="V1834" s="22" t="s">
        <v>2709</v>
      </c>
      <c r="W1834" s="23">
        <v>3</v>
      </c>
      <c r="X1834" s="24"/>
    </row>
    <row r="1835" spans="1:24" s="1" customFormat="1" ht="26" customHeight="1" x14ac:dyDescent="0.3">
      <c r="A1835" s="63">
        <v>4</v>
      </c>
      <c r="B1835" s="25" t="s">
        <v>2700</v>
      </c>
      <c r="C1835" s="12" t="s">
        <v>2715</v>
      </c>
      <c r="D1835" s="87"/>
      <c r="E1835" s="67" t="str">
        <f>HYPERLINK("https://www.google.ru/search?q=4FJSS23UBDSF033-46S&amp;newwindow=1&amp;tbm=isch","Еще фото")</f>
        <v>Еще фото</v>
      </c>
      <c r="F1835" s="14"/>
      <c r="G1835" s="25" t="s">
        <v>439</v>
      </c>
      <c r="H1835" s="25" t="s">
        <v>27</v>
      </c>
      <c r="I1835" s="25" t="s">
        <v>439</v>
      </c>
      <c r="J1835" s="15" t="s">
        <v>28</v>
      </c>
      <c r="K1835" s="16" t="s">
        <v>59</v>
      </c>
      <c r="L1835" s="84"/>
      <c r="M1835" s="15"/>
      <c r="N1835" s="15" t="s">
        <v>55</v>
      </c>
      <c r="O1835" s="15"/>
      <c r="P1835" s="16" t="s">
        <v>2703</v>
      </c>
      <c r="Q1835" s="17">
        <v>2599</v>
      </c>
      <c r="R1835" s="18">
        <v>58.53</v>
      </c>
      <c r="S1835" s="19">
        <v>1239.4354999999998</v>
      </c>
      <c r="T1835" s="20" t="s">
        <v>99</v>
      </c>
      <c r="U1835" s="21" t="s">
        <v>2710</v>
      </c>
      <c r="V1835" s="22" t="s">
        <v>2711</v>
      </c>
      <c r="W1835" s="23">
        <v>3</v>
      </c>
      <c r="X1835" s="24"/>
    </row>
    <row r="1836" spans="1:24" s="1" customFormat="1" ht="108" customHeight="1" x14ac:dyDescent="0.3">
      <c r="A1836" s="62">
        <v>4</v>
      </c>
      <c r="B1836" s="11" t="s">
        <v>2716</v>
      </c>
      <c r="C1836" s="12" t="s">
        <v>2717</v>
      </c>
      <c r="D1836" s="13"/>
      <c r="E1836" s="67" t="str">
        <f>HYPERLINK("https://www.google.ru/search?q=4FSS23TFSHM154-20S&amp;newwindow=1&amp;tbm=isch","Еще фото")</f>
        <v>Еще фото</v>
      </c>
      <c r="F1836" s="14"/>
      <c r="G1836" s="11" t="s">
        <v>439</v>
      </c>
      <c r="H1836" s="11" t="s">
        <v>27</v>
      </c>
      <c r="I1836" s="15" t="s">
        <v>439</v>
      </c>
      <c r="J1836" s="15" t="s">
        <v>28</v>
      </c>
      <c r="K1836" s="16" t="s">
        <v>45</v>
      </c>
      <c r="L1836" s="15" t="s">
        <v>2718</v>
      </c>
      <c r="M1836" s="15"/>
      <c r="N1836" s="15" t="s">
        <v>38</v>
      </c>
      <c r="O1836" s="15"/>
      <c r="P1836" s="16" t="s">
        <v>968</v>
      </c>
      <c r="Q1836" s="17">
        <v>3799</v>
      </c>
      <c r="R1836" s="18">
        <v>48.73</v>
      </c>
      <c r="S1836" s="19">
        <v>2239.9354999999996</v>
      </c>
      <c r="T1836" s="20" t="s">
        <v>99</v>
      </c>
      <c r="U1836" s="21" t="s">
        <v>40</v>
      </c>
      <c r="V1836" s="23">
        <v>50</v>
      </c>
      <c r="W1836" s="23">
        <v>1</v>
      </c>
      <c r="X1836" s="24"/>
    </row>
    <row r="1837" spans="1:24" s="1" customFormat="1" ht="108" customHeight="1" x14ac:dyDescent="0.3">
      <c r="A1837" s="62">
        <v>4</v>
      </c>
      <c r="B1837" s="11" t="s">
        <v>2719</v>
      </c>
      <c r="C1837" s="12" t="s">
        <v>2720</v>
      </c>
      <c r="D1837" s="13"/>
      <c r="E1837" s="67" t="str">
        <f>HYPERLINK("https://www.google.ru/search?q=4FSS23TSHOM085-20S&amp;newwindow=1&amp;tbm=isch","Еще фото")</f>
        <v>Еще фото</v>
      </c>
      <c r="F1837" s="14"/>
      <c r="G1837" s="11" t="s">
        <v>439</v>
      </c>
      <c r="H1837" s="11" t="s">
        <v>27</v>
      </c>
      <c r="I1837" s="15" t="s">
        <v>439</v>
      </c>
      <c r="J1837" s="15" t="s">
        <v>28</v>
      </c>
      <c r="K1837" s="16" t="s">
        <v>45</v>
      </c>
      <c r="L1837" s="15" t="s">
        <v>2721</v>
      </c>
      <c r="M1837" s="15"/>
      <c r="N1837" s="15" t="s">
        <v>38</v>
      </c>
      <c r="O1837" s="15"/>
      <c r="P1837" s="16" t="s">
        <v>2563</v>
      </c>
      <c r="Q1837" s="17">
        <v>3199</v>
      </c>
      <c r="R1837" s="18">
        <v>40</v>
      </c>
      <c r="S1837" s="19">
        <v>2207.31</v>
      </c>
      <c r="T1837" s="20" t="s">
        <v>99</v>
      </c>
      <c r="U1837" s="21" t="s">
        <v>52</v>
      </c>
      <c r="V1837" s="23">
        <v>48</v>
      </c>
      <c r="W1837" s="23">
        <v>1</v>
      </c>
      <c r="X1837" s="24"/>
    </row>
    <row r="1838" spans="1:24" s="1" customFormat="1" ht="108" customHeight="1" x14ac:dyDescent="0.3">
      <c r="A1838" s="62">
        <v>4</v>
      </c>
      <c r="B1838" s="11" t="s">
        <v>2722</v>
      </c>
      <c r="C1838" s="12" t="s">
        <v>2723</v>
      </c>
      <c r="D1838" s="13"/>
      <c r="E1838" s="67" t="str">
        <f>HYPERLINK("https://www.google.ru/search?q=H4Z20-SUDD010-20S&amp;newwindow=1&amp;tbm=isch","Еще фото")</f>
        <v>Еще фото</v>
      </c>
      <c r="F1838" s="14"/>
      <c r="G1838" s="11" t="s">
        <v>459</v>
      </c>
      <c r="H1838" s="11" t="s">
        <v>27</v>
      </c>
      <c r="I1838" s="15" t="s">
        <v>447</v>
      </c>
      <c r="J1838" s="15" t="s">
        <v>28</v>
      </c>
      <c r="K1838" s="16" t="s">
        <v>29</v>
      </c>
      <c r="L1838" s="15"/>
      <c r="M1838" s="15"/>
      <c r="N1838" s="15" t="s">
        <v>38</v>
      </c>
      <c r="O1838" s="15"/>
      <c r="P1838" s="16" t="s">
        <v>2452</v>
      </c>
      <c r="Q1838" s="17">
        <v>6490</v>
      </c>
      <c r="R1838" s="18">
        <v>46.07</v>
      </c>
      <c r="S1838" s="19">
        <v>4024.9884999999995</v>
      </c>
      <c r="T1838" s="20" t="s">
        <v>99</v>
      </c>
      <c r="U1838" s="21" t="s">
        <v>40</v>
      </c>
      <c r="V1838" s="23">
        <v>48</v>
      </c>
      <c r="W1838" s="23">
        <v>1</v>
      </c>
      <c r="X1838" s="24"/>
    </row>
    <row r="1839" spans="1:24" s="1" customFormat="1" ht="35" customHeight="1" x14ac:dyDescent="0.3">
      <c r="A1839" s="11" t="s">
        <v>2724</v>
      </c>
      <c r="B1839" s="11" t="s">
        <v>2725</v>
      </c>
      <c r="C1839" s="12" t="s">
        <v>2726</v>
      </c>
      <c r="D1839" s="85"/>
      <c r="E1839" s="67" t="str">
        <f>HYPERLINK("https://www.google.ru/search?q=XJ94766XP&amp;newwindow=1&amp;tbm=isch","Еще фото")</f>
        <v>Еще фото</v>
      </c>
      <c r="F1839" s="14"/>
      <c r="G1839" s="11" t="s">
        <v>26</v>
      </c>
      <c r="H1839" s="11" t="s">
        <v>27</v>
      </c>
      <c r="I1839" s="15" t="s">
        <v>26</v>
      </c>
      <c r="J1839" s="15" t="s">
        <v>28</v>
      </c>
      <c r="K1839" s="16" t="s">
        <v>59</v>
      </c>
      <c r="L1839" s="83" t="s">
        <v>2727</v>
      </c>
      <c r="M1839" s="15" t="s">
        <v>61</v>
      </c>
      <c r="N1839" s="15" t="s">
        <v>225</v>
      </c>
      <c r="O1839" s="15"/>
      <c r="P1839" s="16" t="s">
        <v>74</v>
      </c>
      <c r="Q1839" s="17">
        <v>9999</v>
      </c>
      <c r="R1839" s="18">
        <v>90.92</v>
      </c>
      <c r="S1839" s="26">
        <v>1043.9354999999998</v>
      </c>
      <c r="T1839" s="20" t="s">
        <v>99</v>
      </c>
      <c r="U1839" s="21" t="s">
        <v>2728</v>
      </c>
      <c r="V1839" s="23">
        <v>116</v>
      </c>
      <c r="W1839" s="23">
        <v>2</v>
      </c>
      <c r="X1839" s="24"/>
    </row>
    <row r="1840" spans="1:24" s="1" customFormat="1" ht="35" customHeight="1" x14ac:dyDescent="0.3">
      <c r="A1840" s="25" t="s">
        <v>2724</v>
      </c>
      <c r="B1840" s="25" t="s">
        <v>2725</v>
      </c>
      <c r="C1840" s="12" t="s">
        <v>2726</v>
      </c>
      <c r="D1840" s="86"/>
      <c r="E1840" s="67" t="str">
        <f>HYPERLINK("https://www.google.ru/search?q=XJ94766XP&amp;newwindow=1&amp;tbm=isch","Еще фото")</f>
        <v>Еще фото</v>
      </c>
      <c r="F1840" s="14"/>
      <c r="G1840" s="25" t="s">
        <v>26</v>
      </c>
      <c r="H1840" s="25" t="s">
        <v>27</v>
      </c>
      <c r="I1840" s="25" t="s">
        <v>26</v>
      </c>
      <c r="J1840" s="15" t="s">
        <v>28</v>
      </c>
      <c r="K1840" s="16" t="s">
        <v>59</v>
      </c>
      <c r="L1840" s="88"/>
      <c r="M1840" s="15" t="s">
        <v>61</v>
      </c>
      <c r="N1840" s="15" t="s">
        <v>225</v>
      </c>
      <c r="O1840" s="15"/>
      <c r="P1840" s="16" t="s">
        <v>74</v>
      </c>
      <c r="Q1840" s="17">
        <v>9999</v>
      </c>
      <c r="R1840" s="18">
        <v>90.92</v>
      </c>
      <c r="S1840" s="26">
        <v>1043.9354999999998</v>
      </c>
      <c r="T1840" s="20" t="s">
        <v>99</v>
      </c>
      <c r="U1840" s="21" t="s">
        <v>2729</v>
      </c>
      <c r="V1840" s="23">
        <v>128</v>
      </c>
      <c r="W1840" s="23">
        <v>2</v>
      </c>
      <c r="X1840" s="24"/>
    </row>
    <row r="1841" spans="1:24" s="1" customFormat="1" ht="37.049999999999997" customHeight="1" x14ac:dyDescent="0.3">
      <c r="A1841" s="25" t="s">
        <v>2724</v>
      </c>
      <c r="B1841" s="25" t="s">
        <v>2725</v>
      </c>
      <c r="C1841" s="12" t="s">
        <v>2726</v>
      </c>
      <c r="D1841" s="87"/>
      <c r="E1841" s="67" t="str">
        <f>HYPERLINK("https://www.google.ru/search?q=XJ94766XP&amp;newwindow=1&amp;tbm=isch","Еще фото")</f>
        <v>Еще фото</v>
      </c>
      <c r="F1841" s="14"/>
      <c r="G1841" s="25" t="s">
        <v>26</v>
      </c>
      <c r="H1841" s="25" t="s">
        <v>27</v>
      </c>
      <c r="I1841" s="25" t="s">
        <v>26</v>
      </c>
      <c r="J1841" s="15" t="s">
        <v>28</v>
      </c>
      <c r="K1841" s="16" t="s">
        <v>59</v>
      </c>
      <c r="L1841" s="84"/>
      <c r="M1841" s="15" t="s">
        <v>61</v>
      </c>
      <c r="N1841" s="15" t="s">
        <v>225</v>
      </c>
      <c r="O1841" s="15"/>
      <c r="P1841" s="16" t="s">
        <v>74</v>
      </c>
      <c r="Q1841" s="17">
        <v>9999</v>
      </c>
      <c r="R1841" s="18">
        <v>90.92</v>
      </c>
      <c r="S1841" s="26">
        <v>1043.9354999999998</v>
      </c>
      <c r="T1841" s="20" t="s">
        <v>99</v>
      </c>
      <c r="U1841" s="21" t="s">
        <v>2730</v>
      </c>
      <c r="V1841" s="23">
        <v>152</v>
      </c>
      <c r="W1841" s="23">
        <v>2</v>
      </c>
      <c r="X1841" s="24"/>
    </row>
    <row r="1842" spans="1:24" s="1" customFormat="1" ht="108" customHeight="1" x14ac:dyDescent="0.3">
      <c r="A1842" s="11" t="s">
        <v>2731</v>
      </c>
      <c r="B1842" s="11" t="s">
        <v>2732</v>
      </c>
      <c r="C1842" s="12" t="s">
        <v>2733</v>
      </c>
      <c r="D1842" s="13"/>
      <c r="E1842" s="67" t="str">
        <f>HYPERLINK("https://www.google.ru/search?q=TB23ML05S0340-1-1024&amp;newwindow=1&amp;tbm=isch","Еще фото")</f>
        <v>Еще фото</v>
      </c>
      <c r="F1842" s="14"/>
      <c r="G1842" s="11" t="s">
        <v>26</v>
      </c>
      <c r="H1842" s="11" t="s">
        <v>27</v>
      </c>
      <c r="I1842" s="15" t="s">
        <v>26</v>
      </c>
      <c r="J1842" s="15" t="s">
        <v>162</v>
      </c>
      <c r="K1842" s="16" t="s">
        <v>45</v>
      </c>
      <c r="L1842" s="15" t="s">
        <v>2734</v>
      </c>
      <c r="M1842" s="15" t="s">
        <v>61</v>
      </c>
      <c r="N1842" s="15" t="s">
        <v>173</v>
      </c>
      <c r="O1842" s="15"/>
      <c r="P1842" s="16" t="s">
        <v>2735</v>
      </c>
      <c r="Q1842" s="17">
        <v>4299</v>
      </c>
      <c r="R1842" s="18">
        <v>89.58</v>
      </c>
      <c r="S1842" s="26">
        <v>514.93549999999993</v>
      </c>
      <c r="T1842" s="20" t="s">
        <v>99</v>
      </c>
      <c r="U1842" s="21" t="s">
        <v>40</v>
      </c>
      <c r="V1842" s="22" t="s">
        <v>48</v>
      </c>
      <c r="W1842" s="23">
        <v>1</v>
      </c>
      <c r="X1842" s="24"/>
    </row>
    <row r="1843" spans="1:24" s="1" customFormat="1" ht="108" customHeight="1" x14ac:dyDescent="0.3">
      <c r="A1843" s="11" t="s">
        <v>2731</v>
      </c>
      <c r="B1843" s="11" t="s">
        <v>2736</v>
      </c>
      <c r="C1843" s="12" t="s">
        <v>2737</v>
      </c>
      <c r="D1843" s="13"/>
      <c r="E1843" s="67" t="str">
        <f>HYPERLINK("https://www.google.ru/search?q=TB23WL05S0676-1-1921&amp;newwindow=1&amp;tbm=isch","Еще фото")</f>
        <v>Еще фото</v>
      </c>
      <c r="F1843" s="14"/>
      <c r="G1843" s="11" t="s">
        <v>26</v>
      </c>
      <c r="H1843" s="11" t="s">
        <v>27</v>
      </c>
      <c r="I1843" s="15" t="s">
        <v>26</v>
      </c>
      <c r="J1843" s="15" t="s">
        <v>162</v>
      </c>
      <c r="K1843" s="16" t="s">
        <v>29</v>
      </c>
      <c r="L1843" s="15" t="s">
        <v>2738</v>
      </c>
      <c r="M1843" s="15" t="s">
        <v>61</v>
      </c>
      <c r="N1843" s="15" t="s">
        <v>423</v>
      </c>
      <c r="O1843" s="15"/>
      <c r="P1843" s="16" t="s">
        <v>2739</v>
      </c>
      <c r="Q1843" s="17">
        <v>3399</v>
      </c>
      <c r="R1843" s="18">
        <v>88.59</v>
      </c>
      <c r="S1843" s="26">
        <v>445.93549999999993</v>
      </c>
      <c r="T1843" s="20" t="s">
        <v>99</v>
      </c>
      <c r="U1843" s="21" t="s">
        <v>442</v>
      </c>
      <c r="V1843" s="22" t="s">
        <v>1910</v>
      </c>
      <c r="W1843" s="23">
        <v>5</v>
      </c>
      <c r="X1843" s="24"/>
    </row>
    <row r="1844" spans="1:24" s="1" customFormat="1" ht="52.05" customHeight="1" x14ac:dyDescent="0.3">
      <c r="A1844" s="11" t="s">
        <v>2731</v>
      </c>
      <c r="B1844" s="11" t="s">
        <v>2740</v>
      </c>
      <c r="C1844" s="12" t="s">
        <v>2741</v>
      </c>
      <c r="D1844" s="81"/>
      <c r="E1844" s="67" t="str">
        <f>HYPERLINK("https://www.google.ru/search?q=TB21ML05W9344-1-1001&amp;newwindow=1&amp;tbm=isch","Еще фото")</f>
        <v>Еще фото</v>
      </c>
      <c r="F1844" s="14" t="s">
        <v>253</v>
      </c>
      <c r="G1844" s="11" t="s">
        <v>2742</v>
      </c>
      <c r="H1844" s="11" t="s">
        <v>27</v>
      </c>
      <c r="I1844" s="15" t="s">
        <v>26</v>
      </c>
      <c r="J1844" s="15" t="s">
        <v>28</v>
      </c>
      <c r="K1844" s="16" t="s">
        <v>45</v>
      </c>
      <c r="L1844" s="83" t="s">
        <v>2743</v>
      </c>
      <c r="M1844" s="15" t="s">
        <v>2514</v>
      </c>
      <c r="N1844" s="15" t="s">
        <v>38</v>
      </c>
      <c r="O1844" s="15" t="s">
        <v>2523</v>
      </c>
      <c r="P1844" s="16" t="s">
        <v>2744</v>
      </c>
      <c r="Q1844" s="17">
        <v>4299</v>
      </c>
      <c r="R1844" s="18">
        <v>88.19</v>
      </c>
      <c r="S1844" s="26">
        <v>583.93549999999993</v>
      </c>
      <c r="T1844" s="20" t="s">
        <v>99</v>
      </c>
      <c r="U1844" s="21" t="s">
        <v>493</v>
      </c>
      <c r="V1844" s="22" t="s">
        <v>2745</v>
      </c>
      <c r="W1844" s="23">
        <v>1</v>
      </c>
      <c r="X1844" s="24"/>
    </row>
    <row r="1845" spans="1:24" s="1" customFormat="1" ht="61.05" customHeight="1" x14ac:dyDescent="0.3">
      <c r="A1845" s="25" t="s">
        <v>2731</v>
      </c>
      <c r="B1845" s="25" t="s">
        <v>2740</v>
      </c>
      <c r="C1845" s="12" t="s">
        <v>2741</v>
      </c>
      <c r="D1845" s="82"/>
      <c r="E1845" s="67" t="str">
        <f>HYPERLINK("https://www.google.ru/search?q=TB21ML05W9344-1-1001&amp;newwindow=1&amp;tbm=isch","Еще фото")</f>
        <v>Еще фото</v>
      </c>
      <c r="F1845" s="14" t="s">
        <v>253</v>
      </c>
      <c r="G1845" s="25" t="s">
        <v>2742</v>
      </c>
      <c r="H1845" s="25" t="s">
        <v>27</v>
      </c>
      <c r="I1845" s="25" t="s">
        <v>26</v>
      </c>
      <c r="J1845" s="15" t="s">
        <v>28</v>
      </c>
      <c r="K1845" s="16" t="s">
        <v>45</v>
      </c>
      <c r="L1845" s="84"/>
      <c r="M1845" s="15" t="s">
        <v>2514</v>
      </c>
      <c r="N1845" s="15" t="s">
        <v>38</v>
      </c>
      <c r="O1845" s="15" t="s">
        <v>2523</v>
      </c>
      <c r="P1845" s="16" t="s">
        <v>2744</v>
      </c>
      <c r="Q1845" s="17">
        <v>4299</v>
      </c>
      <c r="R1845" s="18">
        <v>88.19</v>
      </c>
      <c r="S1845" s="26">
        <v>583.93549999999993</v>
      </c>
      <c r="T1845" s="20" t="s">
        <v>99</v>
      </c>
      <c r="U1845" s="21" t="s">
        <v>1847</v>
      </c>
      <c r="V1845" s="22" t="s">
        <v>2746</v>
      </c>
      <c r="W1845" s="23">
        <v>1</v>
      </c>
      <c r="X1845" s="24"/>
    </row>
    <row r="1846" spans="1:24" s="1" customFormat="1" ht="108" customHeight="1" x14ac:dyDescent="0.3">
      <c r="A1846" s="11" t="s">
        <v>2747</v>
      </c>
      <c r="B1846" s="11" t="s">
        <v>2748</v>
      </c>
      <c r="C1846" s="12" t="s">
        <v>2749</v>
      </c>
      <c r="D1846" s="13"/>
      <c r="E1846" s="67" t="str">
        <f>HYPERLINK("https://www.google.ru/search?q=J2IJ202133745&amp;newwindow=1&amp;tbm=isch","Еще фото")</f>
        <v>Еще фото</v>
      </c>
      <c r="F1846" s="14"/>
      <c r="G1846" s="11" t="s">
        <v>26</v>
      </c>
      <c r="H1846" s="11" t="s">
        <v>27</v>
      </c>
      <c r="I1846" s="15" t="s">
        <v>26</v>
      </c>
      <c r="J1846" s="15" t="s">
        <v>28</v>
      </c>
      <c r="K1846" s="16" t="s">
        <v>29</v>
      </c>
      <c r="L1846" s="15"/>
      <c r="M1846" s="15" t="s">
        <v>61</v>
      </c>
      <c r="N1846" s="15" t="s">
        <v>218</v>
      </c>
      <c r="O1846" s="15" t="s">
        <v>585</v>
      </c>
      <c r="P1846" s="16" t="s">
        <v>2750</v>
      </c>
      <c r="Q1846" s="17">
        <v>3599</v>
      </c>
      <c r="R1846" s="18">
        <v>82.28</v>
      </c>
      <c r="S1846" s="26">
        <v>733.43549999999993</v>
      </c>
      <c r="T1846" s="20" t="s">
        <v>99</v>
      </c>
      <c r="U1846" s="21" t="s">
        <v>894</v>
      </c>
      <c r="V1846" s="23">
        <v>42</v>
      </c>
      <c r="W1846" s="23">
        <v>1</v>
      </c>
      <c r="X1846" s="24"/>
    </row>
    <row r="1847" spans="1:24" s="1" customFormat="1" ht="26" customHeight="1" x14ac:dyDescent="0.3">
      <c r="A1847" s="11" t="s">
        <v>2751</v>
      </c>
      <c r="B1847" s="11" t="s">
        <v>2740</v>
      </c>
      <c r="C1847" s="12" t="s">
        <v>2752</v>
      </c>
      <c r="D1847" s="85"/>
      <c r="E1847" s="67" t="str">
        <f>HYPERLINK("https://www.google.ru/search?q=113554-BS122&amp;newwindow=1&amp;tbm=isch","Еще фото")</f>
        <v>Еще фото</v>
      </c>
      <c r="F1847" s="14"/>
      <c r="G1847" s="11" t="s">
        <v>26</v>
      </c>
      <c r="H1847" s="11" t="s">
        <v>27</v>
      </c>
      <c r="I1847" s="15" t="s">
        <v>26</v>
      </c>
      <c r="J1847" s="15" t="s">
        <v>28</v>
      </c>
      <c r="K1847" s="16" t="s">
        <v>29</v>
      </c>
      <c r="L1847" s="83" t="s">
        <v>2753</v>
      </c>
      <c r="M1847" s="15" t="s">
        <v>61</v>
      </c>
      <c r="N1847" s="15" t="s">
        <v>122</v>
      </c>
      <c r="O1847" s="15" t="s">
        <v>400</v>
      </c>
      <c r="P1847" s="16" t="s">
        <v>496</v>
      </c>
      <c r="Q1847" s="17">
        <v>8299</v>
      </c>
      <c r="R1847" s="18">
        <v>79.66</v>
      </c>
      <c r="S1847" s="19">
        <v>1940.9354999999998</v>
      </c>
      <c r="T1847" s="20" t="s">
        <v>33</v>
      </c>
      <c r="U1847" s="21" t="s">
        <v>442</v>
      </c>
      <c r="V1847" s="22" t="s">
        <v>1910</v>
      </c>
      <c r="W1847" s="23">
        <v>3</v>
      </c>
      <c r="X1847" s="24"/>
    </row>
    <row r="1848" spans="1:24" s="1" customFormat="1" ht="26" customHeight="1" x14ac:dyDescent="0.3">
      <c r="A1848" s="25" t="s">
        <v>2751</v>
      </c>
      <c r="B1848" s="25" t="s">
        <v>2740</v>
      </c>
      <c r="C1848" s="12" t="s">
        <v>2752</v>
      </c>
      <c r="D1848" s="86"/>
      <c r="E1848" s="67" t="str">
        <f>HYPERLINK("https://www.google.ru/search?q=113554-BS122&amp;newwindow=1&amp;tbm=isch","Еще фото")</f>
        <v>Еще фото</v>
      </c>
      <c r="F1848" s="14"/>
      <c r="G1848" s="25" t="s">
        <v>26</v>
      </c>
      <c r="H1848" s="25" t="s">
        <v>27</v>
      </c>
      <c r="I1848" s="25" t="s">
        <v>26</v>
      </c>
      <c r="J1848" s="15" t="s">
        <v>28</v>
      </c>
      <c r="K1848" s="16" t="s">
        <v>29</v>
      </c>
      <c r="L1848" s="88"/>
      <c r="M1848" s="15" t="s">
        <v>61</v>
      </c>
      <c r="N1848" s="15" t="s">
        <v>122</v>
      </c>
      <c r="O1848" s="15" t="s">
        <v>400</v>
      </c>
      <c r="P1848" s="16" t="s">
        <v>496</v>
      </c>
      <c r="Q1848" s="17">
        <v>8299</v>
      </c>
      <c r="R1848" s="18">
        <v>79.66</v>
      </c>
      <c r="S1848" s="19">
        <v>1940.9354999999998</v>
      </c>
      <c r="T1848" s="20" t="s">
        <v>33</v>
      </c>
      <c r="U1848" s="21" t="s">
        <v>34</v>
      </c>
      <c r="V1848" s="22" t="s">
        <v>35</v>
      </c>
      <c r="W1848" s="23">
        <v>1</v>
      </c>
      <c r="X1848" s="24"/>
    </row>
    <row r="1849" spans="1:24" s="1" customFormat="1" ht="26" customHeight="1" x14ac:dyDescent="0.3">
      <c r="A1849" s="25" t="s">
        <v>2751</v>
      </c>
      <c r="B1849" s="25" t="s">
        <v>2740</v>
      </c>
      <c r="C1849" s="12" t="s">
        <v>2752</v>
      </c>
      <c r="D1849" s="86"/>
      <c r="E1849" s="67" t="str">
        <f>HYPERLINK("https://www.google.ru/search?q=113554-BS122&amp;newwindow=1&amp;tbm=isch","Еще фото")</f>
        <v>Еще фото</v>
      </c>
      <c r="F1849" s="14"/>
      <c r="G1849" s="25" t="s">
        <v>26</v>
      </c>
      <c r="H1849" s="25" t="s">
        <v>27</v>
      </c>
      <c r="I1849" s="25" t="s">
        <v>26</v>
      </c>
      <c r="J1849" s="15" t="s">
        <v>28</v>
      </c>
      <c r="K1849" s="16" t="s">
        <v>29</v>
      </c>
      <c r="L1849" s="88"/>
      <c r="M1849" s="15" t="s">
        <v>61</v>
      </c>
      <c r="N1849" s="15" t="s">
        <v>122</v>
      </c>
      <c r="O1849" s="15" t="s">
        <v>400</v>
      </c>
      <c r="P1849" s="16" t="s">
        <v>496</v>
      </c>
      <c r="Q1849" s="17">
        <v>8299</v>
      </c>
      <c r="R1849" s="18">
        <v>79.66</v>
      </c>
      <c r="S1849" s="19">
        <v>1940.9354999999998</v>
      </c>
      <c r="T1849" s="20" t="s">
        <v>33</v>
      </c>
      <c r="U1849" s="21" t="s">
        <v>52</v>
      </c>
      <c r="V1849" s="22" t="s">
        <v>53</v>
      </c>
      <c r="W1849" s="23">
        <v>1</v>
      </c>
      <c r="X1849" s="24"/>
    </row>
    <row r="1850" spans="1:24" s="1" customFormat="1" ht="26" customHeight="1" x14ac:dyDescent="0.3">
      <c r="A1850" s="25" t="s">
        <v>2751</v>
      </c>
      <c r="B1850" s="25" t="s">
        <v>2740</v>
      </c>
      <c r="C1850" s="12" t="s">
        <v>2752</v>
      </c>
      <c r="D1850" s="87"/>
      <c r="E1850" s="67" t="str">
        <f>HYPERLINK("https://www.google.ru/search?q=113554-BS122&amp;newwindow=1&amp;tbm=isch","Еще фото")</f>
        <v>Еще фото</v>
      </c>
      <c r="F1850" s="14"/>
      <c r="G1850" s="25" t="s">
        <v>26</v>
      </c>
      <c r="H1850" s="25" t="s">
        <v>27</v>
      </c>
      <c r="I1850" s="25" t="s">
        <v>26</v>
      </c>
      <c r="J1850" s="15" t="s">
        <v>28</v>
      </c>
      <c r="K1850" s="16" t="s">
        <v>29</v>
      </c>
      <c r="L1850" s="84"/>
      <c r="M1850" s="15" t="s">
        <v>61</v>
      </c>
      <c r="N1850" s="15" t="s">
        <v>122</v>
      </c>
      <c r="O1850" s="15" t="s">
        <v>400</v>
      </c>
      <c r="P1850" s="16" t="s">
        <v>496</v>
      </c>
      <c r="Q1850" s="17">
        <v>8299</v>
      </c>
      <c r="R1850" s="18">
        <v>79.66</v>
      </c>
      <c r="S1850" s="19">
        <v>1940.9354999999998</v>
      </c>
      <c r="T1850" s="20" t="s">
        <v>33</v>
      </c>
      <c r="U1850" s="21" t="s">
        <v>40</v>
      </c>
      <c r="V1850" s="22" t="s">
        <v>43</v>
      </c>
      <c r="W1850" s="23">
        <v>1</v>
      </c>
      <c r="X1850" s="24"/>
    </row>
    <row r="1851" spans="1:24" s="1" customFormat="1" ht="35" customHeight="1" x14ac:dyDescent="0.3">
      <c r="A1851" s="11" t="s">
        <v>2751</v>
      </c>
      <c r="B1851" s="11" t="s">
        <v>2740</v>
      </c>
      <c r="C1851" s="12" t="s">
        <v>2754</v>
      </c>
      <c r="D1851" s="85"/>
      <c r="E1851" s="67" t="str">
        <f>HYPERLINK("https://www.google.ru/search?q=113565-EM004&amp;newwindow=1&amp;tbm=isch","Еще фото")</f>
        <v>Еще фото</v>
      </c>
      <c r="F1851" s="14"/>
      <c r="G1851" s="11" t="s">
        <v>26</v>
      </c>
      <c r="H1851" s="11" t="s">
        <v>27</v>
      </c>
      <c r="I1851" s="15" t="s">
        <v>26</v>
      </c>
      <c r="J1851" s="15" t="s">
        <v>28</v>
      </c>
      <c r="K1851" s="16" t="s">
        <v>29</v>
      </c>
      <c r="L1851" s="83" t="s">
        <v>2755</v>
      </c>
      <c r="M1851" s="15" t="s">
        <v>61</v>
      </c>
      <c r="N1851" s="15" t="s">
        <v>218</v>
      </c>
      <c r="O1851" s="15" t="s">
        <v>400</v>
      </c>
      <c r="P1851" s="16" t="s">
        <v>85</v>
      </c>
      <c r="Q1851" s="17">
        <v>8299</v>
      </c>
      <c r="R1851" s="18">
        <v>78.22</v>
      </c>
      <c r="S1851" s="19">
        <v>2078.9354999999996</v>
      </c>
      <c r="T1851" s="20" t="s">
        <v>33</v>
      </c>
      <c r="U1851" s="21" t="s">
        <v>442</v>
      </c>
      <c r="V1851" s="22" t="s">
        <v>1910</v>
      </c>
      <c r="W1851" s="23">
        <v>2</v>
      </c>
      <c r="X1851" s="24"/>
    </row>
    <row r="1852" spans="1:24" s="1" customFormat="1" ht="35" customHeight="1" x14ac:dyDescent="0.3">
      <c r="A1852" s="25" t="s">
        <v>2751</v>
      </c>
      <c r="B1852" s="25" t="s">
        <v>2740</v>
      </c>
      <c r="C1852" s="12" t="s">
        <v>2754</v>
      </c>
      <c r="D1852" s="86"/>
      <c r="E1852" s="67" t="str">
        <f>HYPERLINK("https://www.google.ru/search?q=113565-EM004&amp;newwindow=1&amp;tbm=isch","Еще фото")</f>
        <v>Еще фото</v>
      </c>
      <c r="F1852" s="14"/>
      <c r="G1852" s="25" t="s">
        <v>26</v>
      </c>
      <c r="H1852" s="25" t="s">
        <v>27</v>
      </c>
      <c r="I1852" s="25" t="s">
        <v>26</v>
      </c>
      <c r="J1852" s="15" t="s">
        <v>28</v>
      </c>
      <c r="K1852" s="16" t="s">
        <v>29</v>
      </c>
      <c r="L1852" s="88"/>
      <c r="M1852" s="15" t="s">
        <v>61</v>
      </c>
      <c r="N1852" s="15" t="s">
        <v>218</v>
      </c>
      <c r="O1852" s="15" t="s">
        <v>400</v>
      </c>
      <c r="P1852" s="16" t="s">
        <v>85</v>
      </c>
      <c r="Q1852" s="17">
        <v>8299</v>
      </c>
      <c r="R1852" s="18">
        <v>78.22</v>
      </c>
      <c r="S1852" s="19">
        <v>2078.9354999999996</v>
      </c>
      <c r="T1852" s="20" t="s">
        <v>33</v>
      </c>
      <c r="U1852" s="21" t="s">
        <v>34</v>
      </c>
      <c r="V1852" s="22" t="s">
        <v>35</v>
      </c>
      <c r="W1852" s="23">
        <v>4</v>
      </c>
      <c r="X1852" s="24"/>
    </row>
    <row r="1853" spans="1:24" s="1" customFormat="1" ht="37.049999999999997" customHeight="1" x14ac:dyDescent="0.3">
      <c r="A1853" s="25" t="s">
        <v>2751</v>
      </c>
      <c r="B1853" s="25" t="s">
        <v>2740</v>
      </c>
      <c r="C1853" s="12" t="s">
        <v>2754</v>
      </c>
      <c r="D1853" s="87"/>
      <c r="E1853" s="67" t="str">
        <f>HYPERLINK("https://www.google.ru/search?q=113565-EM004&amp;newwindow=1&amp;tbm=isch","Еще фото")</f>
        <v>Еще фото</v>
      </c>
      <c r="F1853" s="14"/>
      <c r="G1853" s="25" t="s">
        <v>26</v>
      </c>
      <c r="H1853" s="25" t="s">
        <v>27</v>
      </c>
      <c r="I1853" s="25" t="s">
        <v>26</v>
      </c>
      <c r="J1853" s="15" t="s">
        <v>28</v>
      </c>
      <c r="K1853" s="16" t="s">
        <v>29</v>
      </c>
      <c r="L1853" s="84"/>
      <c r="M1853" s="15" t="s">
        <v>61</v>
      </c>
      <c r="N1853" s="15" t="s">
        <v>218</v>
      </c>
      <c r="O1853" s="15" t="s">
        <v>400</v>
      </c>
      <c r="P1853" s="16" t="s">
        <v>85</v>
      </c>
      <c r="Q1853" s="17">
        <v>8299</v>
      </c>
      <c r="R1853" s="18">
        <v>78.22</v>
      </c>
      <c r="S1853" s="19">
        <v>2078.9354999999996</v>
      </c>
      <c r="T1853" s="20" t="s">
        <v>33</v>
      </c>
      <c r="U1853" s="21" t="s">
        <v>40</v>
      </c>
      <c r="V1853" s="22" t="s">
        <v>43</v>
      </c>
      <c r="W1853" s="23">
        <v>1</v>
      </c>
      <c r="X1853" s="24"/>
    </row>
    <row r="1854" spans="1:24" s="1" customFormat="1" ht="108" customHeight="1" x14ac:dyDescent="0.3">
      <c r="A1854" s="11" t="s">
        <v>2731</v>
      </c>
      <c r="B1854" s="11" t="s">
        <v>2756</v>
      </c>
      <c r="C1854" s="12" t="s">
        <v>2757</v>
      </c>
      <c r="D1854" s="13"/>
      <c r="E1854" s="67" t="str">
        <f>HYPERLINK("https://www.google.ru/search?q=TB23WN09S0738-1-2645&amp;newwindow=1&amp;tbm=isch","Еще фото")</f>
        <v>Еще фото</v>
      </c>
      <c r="F1854" s="14"/>
      <c r="G1854" s="11" t="s">
        <v>2758</v>
      </c>
      <c r="H1854" s="11" t="s">
        <v>27</v>
      </c>
      <c r="I1854" s="15" t="s">
        <v>26</v>
      </c>
      <c r="J1854" s="15" t="s">
        <v>28</v>
      </c>
      <c r="K1854" s="16" t="s">
        <v>29</v>
      </c>
      <c r="L1854" s="15" t="s">
        <v>2759</v>
      </c>
      <c r="M1854" s="15"/>
      <c r="N1854" s="15" t="s">
        <v>413</v>
      </c>
      <c r="O1854" s="15"/>
      <c r="P1854" s="16" t="s">
        <v>2760</v>
      </c>
      <c r="Q1854" s="17">
        <v>4599</v>
      </c>
      <c r="R1854" s="18">
        <v>76.78</v>
      </c>
      <c r="S1854" s="19">
        <v>1227.9354999999998</v>
      </c>
      <c r="T1854" s="20" t="s">
        <v>99</v>
      </c>
      <c r="U1854" s="21" t="s">
        <v>442</v>
      </c>
      <c r="V1854" s="22" t="s">
        <v>1910</v>
      </c>
      <c r="W1854" s="23">
        <v>2</v>
      </c>
      <c r="X1854" s="24"/>
    </row>
    <row r="1855" spans="1:24" s="1" customFormat="1" ht="35" customHeight="1" x14ac:dyDescent="0.3">
      <c r="A1855" s="11" t="s">
        <v>2731</v>
      </c>
      <c r="B1855" s="11" t="s">
        <v>2756</v>
      </c>
      <c r="C1855" s="12" t="s">
        <v>2761</v>
      </c>
      <c r="D1855" s="85"/>
      <c r="E1855" s="67" t="str">
        <f>HYPERLINK("https://www.google.ru/search?q=TB23WL09W1576-1-1002&amp;newwindow=1&amp;tbm=isch","Еще фото")</f>
        <v>Еще фото</v>
      </c>
      <c r="F1855" s="14"/>
      <c r="G1855" s="11" t="s">
        <v>2758</v>
      </c>
      <c r="H1855" s="11" t="s">
        <v>27</v>
      </c>
      <c r="I1855" s="15" t="s">
        <v>26</v>
      </c>
      <c r="J1855" s="15" t="s">
        <v>28</v>
      </c>
      <c r="K1855" s="16" t="s">
        <v>29</v>
      </c>
      <c r="L1855" s="83" t="s">
        <v>2762</v>
      </c>
      <c r="M1855" s="15"/>
      <c r="N1855" s="15" t="s">
        <v>31</v>
      </c>
      <c r="O1855" s="15"/>
      <c r="P1855" s="16" t="s">
        <v>2763</v>
      </c>
      <c r="Q1855" s="17">
        <v>4399</v>
      </c>
      <c r="R1855" s="18">
        <v>75.27</v>
      </c>
      <c r="S1855" s="19">
        <v>1250.9354999999998</v>
      </c>
      <c r="T1855" s="20" t="s">
        <v>99</v>
      </c>
      <c r="U1855" s="21" t="s">
        <v>442</v>
      </c>
      <c r="V1855" s="22" t="s">
        <v>1910</v>
      </c>
      <c r="W1855" s="23">
        <v>2</v>
      </c>
      <c r="X1855" s="24"/>
    </row>
    <row r="1856" spans="1:24" s="1" customFormat="1" ht="35" customHeight="1" x14ac:dyDescent="0.3">
      <c r="A1856" s="25" t="s">
        <v>2731</v>
      </c>
      <c r="B1856" s="25" t="s">
        <v>2756</v>
      </c>
      <c r="C1856" s="12" t="s">
        <v>2761</v>
      </c>
      <c r="D1856" s="86"/>
      <c r="E1856" s="67" t="str">
        <f>HYPERLINK("https://www.google.ru/search?q=TB23WL09W1576-1-1002&amp;newwindow=1&amp;tbm=isch","Еще фото")</f>
        <v>Еще фото</v>
      </c>
      <c r="F1856" s="14"/>
      <c r="G1856" s="25" t="s">
        <v>2758</v>
      </c>
      <c r="H1856" s="25" t="s">
        <v>27</v>
      </c>
      <c r="I1856" s="25" t="s">
        <v>26</v>
      </c>
      <c r="J1856" s="15" t="s">
        <v>28</v>
      </c>
      <c r="K1856" s="16" t="s">
        <v>29</v>
      </c>
      <c r="L1856" s="88"/>
      <c r="M1856" s="15"/>
      <c r="N1856" s="15" t="s">
        <v>31</v>
      </c>
      <c r="O1856" s="15"/>
      <c r="P1856" s="16" t="s">
        <v>2763</v>
      </c>
      <c r="Q1856" s="17">
        <v>4399</v>
      </c>
      <c r="R1856" s="18">
        <v>75.27</v>
      </c>
      <c r="S1856" s="19">
        <v>1250.9354999999998</v>
      </c>
      <c r="T1856" s="20" t="s">
        <v>99</v>
      </c>
      <c r="U1856" s="21" t="s">
        <v>34</v>
      </c>
      <c r="V1856" s="22" t="s">
        <v>35</v>
      </c>
      <c r="W1856" s="23">
        <v>4</v>
      </c>
      <c r="X1856" s="24"/>
    </row>
    <row r="1857" spans="1:24" s="1" customFormat="1" ht="37.049999999999997" customHeight="1" x14ac:dyDescent="0.3">
      <c r="A1857" s="25" t="s">
        <v>2731</v>
      </c>
      <c r="B1857" s="25" t="s">
        <v>2756</v>
      </c>
      <c r="C1857" s="12" t="s">
        <v>2761</v>
      </c>
      <c r="D1857" s="87"/>
      <c r="E1857" s="67" t="str">
        <f>HYPERLINK("https://www.google.ru/search?q=TB23WL09W1576-1-1002&amp;newwindow=1&amp;tbm=isch","Еще фото")</f>
        <v>Еще фото</v>
      </c>
      <c r="F1857" s="14"/>
      <c r="G1857" s="25" t="s">
        <v>2758</v>
      </c>
      <c r="H1857" s="25" t="s">
        <v>27</v>
      </c>
      <c r="I1857" s="25" t="s">
        <v>26</v>
      </c>
      <c r="J1857" s="15" t="s">
        <v>28</v>
      </c>
      <c r="K1857" s="16" t="s">
        <v>29</v>
      </c>
      <c r="L1857" s="84"/>
      <c r="M1857" s="15"/>
      <c r="N1857" s="15" t="s">
        <v>31</v>
      </c>
      <c r="O1857" s="15"/>
      <c r="P1857" s="16" t="s">
        <v>2763</v>
      </c>
      <c r="Q1857" s="17">
        <v>4399</v>
      </c>
      <c r="R1857" s="18">
        <v>75.27</v>
      </c>
      <c r="S1857" s="19">
        <v>1250.9354999999998</v>
      </c>
      <c r="T1857" s="20" t="s">
        <v>99</v>
      </c>
      <c r="U1857" s="21" t="s">
        <v>52</v>
      </c>
      <c r="V1857" s="22" t="s">
        <v>53</v>
      </c>
      <c r="W1857" s="23">
        <v>1</v>
      </c>
      <c r="X1857" s="24"/>
    </row>
    <row r="1858" spans="1:24" s="1" customFormat="1" ht="108" customHeight="1" x14ac:dyDescent="0.3">
      <c r="A1858" s="11" t="s">
        <v>2731</v>
      </c>
      <c r="B1858" s="11" t="s">
        <v>2764</v>
      </c>
      <c r="C1858" s="12" t="s">
        <v>2765</v>
      </c>
      <c r="D1858" s="13"/>
      <c r="E1858" s="67" t="str">
        <f>HYPERLINK("https://www.google.ru/search?q=TB21WL05W8407-1-1464&amp;newwindow=1&amp;tbm=isch","Еще фото")</f>
        <v>Еще фото</v>
      </c>
      <c r="F1858" s="14"/>
      <c r="G1858" s="11" t="s">
        <v>2742</v>
      </c>
      <c r="H1858" s="11" t="s">
        <v>27</v>
      </c>
      <c r="I1858" s="15" t="s">
        <v>26</v>
      </c>
      <c r="J1858" s="15" t="s">
        <v>28</v>
      </c>
      <c r="K1858" s="16" t="s">
        <v>29</v>
      </c>
      <c r="L1858" s="15" t="s">
        <v>2766</v>
      </c>
      <c r="M1858" s="15" t="s">
        <v>61</v>
      </c>
      <c r="N1858" s="15" t="s">
        <v>122</v>
      </c>
      <c r="O1858" s="15" t="s">
        <v>400</v>
      </c>
      <c r="P1858" s="16" t="s">
        <v>2767</v>
      </c>
      <c r="Q1858" s="17">
        <v>2999</v>
      </c>
      <c r="R1858" s="18">
        <v>73.73</v>
      </c>
      <c r="S1858" s="26">
        <v>905.93549999999993</v>
      </c>
      <c r="T1858" s="20" t="s">
        <v>99</v>
      </c>
      <c r="U1858" s="21" t="s">
        <v>442</v>
      </c>
      <c r="V1858" s="22" t="s">
        <v>1910</v>
      </c>
      <c r="W1858" s="23">
        <v>6</v>
      </c>
      <c r="X1858" s="24"/>
    </row>
    <row r="1859" spans="1:24" s="1" customFormat="1" ht="108" customHeight="1" x14ac:dyDescent="0.3">
      <c r="A1859" s="11" t="s">
        <v>2731</v>
      </c>
      <c r="B1859" s="11" t="s">
        <v>2736</v>
      </c>
      <c r="C1859" s="12" t="s">
        <v>2768</v>
      </c>
      <c r="D1859" s="13"/>
      <c r="E1859" s="67" t="str">
        <f>HYPERLINK("https://www.google.ru/search?q=TB21WL05W8407-1-1359&amp;newwindow=1&amp;tbm=isch","Еще фото")</f>
        <v>Еще фото</v>
      </c>
      <c r="F1859" s="14"/>
      <c r="G1859" s="11" t="s">
        <v>2742</v>
      </c>
      <c r="H1859" s="11" t="s">
        <v>27</v>
      </c>
      <c r="I1859" s="15" t="s">
        <v>26</v>
      </c>
      <c r="J1859" s="15" t="s">
        <v>162</v>
      </c>
      <c r="K1859" s="16" t="s">
        <v>29</v>
      </c>
      <c r="L1859" s="15" t="s">
        <v>2769</v>
      </c>
      <c r="M1859" s="15" t="s">
        <v>61</v>
      </c>
      <c r="N1859" s="15" t="s">
        <v>55</v>
      </c>
      <c r="O1859" s="15"/>
      <c r="P1859" s="16" t="s">
        <v>2767</v>
      </c>
      <c r="Q1859" s="17">
        <v>3099</v>
      </c>
      <c r="R1859" s="18">
        <v>71.349999999999994</v>
      </c>
      <c r="S1859" s="26">
        <v>1020.9354999999999</v>
      </c>
      <c r="T1859" s="20" t="s">
        <v>99</v>
      </c>
      <c r="U1859" s="21" t="s">
        <v>442</v>
      </c>
      <c r="V1859" s="22" t="s">
        <v>1910</v>
      </c>
      <c r="W1859" s="23">
        <v>5</v>
      </c>
      <c r="X1859" s="24"/>
    </row>
    <row r="1860" spans="1:24" s="1" customFormat="1" ht="108" customHeight="1" x14ac:dyDescent="0.3">
      <c r="A1860" s="11" t="s">
        <v>2731</v>
      </c>
      <c r="B1860" s="11" t="s">
        <v>2756</v>
      </c>
      <c r="C1860" s="12" t="s">
        <v>2770</v>
      </c>
      <c r="D1860" s="13"/>
      <c r="E1860" s="67" t="str">
        <f>HYPERLINK("https://www.google.ru/search?q=TB24WG09S9711-1-1196&amp;newwindow=1&amp;tbm=isch","Еще фото")</f>
        <v>Еще фото</v>
      </c>
      <c r="F1860" s="14"/>
      <c r="G1860" s="11" t="s">
        <v>2758</v>
      </c>
      <c r="H1860" s="11" t="s">
        <v>27</v>
      </c>
      <c r="I1860" s="15" t="s">
        <v>26</v>
      </c>
      <c r="J1860" s="15" t="s">
        <v>28</v>
      </c>
      <c r="K1860" s="16" t="s">
        <v>29</v>
      </c>
      <c r="L1860" s="15" t="s">
        <v>2771</v>
      </c>
      <c r="M1860" s="15"/>
      <c r="N1860" s="15" t="s">
        <v>212</v>
      </c>
      <c r="O1860" s="15"/>
      <c r="P1860" s="16" t="s">
        <v>2772</v>
      </c>
      <c r="Q1860" s="17">
        <v>2699</v>
      </c>
      <c r="R1860" s="18">
        <v>64.88</v>
      </c>
      <c r="S1860" s="26">
        <v>1089.9354999999998</v>
      </c>
      <c r="T1860" s="20" t="s">
        <v>99</v>
      </c>
      <c r="U1860" s="21" t="s">
        <v>34</v>
      </c>
      <c r="V1860" s="22" t="s">
        <v>35</v>
      </c>
      <c r="W1860" s="23">
        <v>1</v>
      </c>
      <c r="X1860" s="24"/>
    </row>
    <row r="1861" spans="1:24" s="1" customFormat="1" ht="108" customHeight="1" x14ac:dyDescent="0.3">
      <c r="A1861" s="11" t="s">
        <v>2731</v>
      </c>
      <c r="B1861" s="11" t="s">
        <v>2756</v>
      </c>
      <c r="C1861" s="12" t="s">
        <v>2773</v>
      </c>
      <c r="D1861" s="13"/>
      <c r="E1861" s="67" t="str">
        <f>HYPERLINK("https://www.google.ru/search?q=TB24WG09S9711-1-1121&amp;newwindow=1&amp;tbm=isch","Еще фото")</f>
        <v>Еще фото</v>
      </c>
      <c r="F1861" s="14"/>
      <c r="G1861" s="11" t="s">
        <v>2758</v>
      </c>
      <c r="H1861" s="11" t="s">
        <v>27</v>
      </c>
      <c r="I1861" s="15" t="s">
        <v>26</v>
      </c>
      <c r="J1861" s="15" t="s">
        <v>28</v>
      </c>
      <c r="K1861" s="16" t="s">
        <v>29</v>
      </c>
      <c r="L1861" s="15" t="s">
        <v>2771</v>
      </c>
      <c r="M1861" s="15"/>
      <c r="N1861" s="15" t="s">
        <v>218</v>
      </c>
      <c r="O1861" s="15"/>
      <c r="P1861" s="16" t="s">
        <v>2772</v>
      </c>
      <c r="Q1861" s="17">
        <v>2699</v>
      </c>
      <c r="R1861" s="18">
        <v>61.18</v>
      </c>
      <c r="S1861" s="19">
        <v>1204.9354999999998</v>
      </c>
      <c r="T1861" s="20" t="s">
        <v>99</v>
      </c>
      <c r="U1861" s="21" t="s">
        <v>442</v>
      </c>
      <c r="V1861" s="22" t="s">
        <v>1910</v>
      </c>
      <c r="W1861" s="23">
        <v>1</v>
      </c>
      <c r="X1861" s="24"/>
    </row>
    <row r="1862" spans="1:24" s="1" customFormat="1" ht="108" customHeight="1" x14ac:dyDescent="0.3">
      <c r="A1862" s="11" t="s">
        <v>2731</v>
      </c>
      <c r="B1862" s="11" t="s">
        <v>2756</v>
      </c>
      <c r="C1862" s="12" t="s">
        <v>2774</v>
      </c>
      <c r="D1862" s="13"/>
      <c r="E1862" s="67" t="str">
        <f>HYPERLINK("https://www.google.ru/search?q=TB24WF09S9729-1-1002&amp;newwindow=1&amp;tbm=isch","Еще фото")</f>
        <v>Еще фото</v>
      </c>
      <c r="F1862" s="14"/>
      <c r="G1862" s="11" t="s">
        <v>2758</v>
      </c>
      <c r="H1862" s="11" t="s">
        <v>27</v>
      </c>
      <c r="I1862" s="15" t="s">
        <v>26</v>
      </c>
      <c r="J1862" s="15" t="s">
        <v>28</v>
      </c>
      <c r="K1862" s="16" t="s">
        <v>29</v>
      </c>
      <c r="L1862" s="15" t="s">
        <v>2775</v>
      </c>
      <c r="M1862" s="15"/>
      <c r="N1862" s="15" t="s">
        <v>31</v>
      </c>
      <c r="O1862" s="15"/>
      <c r="P1862" s="16" t="s">
        <v>2760</v>
      </c>
      <c r="Q1862" s="17">
        <v>3999</v>
      </c>
      <c r="R1862" s="18">
        <v>59.8</v>
      </c>
      <c r="S1862" s="19">
        <v>1848.9354999999998</v>
      </c>
      <c r="T1862" s="20" t="s">
        <v>99</v>
      </c>
      <c r="U1862" s="21" t="s">
        <v>442</v>
      </c>
      <c r="V1862" s="22" t="s">
        <v>1910</v>
      </c>
      <c r="W1862" s="23">
        <v>2</v>
      </c>
      <c r="X1862" s="24"/>
    </row>
    <row r="1863" spans="1:24" s="1" customFormat="1" ht="108" customHeight="1" x14ac:dyDescent="0.3">
      <c r="A1863" s="11" t="s">
        <v>2731</v>
      </c>
      <c r="B1863" s="11" t="s">
        <v>2732</v>
      </c>
      <c r="C1863" s="12" t="s">
        <v>2776</v>
      </c>
      <c r="D1863" s="13"/>
      <c r="E1863" s="67" t="str">
        <f>HYPERLINK("https://www.google.ru/search?q=TB22ML05S0308-1-1061&amp;newwindow=1&amp;tbm=isch","Еще фото")</f>
        <v>Еще фото</v>
      </c>
      <c r="F1863" s="14"/>
      <c r="G1863" s="11" t="s">
        <v>26</v>
      </c>
      <c r="H1863" s="11" t="s">
        <v>27</v>
      </c>
      <c r="I1863" s="15" t="s">
        <v>26</v>
      </c>
      <c r="J1863" s="15" t="s">
        <v>162</v>
      </c>
      <c r="K1863" s="16" t="s">
        <v>45</v>
      </c>
      <c r="L1863" s="15" t="s">
        <v>2777</v>
      </c>
      <c r="M1863" s="15" t="s">
        <v>61</v>
      </c>
      <c r="N1863" s="15" t="s">
        <v>218</v>
      </c>
      <c r="O1863" s="15"/>
      <c r="P1863" s="16" t="s">
        <v>2778</v>
      </c>
      <c r="Q1863" s="17">
        <v>3899</v>
      </c>
      <c r="R1863" s="18">
        <v>57.74</v>
      </c>
      <c r="S1863" s="19">
        <v>1894.9354999999998</v>
      </c>
      <c r="T1863" s="20" t="s">
        <v>99</v>
      </c>
      <c r="U1863" s="21" t="s">
        <v>40</v>
      </c>
      <c r="V1863" s="22" t="s">
        <v>48</v>
      </c>
      <c r="W1863" s="23">
        <v>1</v>
      </c>
      <c r="X1863" s="24"/>
    </row>
    <row r="1864" spans="1:24" s="1" customFormat="1" ht="108" customHeight="1" x14ac:dyDescent="0.3">
      <c r="A1864" s="11" t="s">
        <v>2731</v>
      </c>
      <c r="B1864" s="11" t="s">
        <v>2779</v>
      </c>
      <c r="C1864" s="12" t="s">
        <v>2780</v>
      </c>
      <c r="D1864" s="13"/>
      <c r="E1864" s="67" t="str">
        <f>HYPERLINK("https://www.google.ru/search?q=TB22ML05W0492-1-1002&amp;newwindow=1&amp;tbm=isch","Еще фото")</f>
        <v>Еще фото</v>
      </c>
      <c r="F1864" s="14"/>
      <c r="G1864" s="11" t="s">
        <v>2742</v>
      </c>
      <c r="H1864" s="11" t="s">
        <v>27</v>
      </c>
      <c r="I1864" s="15" t="s">
        <v>26</v>
      </c>
      <c r="J1864" s="15" t="s">
        <v>162</v>
      </c>
      <c r="K1864" s="16" t="s">
        <v>45</v>
      </c>
      <c r="L1864" s="15" t="s">
        <v>2781</v>
      </c>
      <c r="M1864" s="15"/>
      <c r="N1864" s="15" t="s">
        <v>31</v>
      </c>
      <c r="O1864" s="15" t="s">
        <v>2523</v>
      </c>
      <c r="P1864" s="16" t="s">
        <v>2767</v>
      </c>
      <c r="Q1864" s="17">
        <v>4299</v>
      </c>
      <c r="R1864" s="18">
        <v>56.32</v>
      </c>
      <c r="S1864" s="19">
        <v>2159.4354999999996</v>
      </c>
      <c r="T1864" s="20" t="s">
        <v>99</v>
      </c>
      <c r="U1864" s="21" t="s">
        <v>40</v>
      </c>
      <c r="V1864" s="22" t="s">
        <v>48</v>
      </c>
      <c r="W1864" s="23">
        <v>1</v>
      </c>
      <c r="X1864" s="24"/>
    </row>
    <row r="1865" spans="1:24" s="1" customFormat="1" ht="108" customHeight="1" x14ac:dyDescent="0.3">
      <c r="A1865" s="11" t="s">
        <v>2731</v>
      </c>
      <c r="B1865" s="11" t="s">
        <v>2736</v>
      </c>
      <c r="C1865" s="12" t="s">
        <v>2782</v>
      </c>
      <c r="D1865" s="13"/>
      <c r="E1865" s="67" t="str">
        <f>HYPERLINK("https://www.google.ru/search?q=TB21WL05W8407-1-1672&amp;newwindow=1&amp;tbm=isch","Еще фото")</f>
        <v>Еще фото</v>
      </c>
      <c r="F1865" s="14"/>
      <c r="G1865" s="11" t="s">
        <v>2742</v>
      </c>
      <c r="H1865" s="11" t="s">
        <v>27</v>
      </c>
      <c r="I1865" s="15" t="s">
        <v>26</v>
      </c>
      <c r="J1865" s="15" t="s">
        <v>162</v>
      </c>
      <c r="K1865" s="16" t="s">
        <v>29</v>
      </c>
      <c r="L1865" s="15" t="s">
        <v>2769</v>
      </c>
      <c r="M1865" s="15" t="s">
        <v>61</v>
      </c>
      <c r="N1865" s="15" t="s">
        <v>225</v>
      </c>
      <c r="O1865" s="15"/>
      <c r="P1865" s="16" t="s">
        <v>2783</v>
      </c>
      <c r="Q1865" s="17">
        <v>3099</v>
      </c>
      <c r="R1865" s="18">
        <v>54.9</v>
      </c>
      <c r="S1865" s="19">
        <v>1607.4354999999998</v>
      </c>
      <c r="T1865" s="20" t="s">
        <v>99</v>
      </c>
      <c r="U1865" s="21" t="s">
        <v>52</v>
      </c>
      <c r="V1865" s="22" t="s">
        <v>53</v>
      </c>
      <c r="W1865" s="23">
        <v>1</v>
      </c>
      <c r="X1865" s="24"/>
    </row>
    <row r="1866" spans="1:24" s="1" customFormat="1" ht="108" customHeight="1" x14ac:dyDescent="0.3">
      <c r="A1866" s="11" t="s">
        <v>2784</v>
      </c>
      <c r="B1866" s="11" t="s">
        <v>2785</v>
      </c>
      <c r="C1866" s="12" t="s">
        <v>2786</v>
      </c>
      <c r="D1866" s="13"/>
      <c r="E1866" s="67" t="str">
        <f>HYPERLINK("https://www.google.ru/search?q=101990045&amp;newwindow=1&amp;tbm=isch","Еще фото")</f>
        <v>Еще фото</v>
      </c>
      <c r="F1866" s="14"/>
      <c r="G1866" s="11" t="s">
        <v>26</v>
      </c>
      <c r="H1866" s="11" t="s">
        <v>27</v>
      </c>
      <c r="I1866" s="15" t="s">
        <v>26</v>
      </c>
      <c r="J1866" s="15" t="s">
        <v>28</v>
      </c>
      <c r="K1866" s="16" t="s">
        <v>29</v>
      </c>
      <c r="L1866" s="15"/>
      <c r="M1866" s="15"/>
      <c r="N1866" s="15" t="s">
        <v>212</v>
      </c>
      <c r="O1866" s="15"/>
      <c r="P1866" s="16" t="s">
        <v>2787</v>
      </c>
      <c r="Q1866" s="17">
        <v>6999</v>
      </c>
      <c r="R1866" s="18">
        <v>45</v>
      </c>
      <c r="S1866" s="19">
        <v>4426.8674999999994</v>
      </c>
      <c r="T1866" s="20" t="s">
        <v>99</v>
      </c>
      <c r="U1866" s="21" t="s">
        <v>52</v>
      </c>
      <c r="V1866" s="22" t="s">
        <v>41</v>
      </c>
      <c r="W1866" s="23">
        <v>1</v>
      </c>
      <c r="X1866" s="24"/>
    </row>
    <row r="1867" spans="1:24" s="1" customFormat="1" ht="14" customHeight="1" x14ac:dyDescent="0.3">
      <c r="A1867" s="11" t="s">
        <v>2784</v>
      </c>
      <c r="B1867" s="11" t="s">
        <v>2788</v>
      </c>
      <c r="C1867" s="12" t="s">
        <v>2789</v>
      </c>
      <c r="D1867" s="85"/>
      <c r="E1867" s="67" t="str">
        <f t="shared" ref="E1867:E1873" si="24">HYPERLINK("https://www.google.ru/search?q=101386026&amp;newwindow=1&amp;tbm=isch","Еще фото")</f>
        <v>Еще фото</v>
      </c>
      <c r="F1867" s="14"/>
      <c r="G1867" s="11" t="s">
        <v>92</v>
      </c>
      <c r="H1867" s="11" t="s">
        <v>93</v>
      </c>
      <c r="I1867" s="15" t="s">
        <v>94</v>
      </c>
      <c r="J1867" s="15" t="s">
        <v>28</v>
      </c>
      <c r="K1867" s="16" t="s">
        <v>29</v>
      </c>
      <c r="L1867" s="83"/>
      <c r="M1867" s="15"/>
      <c r="N1867" s="15" t="s">
        <v>225</v>
      </c>
      <c r="O1867" s="15"/>
      <c r="P1867" s="16" t="s">
        <v>2790</v>
      </c>
      <c r="Q1867" s="17">
        <v>13999</v>
      </c>
      <c r="R1867" s="18">
        <v>45</v>
      </c>
      <c r="S1867" s="19">
        <v>8854.3674999999985</v>
      </c>
      <c r="T1867" s="20" t="s">
        <v>99</v>
      </c>
      <c r="U1867" s="21" t="s">
        <v>214</v>
      </c>
      <c r="V1867" s="23">
        <v>34</v>
      </c>
      <c r="W1867" s="23">
        <v>1</v>
      </c>
      <c r="X1867" s="24"/>
    </row>
    <row r="1868" spans="1:24" s="1" customFormat="1" ht="14" customHeight="1" x14ac:dyDescent="0.3">
      <c r="A1868" s="25" t="s">
        <v>2784</v>
      </c>
      <c r="B1868" s="25" t="s">
        <v>2788</v>
      </c>
      <c r="C1868" s="12" t="s">
        <v>2789</v>
      </c>
      <c r="D1868" s="86"/>
      <c r="E1868" s="67" t="str">
        <f t="shared" si="24"/>
        <v>Еще фото</v>
      </c>
      <c r="F1868" s="14"/>
      <c r="G1868" s="25" t="s">
        <v>92</v>
      </c>
      <c r="H1868" s="25" t="s">
        <v>93</v>
      </c>
      <c r="I1868" s="25" t="s">
        <v>94</v>
      </c>
      <c r="J1868" s="15" t="s">
        <v>28</v>
      </c>
      <c r="K1868" s="16" t="s">
        <v>29</v>
      </c>
      <c r="L1868" s="88"/>
      <c r="M1868" s="15"/>
      <c r="N1868" s="15" t="s">
        <v>225</v>
      </c>
      <c r="O1868" s="15"/>
      <c r="P1868" s="16" t="s">
        <v>2790</v>
      </c>
      <c r="Q1868" s="17">
        <v>13999</v>
      </c>
      <c r="R1868" s="18">
        <v>45</v>
      </c>
      <c r="S1868" s="19">
        <v>8854.3674999999985</v>
      </c>
      <c r="T1868" s="20" t="s">
        <v>99</v>
      </c>
      <c r="U1868" s="21" t="s">
        <v>894</v>
      </c>
      <c r="V1868" s="23">
        <v>35</v>
      </c>
      <c r="W1868" s="23">
        <v>7</v>
      </c>
      <c r="X1868" s="24"/>
    </row>
    <row r="1869" spans="1:24" s="1" customFormat="1" ht="14" customHeight="1" x14ac:dyDescent="0.3">
      <c r="A1869" s="25" t="s">
        <v>2784</v>
      </c>
      <c r="B1869" s="25" t="s">
        <v>2788</v>
      </c>
      <c r="C1869" s="12" t="s">
        <v>2789</v>
      </c>
      <c r="D1869" s="86"/>
      <c r="E1869" s="67" t="str">
        <f t="shared" si="24"/>
        <v>Еще фото</v>
      </c>
      <c r="F1869" s="14"/>
      <c r="G1869" s="25" t="s">
        <v>92</v>
      </c>
      <c r="H1869" s="25" t="s">
        <v>93</v>
      </c>
      <c r="I1869" s="25" t="s">
        <v>94</v>
      </c>
      <c r="J1869" s="15" t="s">
        <v>28</v>
      </c>
      <c r="K1869" s="16" t="s">
        <v>29</v>
      </c>
      <c r="L1869" s="88"/>
      <c r="M1869" s="15"/>
      <c r="N1869" s="15" t="s">
        <v>225</v>
      </c>
      <c r="O1869" s="15"/>
      <c r="P1869" s="16" t="s">
        <v>2790</v>
      </c>
      <c r="Q1869" s="17">
        <v>13999</v>
      </c>
      <c r="R1869" s="18">
        <v>45</v>
      </c>
      <c r="S1869" s="19">
        <v>8854.3674999999985</v>
      </c>
      <c r="T1869" s="20" t="s">
        <v>99</v>
      </c>
      <c r="U1869" s="21" t="s">
        <v>170</v>
      </c>
      <c r="V1869" s="23">
        <v>36</v>
      </c>
      <c r="W1869" s="23">
        <v>12</v>
      </c>
      <c r="X1869" s="24"/>
    </row>
    <row r="1870" spans="1:24" s="1" customFormat="1" ht="14" customHeight="1" x14ac:dyDescent="0.3">
      <c r="A1870" s="25" t="s">
        <v>2784</v>
      </c>
      <c r="B1870" s="25" t="s">
        <v>2788</v>
      </c>
      <c r="C1870" s="12" t="s">
        <v>2789</v>
      </c>
      <c r="D1870" s="86"/>
      <c r="E1870" s="67" t="str">
        <f t="shared" si="24"/>
        <v>Еще фото</v>
      </c>
      <c r="F1870" s="14"/>
      <c r="G1870" s="25" t="s">
        <v>92</v>
      </c>
      <c r="H1870" s="25" t="s">
        <v>93</v>
      </c>
      <c r="I1870" s="25" t="s">
        <v>94</v>
      </c>
      <c r="J1870" s="15" t="s">
        <v>28</v>
      </c>
      <c r="K1870" s="16" t="s">
        <v>29</v>
      </c>
      <c r="L1870" s="88"/>
      <c r="M1870" s="15"/>
      <c r="N1870" s="15" t="s">
        <v>225</v>
      </c>
      <c r="O1870" s="15"/>
      <c r="P1870" s="16" t="s">
        <v>2790</v>
      </c>
      <c r="Q1870" s="17">
        <v>13999</v>
      </c>
      <c r="R1870" s="18">
        <v>45</v>
      </c>
      <c r="S1870" s="19">
        <v>8854.3674999999985</v>
      </c>
      <c r="T1870" s="20" t="s">
        <v>99</v>
      </c>
      <c r="U1870" s="21" t="s">
        <v>202</v>
      </c>
      <c r="V1870" s="23">
        <v>37</v>
      </c>
      <c r="W1870" s="23">
        <v>19</v>
      </c>
      <c r="X1870" s="24"/>
    </row>
    <row r="1871" spans="1:24" s="1" customFormat="1" ht="14" customHeight="1" x14ac:dyDescent="0.3">
      <c r="A1871" s="25" t="s">
        <v>2784</v>
      </c>
      <c r="B1871" s="25" t="s">
        <v>2788</v>
      </c>
      <c r="C1871" s="12" t="s">
        <v>2789</v>
      </c>
      <c r="D1871" s="86"/>
      <c r="E1871" s="67" t="str">
        <f t="shared" si="24"/>
        <v>Еще фото</v>
      </c>
      <c r="F1871" s="14"/>
      <c r="G1871" s="25" t="s">
        <v>92</v>
      </c>
      <c r="H1871" s="25" t="s">
        <v>93</v>
      </c>
      <c r="I1871" s="25" t="s">
        <v>94</v>
      </c>
      <c r="J1871" s="15" t="s">
        <v>28</v>
      </c>
      <c r="K1871" s="16" t="s">
        <v>29</v>
      </c>
      <c r="L1871" s="88"/>
      <c r="M1871" s="15"/>
      <c r="N1871" s="15" t="s">
        <v>225</v>
      </c>
      <c r="O1871" s="15"/>
      <c r="P1871" s="16" t="s">
        <v>2790</v>
      </c>
      <c r="Q1871" s="17">
        <v>13999</v>
      </c>
      <c r="R1871" s="18">
        <v>45</v>
      </c>
      <c r="S1871" s="19">
        <v>8854.3674999999985</v>
      </c>
      <c r="T1871" s="20" t="s">
        <v>99</v>
      </c>
      <c r="U1871" s="21" t="s">
        <v>175</v>
      </c>
      <c r="V1871" s="23">
        <v>38</v>
      </c>
      <c r="W1871" s="23">
        <v>12</v>
      </c>
      <c r="X1871" s="24"/>
    </row>
    <row r="1872" spans="1:24" s="1" customFormat="1" ht="14" customHeight="1" x14ac:dyDescent="0.3">
      <c r="A1872" s="25" t="s">
        <v>2784</v>
      </c>
      <c r="B1872" s="25" t="s">
        <v>2788</v>
      </c>
      <c r="C1872" s="12" t="s">
        <v>2789</v>
      </c>
      <c r="D1872" s="86"/>
      <c r="E1872" s="67" t="str">
        <f t="shared" si="24"/>
        <v>Еще фото</v>
      </c>
      <c r="F1872" s="14"/>
      <c r="G1872" s="25" t="s">
        <v>92</v>
      </c>
      <c r="H1872" s="25" t="s">
        <v>93</v>
      </c>
      <c r="I1872" s="25" t="s">
        <v>94</v>
      </c>
      <c r="J1872" s="15" t="s">
        <v>28</v>
      </c>
      <c r="K1872" s="16" t="s">
        <v>29</v>
      </c>
      <c r="L1872" s="88"/>
      <c r="M1872" s="15"/>
      <c r="N1872" s="15" t="s">
        <v>225</v>
      </c>
      <c r="O1872" s="15"/>
      <c r="P1872" s="16" t="s">
        <v>2790</v>
      </c>
      <c r="Q1872" s="17">
        <v>13999</v>
      </c>
      <c r="R1872" s="18">
        <v>45</v>
      </c>
      <c r="S1872" s="19">
        <v>8854.3674999999985</v>
      </c>
      <c r="T1872" s="20" t="s">
        <v>99</v>
      </c>
      <c r="U1872" s="21" t="s">
        <v>100</v>
      </c>
      <c r="V1872" s="23">
        <v>39</v>
      </c>
      <c r="W1872" s="23">
        <v>5</v>
      </c>
      <c r="X1872" s="24"/>
    </row>
    <row r="1873" spans="1:24" s="1" customFormat="1" ht="17" customHeight="1" x14ac:dyDescent="0.3">
      <c r="A1873" s="25" t="s">
        <v>2784</v>
      </c>
      <c r="B1873" s="25" t="s">
        <v>2788</v>
      </c>
      <c r="C1873" s="12" t="s">
        <v>2789</v>
      </c>
      <c r="D1873" s="87"/>
      <c r="E1873" s="67" t="str">
        <f t="shared" si="24"/>
        <v>Еще фото</v>
      </c>
      <c r="F1873" s="14"/>
      <c r="G1873" s="25" t="s">
        <v>92</v>
      </c>
      <c r="H1873" s="25" t="s">
        <v>93</v>
      </c>
      <c r="I1873" s="25" t="s">
        <v>94</v>
      </c>
      <c r="J1873" s="15" t="s">
        <v>28</v>
      </c>
      <c r="K1873" s="16" t="s">
        <v>29</v>
      </c>
      <c r="L1873" s="84"/>
      <c r="M1873" s="15"/>
      <c r="N1873" s="15" t="s">
        <v>225</v>
      </c>
      <c r="O1873" s="15"/>
      <c r="P1873" s="16" t="s">
        <v>2790</v>
      </c>
      <c r="Q1873" s="17">
        <v>13999</v>
      </c>
      <c r="R1873" s="18">
        <v>45</v>
      </c>
      <c r="S1873" s="19">
        <v>8854.3674999999985</v>
      </c>
      <c r="T1873" s="20" t="s">
        <v>99</v>
      </c>
      <c r="U1873" s="21" t="s">
        <v>235</v>
      </c>
      <c r="V1873" s="23">
        <v>40</v>
      </c>
      <c r="W1873" s="23">
        <v>1</v>
      </c>
      <c r="X1873" s="24"/>
    </row>
    <row r="1874" spans="1:24" s="1" customFormat="1" ht="17" customHeight="1" x14ac:dyDescent="0.3">
      <c r="A1874" s="11" t="s">
        <v>2784</v>
      </c>
      <c r="B1874" s="11" t="s">
        <v>2791</v>
      </c>
      <c r="C1874" s="12" t="s">
        <v>2792</v>
      </c>
      <c r="D1874" s="85"/>
      <c r="E1874" s="67" t="str">
        <f t="shared" ref="E1874:E1879" si="25">HYPERLINK("https://www.google.ru/search?q=101681942&amp;newwindow=1&amp;tbm=isch","Еще фото")</f>
        <v>Еще фото</v>
      </c>
      <c r="F1874" s="14"/>
      <c r="G1874" s="11" t="s">
        <v>92</v>
      </c>
      <c r="H1874" s="11" t="s">
        <v>93</v>
      </c>
      <c r="I1874" s="15" t="s">
        <v>94</v>
      </c>
      <c r="J1874" s="15" t="s">
        <v>28</v>
      </c>
      <c r="K1874" s="16" t="s">
        <v>29</v>
      </c>
      <c r="L1874" s="83"/>
      <c r="M1874" s="15"/>
      <c r="N1874" s="15" t="s">
        <v>2793</v>
      </c>
      <c r="O1874" s="15"/>
      <c r="P1874" s="16" t="s">
        <v>2794</v>
      </c>
      <c r="Q1874" s="17">
        <v>14999</v>
      </c>
      <c r="R1874" s="18">
        <v>45</v>
      </c>
      <c r="S1874" s="19">
        <v>9486.8675000000003</v>
      </c>
      <c r="T1874" s="20" t="s">
        <v>99</v>
      </c>
      <c r="U1874" s="21" t="s">
        <v>894</v>
      </c>
      <c r="V1874" s="23">
        <v>35</v>
      </c>
      <c r="W1874" s="23">
        <v>3</v>
      </c>
      <c r="X1874" s="24"/>
    </row>
    <row r="1875" spans="1:24" s="1" customFormat="1" ht="17" customHeight="1" x14ac:dyDescent="0.3">
      <c r="A1875" s="25" t="s">
        <v>2784</v>
      </c>
      <c r="B1875" s="25" t="s">
        <v>2791</v>
      </c>
      <c r="C1875" s="12" t="s">
        <v>2792</v>
      </c>
      <c r="D1875" s="86"/>
      <c r="E1875" s="67" t="str">
        <f t="shared" si="25"/>
        <v>Еще фото</v>
      </c>
      <c r="F1875" s="14"/>
      <c r="G1875" s="25" t="s">
        <v>92</v>
      </c>
      <c r="H1875" s="25" t="s">
        <v>93</v>
      </c>
      <c r="I1875" s="25" t="s">
        <v>94</v>
      </c>
      <c r="J1875" s="15" t="s">
        <v>28</v>
      </c>
      <c r="K1875" s="16" t="s">
        <v>29</v>
      </c>
      <c r="L1875" s="88"/>
      <c r="M1875" s="15"/>
      <c r="N1875" s="15" t="s">
        <v>2793</v>
      </c>
      <c r="O1875" s="15"/>
      <c r="P1875" s="16" t="s">
        <v>2794</v>
      </c>
      <c r="Q1875" s="17">
        <v>14999</v>
      </c>
      <c r="R1875" s="18">
        <v>45</v>
      </c>
      <c r="S1875" s="19">
        <v>9486.8675000000003</v>
      </c>
      <c r="T1875" s="20" t="s">
        <v>99</v>
      </c>
      <c r="U1875" s="21" t="s">
        <v>170</v>
      </c>
      <c r="V1875" s="23">
        <v>36</v>
      </c>
      <c r="W1875" s="23">
        <v>10</v>
      </c>
      <c r="X1875" s="24"/>
    </row>
    <row r="1876" spans="1:24" s="1" customFormat="1" ht="17" customHeight="1" x14ac:dyDescent="0.3">
      <c r="A1876" s="25" t="s">
        <v>2784</v>
      </c>
      <c r="B1876" s="25" t="s">
        <v>2791</v>
      </c>
      <c r="C1876" s="12" t="s">
        <v>2792</v>
      </c>
      <c r="D1876" s="86"/>
      <c r="E1876" s="67" t="str">
        <f t="shared" si="25"/>
        <v>Еще фото</v>
      </c>
      <c r="F1876" s="14"/>
      <c r="G1876" s="25" t="s">
        <v>92</v>
      </c>
      <c r="H1876" s="25" t="s">
        <v>93</v>
      </c>
      <c r="I1876" s="25" t="s">
        <v>94</v>
      </c>
      <c r="J1876" s="15" t="s">
        <v>28</v>
      </c>
      <c r="K1876" s="16" t="s">
        <v>29</v>
      </c>
      <c r="L1876" s="88"/>
      <c r="M1876" s="15"/>
      <c r="N1876" s="15" t="s">
        <v>2793</v>
      </c>
      <c r="O1876" s="15"/>
      <c r="P1876" s="16" t="s">
        <v>2794</v>
      </c>
      <c r="Q1876" s="17">
        <v>14999</v>
      </c>
      <c r="R1876" s="18">
        <v>45</v>
      </c>
      <c r="S1876" s="19">
        <v>9486.8675000000003</v>
      </c>
      <c r="T1876" s="20" t="s">
        <v>99</v>
      </c>
      <c r="U1876" s="21" t="s">
        <v>202</v>
      </c>
      <c r="V1876" s="23">
        <v>37</v>
      </c>
      <c r="W1876" s="23">
        <v>14</v>
      </c>
      <c r="X1876" s="24"/>
    </row>
    <row r="1877" spans="1:24" s="1" customFormat="1" ht="17" customHeight="1" x14ac:dyDescent="0.3">
      <c r="A1877" s="25" t="s">
        <v>2784</v>
      </c>
      <c r="B1877" s="25" t="s">
        <v>2791</v>
      </c>
      <c r="C1877" s="12" t="s">
        <v>2792</v>
      </c>
      <c r="D1877" s="86"/>
      <c r="E1877" s="67" t="str">
        <f t="shared" si="25"/>
        <v>Еще фото</v>
      </c>
      <c r="F1877" s="14"/>
      <c r="G1877" s="25" t="s">
        <v>92</v>
      </c>
      <c r="H1877" s="25" t="s">
        <v>93</v>
      </c>
      <c r="I1877" s="25" t="s">
        <v>94</v>
      </c>
      <c r="J1877" s="15" t="s">
        <v>28</v>
      </c>
      <c r="K1877" s="16" t="s">
        <v>29</v>
      </c>
      <c r="L1877" s="88"/>
      <c r="M1877" s="15"/>
      <c r="N1877" s="15" t="s">
        <v>2793</v>
      </c>
      <c r="O1877" s="15"/>
      <c r="P1877" s="16" t="s">
        <v>2794</v>
      </c>
      <c r="Q1877" s="17">
        <v>14999</v>
      </c>
      <c r="R1877" s="18">
        <v>45</v>
      </c>
      <c r="S1877" s="19">
        <v>9486.8675000000003</v>
      </c>
      <c r="T1877" s="20" t="s">
        <v>99</v>
      </c>
      <c r="U1877" s="21" t="s">
        <v>175</v>
      </c>
      <c r="V1877" s="23">
        <v>38</v>
      </c>
      <c r="W1877" s="23">
        <v>15</v>
      </c>
      <c r="X1877" s="24"/>
    </row>
    <row r="1878" spans="1:24" s="1" customFormat="1" ht="17" customHeight="1" x14ac:dyDescent="0.3">
      <c r="A1878" s="25" t="s">
        <v>2784</v>
      </c>
      <c r="B1878" s="25" t="s">
        <v>2791</v>
      </c>
      <c r="C1878" s="12" t="s">
        <v>2792</v>
      </c>
      <c r="D1878" s="86"/>
      <c r="E1878" s="67" t="str">
        <f t="shared" si="25"/>
        <v>Еще фото</v>
      </c>
      <c r="F1878" s="14"/>
      <c r="G1878" s="25" t="s">
        <v>92</v>
      </c>
      <c r="H1878" s="25" t="s">
        <v>93</v>
      </c>
      <c r="I1878" s="25" t="s">
        <v>94</v>
      </c>
      <c r="J1878" s="15" t="s">
        <v>28</v>
      </c>
      <c r="K1878" s="16" t="s">
        <v>29</v>
      </c>
      <c r="L1878" s="88"/>
      <c r="M1878" s="15"/>
      <c r="N1878" s="15" t="s">
        <v>2793</v>
      </c>
      <c r="O1878" s="15"/>
      <c r="P1878" s="16" t="s">
        <v>2794</v>
      </c>
      <c r="Q1878" s="17">
        <v>14999</v>
      </c>
      <c r="R1878" s="18">
        <v>45</v>
      </c>
      <c r="S1878" s="19">
        <v>9486.8675000000003</v>
      </c>
      <c r="T1878" s="20" t="s">
        <v>99</v>
      </c>
      <c r="U1878" s="21" t="s">
        <v>100</v>
      </c>
      <c r="V1878" s="23">
        <v>39</v>
      </c>
      <c r="W1878" s="23">
        <v>10</v>
      </c>
      <c r="X1878" s="24"/>
    </row>
    <row r="1879" spans="1:24" s="1" customFormat="1" ht="22.05" customHeight="1" x14ac:dyDescent="0.3">
      <c r="A1879" s="25" t="s">
        <v>2784</v>
      </c>
      <c r="B1879" s="25" t="s">
        <v>2791</v>
      </c>
      <c r="C1879" s="12" t="s">
        <v>2792</v>
      </c>
      <c r="D1879" s="87"/>
      <c r="E1879" s="67" t="str">
        <f t="shared" si="25"/>
        <v>Еще фото</v>
      </c>
      <c r="F1879" s="14"/>
      <c r="G1879" s="25" t="s">
        <v>92</v>
      </c>
      <c r="H1879" s="25" t="s">
        <v>93</v>
      </c>
      <c r="I1879" s="25" t="s">
        <v>94</v>
      </c>
      <c r="J1879" s="15" t="s">
        <v>28</v>
      </c>
      <c r="K1879" s="16" t="s">
        <v>29</v>
      </c>
      <c r="L1879" s="84"/>
      <c r="M1879" s="15"/>
      <c r="N1879" s="15" t="s">
        <v>2793</v>
      </c>
      <c r="O1879" s="15"/>
      <c r="P1879" s="16" t="s">
        <v>2794</v>
      </c>
      <c r="Q1879" s="17">
        <v>14999</v>
      </c>
      <c r="R1879" s="18">
        <v>45</v>
      </c>
      <c r="S1879" s="19">
        <v>9486.8675000000003</v>
      </c>
      <c r="T1879" s="20" t="s">
        <v>99</v>
      </c>
      <c r="U1879" s="21" t="s">
        <v>235</v>
      </c>
      <c r="V1879" s="23">
        <v>40</v>
      </c>
      <c r="W1879" s="23">
        <v>3</v>
      </c>
      <c r="X1879" s="24"/>
    </row>
    <row r="1880" spans="1:24" s="1" customFormat="1" ht="14" customHeight="1" x14ac:dyDescent="0.3">
      <c r="A1880" s="11" t="s">
        <v>2784</v>
      </c>
      <c r="B1880" s="11" t="s">
        <v>2791</v>
      </c>
      <c r="C1880" s="12" t="s">
        <v>2795</v>
      </c>
      <c r="D1880" s="85"/>
      <c r="E1880" s="67" t="str">
        <f t="shared" ref="E1880:E1886" si="26">HYPERLINK("https://www.google.ru/search?q=101681980&amp;newwindow=1&amp;tbm=isch","Еще фото")</f>
        <v>Еще фото</v>
      </c>
      <c r="F1880" s="14"/>
      <c r="G1880" s="11" t="s">
        <v>92</v>
      </c>
      <c r="H1880" s="11" t="s">
        <v>93</v>
      </c>
      <c r="I1880" s="15" t="s">
        <v>94</v>
      </c>
      <c r="J1880" s="15" t="s">
        <v>28</v>
      </c>
      <c r="K1880" s="16" t="s">
        <v>29</v>
      </c>
      <c r="L1880" s="83"/>
      <c r="M1880" s="15"/>
      <c r="N1880" s="15" t="s">
        <v>38</v>
      </c>
      <c r="O1880" s="15"/>
      <c r="P1880" s="16" t="s">
        <v>2794</v>
      </c>
      <c r="Q1880" s="17">
        <v>14999</v>
      </c>
      <c r="R1880" s="18">
        <v>45</v>
      </c>
      <c r="S1880" s="19">
        <v>9486.8675000000003</v>
      </c>
      <c r="T1880" s="20" t="s">
        <v>99</v>
      </c>
      <c r="U1880" s="21" t="s">
        <v>214</v>
      </c>
      <c r="V1880" s="23">
        <v>34</v>
      </c>
      <c r="W1880" s="23">
        <v>2</v>
      </c>
      <c r="X1880" s="24"/>
    </row>
    <row r="1881" spans="1:24" s="1" customFormat="1" ht="14" customHeight="1" x14ac:dyDescent="0.3">
      <c r="A1881" s="25" t="s">
        <v>2784</v>
      </c>
      <c r="B1881" s="25" t="s">
        <v>2791</v>
      </c>
      <c r="C1881" s="12" t="s">
        <v>2795</v>
      </c>
      <c r="D1881" s="86"/>
      <c r="E1881" s="67" t="str">
        <f t="shared" si="26"/>
        <v>Еще фото</v>
      </c>
      <c r="F1881" s="14"/>
      <c r="G1881" s="25" t="s">
        <v>92</v>
      </c>
      <c r="H1881" s="25" t="s">
        <v>93</v>
      </c>
      <c r="I1881" s="25" t="s">
        <v>94</v>
      </c>
      <c r="J1881" s="15" t="s">
        <v>28</v>
      </c>
      <c r="K1881" s="16" t="s">
        <v>29</v>
      </c>
      <c r="L1881" s="88"/>
      <c r="M1881" s="15"/>
      <c r="N1881" s="15" t="s">
        <v>38</v>
      </c>
      <c r="O1881" s="15"/>
      <c r="P1881" s="16" t="s">
        <v>2794</v>
      </c>
      <c r="Q1881" s="17">
        <v>14999</v>
      </c>
      <c r="R1881" s="18">
        <v>45</v>
      </c>
      <c r="S1881" s="19">
        <v>9486.8675000000003</v>
      </c>
      <c r="T1881" s="20" t="s">
        <v>99</v>
      </c>
      <c r="U1881" s="21" t="s">
        <v>894</v>
      </c>
      <c r="V1881" s="23">
        <v>35</v>
      </c>
      <c r="W1881" s="23">
        <v>5</v>
      </c>
      <c r="X1881" s="24"/>
    </row>
    <row r="1882" spans="1:24" s="1" customFormat="1" ht="14" customHeight="1" x14ac:dyDescent="0.3">
      <c r="A1882" s="25" t="s">
        <v>2784</v>
      </c>
      <c r="B1882" s="25" t="s">
        <v>2791</v>
      </c>
      <c r="C1882" s="12" t="s">
        <v>2795</v>
      </c>
      <c r="D1882" s="86"/>
      <c r="E1882" s="67" t="str">
        <f t="shared" si="26"/>
        <v>Еще фото</v>
      </c>
      <c r="F1882" s="14"/>
      <c r="G1882" s="25" t="s">
        <v>92</v>
      </c>
      <c r="H1882" s="25" t="s">
        <v>93</v>
      </c>
      <c r="I1882" s="25" t="s">
        <v>94</v>
      </c>
      <c r="J1882" s="15" t="s">
        <v>28</v>
      </c>
      <c r="K1882" s="16" t="s">
        <v>29</v>
      </c>
      <c r="L1882" s="88"/>
      <c r="M1882" s="15"/>
      <c r="N1882" s="15" t="s">
        <v>38</v>
      </c>
      <c r="O1882" s="15"/>
      <c r="P1882" s="16" t="s">
        <v>2794</v>
      </c>
      <c r="Q1882" s="17">
        <v>14999</v>
      </c>
      <c r="R1882" s="18">
        <v>45</v>
      </c>
      <c r="S1882" s="19">
        <v>9486.8675000000003</v>
      </c>
      <c r="T1882" s="20" t="s">
        <v>99</v>
      </c>
      <c r="U1882" s="21" t="s">
        <v>170</v>
      </c>
      <c r="V1882" s="23">
        <v>36</v>
      </c>
      <c r="W1882" s="23">
        <v>7</v>
      </c>
      <c r="X1882" s="24"/>
    </row>
    <row r="1883" spans="1:24" s="1" customFormat="1" ht="14" customHeight="1" x14ac:dyDescent="0.3">
      <c r="A1883" s="25" t="s">
        <v>2784</v>
      </c>
      <c r="B1883" s="25" t="s">
        <v>2791</v>
      </c>
      <c r="C1883" s="12" t="s">
        <v>2795</v>
      </c>
      <c r="D1883" s="86"/>
      <c r="E1883" s="67" t="str">
        <f t="shared" si="26"/>
        <v>Еще фото</v>
      </c>
      <c r="F1883" s="14"/>
      <c r="G1883" s="25" t="s">
        <v>92</v>
      </c>
      <c r="H1883" s="25" t="s">
        <v>93</v>
      </c>
      <c r="I1883" s="25" t="s">
        <v>94</v>
      </c>
      <c r="J1883" s="15" t="s">
        <v>28</v>
      </c>
      <c r="K1883" s="16" t="s">
        <v>29</v>
      </c>
      <c r="L1883" s="88"/>
      <c r="M1883" s="15"/>
      <c r="N1883" s="15" t="s">
        <v>38</v>
      </c>
      <c r="O1883" s="15"/>
      <c r="P1883" s="16" t="s">
        <v>2794</v>
      </c>
      <c r="Q1883" s="17">
        <v>14999</v>
      </c>
      <c r="R1883" s="18">
        <v>45</v>
      </c>
      <c r="S1883" s="19">
        <v>9486.8675000000003</v>
      </c>
      <c r="T1883" s="20" t="s">
        <v>99</v>
      </c>
      <c r="U1883" s="21" t="s">
        <v>202</v>
      </c>
      <c r="V1883" s="23">
        <v>37</v>
      </c>
      <c r="W1883" s="23">
        <v>14</v>
      </c>
      <c r="X1883" s="24"/>
    </row>
    <row r="1884" spans="1:24" s="1" customFormat="1" ht="14" customHeight="1" x14ac:dyDescent="0.3">
      <c r="A1884" s="25" t="s">
        <v>2784</v>
      </c>
      <c r="B1884" s="25" t="s">
        <v>2791</v>
      </c>
      <c r="C1884" s="12" t="s">
        <v>2795</v>
      </c>
      <c r="D1884" s="86"/>
      <c r="E1884" s="67" t="str">
        <f t="shared" si="26"/>
        <v>Еще фото</v>
      </c>
      <c r="F1884" s="14"/>
      <c r="G1884" s="25" t="s">
        <v>92</v>
      </c>
      <c r="H1884" s="25" t="s">
        <v>93</v>
      </c>
      <c r="I1884" s="25" t="s">
        <v>94</v>
      </c>
      <c r="J1884" s="15" t="s">
        <v>28</v>
      </c>
      <c r="K1884" s="16" t="s">
        <v>29</v>
      </c>
      <c r="L1884" s="88"/>
      <c r="M1884" s="15"/>
      <c r="N1884" s="15" t="s">
        <v>38</v>
      </c>
      <c r="O1884" s="15"/>
      <c r="P1884" s="16" t="s">
        <v>2794</v>
      </c>
      <c r="Q1884" s="17">
        <v>14999</v>
      </c>
      <c r="R1884" s="18">
        <v>45</v>
      </c>
      <c r="S1884" s="19">
        <v>9486.8675000000003</v>
      </c>
      <c r="T1884" s="20" t="s">
        <v>99</v>
      </c>
      <c r="U1884" s="21" t="s">
        <v>175</v>
      </c>
      <c r="V1884" s="23">
        <v>38</v>
      </c>
      <c r="W1884" s="23">
        <v>8</v>
      </c>
      <c r="X1884" s="24"/>
    </row>
    <row r="1885" spans="1:24" s="1" customFormat="1" ht="14" customHeight="1" x14ac:dyDescent="0.3">
      <c r="A1885" s="25" t="s">
        <v>2784</v>
      </c>
      <c r="B1885" s="25" t="s">
        <v>2791</v>
      </c>
      <c r="C1885" s="12" t="s">
        <v>2795</v>
      </c>
      <c r="D1885" s="86"/>
      <c r="E1885" s="67" t="str">
        <f t="shared" si="26"/>
        <v>Еще фото</v>
      </c>
      <c r="F1885" s="14"/>
      <c r="G1885" s="25" t="s">
        <v>92</v>
      </c>
      <c r="H1885" s="25" t="s">
        <v>93</v>
      </c>
      <c r="I1885" s="25" t="s">
        <v>94</v>
      </c>
      <c r="J1885" s="15" t="s">
        <v>28</v>
      </c>
      <c r="K1885" s="16" t="s">
        <v>29</v>
      </c>
      <c r="L1885" s="88"/>
      <c r="M1885" s="15"/>
      <c r="N1885" s="15" t="s">
        <v>38</v>
      </c>
      <c r="O1885" s="15"/>
      <c r="P1885" s="16" t="s">
        <v>2794</v>
      </c>
      <c r="Q1885" s="17">
        <v>14999</v>
      </c>
      <c r="R1885" s="18">
        <v>45</v>
      </c>
      <c r="S1885" s="19">
        <v>9486.8675000000003</v>
      </c>
      <c r="T1885" s="20" t="s">
        <v>99</v>
      </c>
      <c r="U1885" s="21" t="s">
        <v>100</v>
      </c>
      <c r="V1885" s="23">
        <v>39</v>
      </c>
      <c r="W1885" s="23">
        <v>1</v>
      </c>
      <c r="X1885" s="24"/>
    </row>
    <row r="1886" spans="1:24" s="1" customFormat="1" ht="17" customHeight="1" x14ac:dyDescent="0.3">
      <c r="A1886" s="25" t="s">
        <v>2784</v>
      </c>
      <c r="B1886" s="25" t="s">
        <v>2791</v>
      </c>
      <c r="C1886" s="12" t="s">
        <v>2795</v>
      </c>
      <c r="D1886" s="87"/>
      <c r="E1886" s="67" t="str">
        <f t="shared" si="26"/>
        <v>Еще фото</v>
      </c>
      <c r="F1886" s="14"/>
      <c r="G1886" s="25" t="s">
        <v>92</v>
      </c>
      <c r="H1886" s="25" t="s">
        <v>93</v>
      </c>
      <c r="I1886" s="25" t="s">
        <v>94</v>
      </c>
      <c r="J1886" s="15" t="s">
        <v>28</v>
      </c>
      <c r="K1886" s="16" t="s">
        <v>29</v>
      </c>
      <c r="L1886" s="84"/>
      <c r="M1886" s="15"/>
      <c r="N1886" s="15" t="s">
        <v>38</v>
      </c>
      <c r="O1886" s="15"/>
      <c r="P1886" s="16" t="s">
        <v>2794</v>
      </c>
      <c r="Q1886" s="17">
        <v>14999</v>
      </c>
      <c r="R1886" s="18">
        <v>45</v>
      </c>
      <c r="S1886" s="19">
        <v>9486.8675000000003</v>
      </c>
      <c r="T1886" s="20" t="s">
        <v>99</v>
      </c>
      <c r="U1886" s="21" t="s">
        <v>235</v>
      </c>
      <c r="V1886" s="23">
        <v>40</v>
      </c>
      <c r="W1886" s="23">
        <v>1</v>
      </c>
      <c r="X1886" s="24"/>
    </row>
    <row r="1887" spans="1:24" s="1" customFormat="1" ht="17" customHeight="1" x14ac:dyDescent="0.3">
      <c r="A1887" s="11" t="s">
        <v>2784</v>
      </c>
      <c r="B1887" s="11" t="s">
        <v>2791</v>
      </c>
      <c r="C1887" s="12" t="s">
        <v>2796</v>
      </c>
      <c r="D1887" s="85"/>
      <c r="E1887" s="67" t="str">
        <f t="shared" ref="E1887:E1892" si="27">HYPERLINK("https://www.google.ru/search?q=101682024&amp;newwindow=1&amp;tbm=isch","Еще фото")</f>
        <v>Еще фото</v>
      </c>
      <c r="F1887" s="14"/>
      <c r="G1887" s="11" t="s">
        <v>92</v>
      </c>
      <c r="H1887" s="11" t="s">
        <v>93</v>
      </c>
      <c r="I1887" s="15" t="s">
        <v>94</v>
      </c>
      <c r="J1887" s="15" t="s">
        <v>28</v>
      </c>
      <c r="K1887" s="16" t="s">
        <v>29</v>
      </c>
      <c r="L1887" s="83"/>
      <c r="M1887" s="15"/>
      <c r="N1887" s="15" t="s">
        <v>225</v>
      </c>
      <c r="O1887" s="15"/>
      <c r="P1887" s="16" t="s">
        <v>2794</v>
      </c>
      <c r="Q1887" s="17">
        <v>14999</v>
      </c>
      <c r="R1887" s="18">
        <v>45</v>
      </c>
      <c r="S1887" s="19">
        <v>9486.8675000000003</v>
      </c>
      <c r="T1887" s="20" t="s">
        <v>99</v>
      </c>
      <c r="U1887" s="21" t="s">
        <v>214</v>
      </c>
      <c r="V1887" s="23">
        <v>34</v>
      </c>
      <c r="W1887" s="23">
        <v>1</v>
      </c>
      <c r="X1887" s="24"/>
    </row>
    <row r="1888" spans="1:24" s="1" customFormat="1" ht="17" customHeight="1" x14ac:dyDescent="0.3">
      <c r="A1888" s="25" t="s">
        <v>2784</v>
      </c>
      <c r="B1888" s="25" t="s">
        <v>2791</v>
      </c>
      <c r="C1888" s="12" t="s">
        <v>2796</v>
      </c>
      <c r="D1888" s="86"/>
      <c r="E1888" s="67" t="str">
        <f t="shared" si="27"/>
        <v>Еще фото</v>
      </c>
      <c r="F1888" s="14"/>
      <c r="G1888" s="25" t="s">
        <v>92</v>
      </c>
      <c r="H1888" s="25" t="s">
        <v>93</v>
      </c>
      <c r="I1888" s="25" t="s">
        <v>94</v>
      </c>
      <c r="J1888" s="15" t="s">
        <v>28</v>
      </c>
      <c r="K1888" s="16" t="s">
        <v>29</v>
      </c>
      <c r="L1888" s="88"/>
      <c r="M1888" s="15"/>
      <c r="N1888" s="15" t="s">
        <v>225</v>
      </c>
      <c r="O1888" s="15"/>
      <c r="P1888" s="16" t="s">
        <v>2794</v>
      </c>
      <c r="Q1888" s="17">
        <v>14999</v>
      </c>
      <c r="R1888" s="18">
        <v>45</v>
      </c>
      <c r="S1888" s="19">
        <v>9486.8675000000003</v>
      </c>
      <c r="T1888" s="20" t="s">
        <v>99</v>
      </c>
      <c r="U1888" s="21" t="s">
        <v>894</v>
      </c>
      <c r="V1888" s="23">
        <v>35</v>
      </c>
      <c r="W1888" s="23">
        <v>5</v>
      </c>
      <c r="X1888" s="24"/>
    </row>
    <row r="1889" spans="1:24" s="1" customFormat="1" ht="17" customHeight="1" x14ac:dyDescent="0.3">
      <c r="A1889" s="25" t="s">
        <v>2784</v>
      </c>
      <c r="B1889" s="25" t="s">
        <v>2791</v>
      </c>
      <c r="C1889" s="12" t="s">
        <v>2796</v>
      </c>
      <c r="D1889" s="86"/>
      <c r="E1889" s="67" t="str">
        <f t="shared" si="27"/>
        <v>Еще фото</v>
      </c>
      <c r="F1889" s="14"/>
      <c r="G1889" s="25" t="s">
        <v>92</v>
      </c>
      <c r="H1889" s="25" t="s">
        <v>93</v>
      </c>
      <c r="I1889" s="25" t="s">
        <v>94</v>
      </c>
      <c r="J1889" s="15" t="s">
        <v>28</v>
      </c>
      <c r="K1889" s="16" t="s">
        <v>29</v>
      </c>
      <c r="L1889" s="88"/>
      <c r="M1889" s="15"/>
      <c r="N1889" s="15" t="s">
        <v>225</v>
      </c>
      <c r="O1889" s="15"/>
      <c r="P1889" s="16" t="s">
        <v>2794</v>
      </c>
      <c r="Q1889" s="17">
        <v>14999</v>
      </c>
      <c r="R1889" s="18">
        <v>45</v>
      </c>
      <c r="S1889" s="19">
        <v>9486.8675000000003</v>
      </c>
      <c r="T1889" s="20" t="s">
        <v>99</v>
      </c>
      <c r="U1889" s="21" t="s">
        <v>170</v>
      </c>
      <c r="V1889" s="23">
        <v>36</v>
      </c>
      <c r="W1889" s="23">
        <v>7</v>
      </c>
      <c r="X1889" s="24"/>
    </row>
    <row r="1890" spans="1:24" s="1" customFormat="1" ht="17" customHeight="1" x14ac:dyDescent="0.3">
      <c r="A1890" s="25" t="s">
        <v>2784</v>
      </c>
      <c r="B1890" s="25" t="s">
        <v>2791</v>
      </c>
      <c r="C1890" s="12" t="s">
        <v>2796</v>
      </c>
      <c r="D1890" s="86"/>
      <c r="E1890" s="67" t="str">
        <f t="shared" si="27"/>
        <v>Еще фото</v>
      </c>
      <c r="F1890" s="14"/>
      <c r="G1890" s="25" t="s">
        <v>92</v>
      </c>
      <c r="H1890" s="25" t="s">
        <v>93</v>
      </c>
      <c r="I1890" s="25" t="s">
        <v>94</v>
      </c>
      <c r="J1890" s="15" t="s">
        <v>28</v>
      </c>
      <c r="K1890" s="16" t="s">
        <v>29</v>
      </c>
      <c r="L1890" s="88"/>
      <c r="M1890" s="15"/>
      <c r="N1890" s="15" t="s">
        <v>225</v>
      </c>
      <c r="O1890" s="15"/>
      <c r="P1890" s="16" t="s">
        <v>2794</v>
      </c>
      <c r="Q1890" s="17">
        <v>14999</v>
      </c>
      <c r="R1890" s="18">
        <v>45</v>
      </c>
      <c r="S1890" s="19">
        <v>9486.8675000000003</v>
      </c>
      <c r="T1890" s="20" t="s">
        <v>99</v>
      </c>
      <c r="U1890" s="21" t="s">
        <v>202</v>
      </c>
      <c r="V1890" s="23">
        <v>37</v>
      </c>
      <c r="W1890" s="23">
        <v>8</v>
      </c>
      <c r="X1890" s="24"/>
    </row>
    <row r="1891" spans="1:24" s="1" customFormat="1" ht="17" customHeight="1" x14ac:dyDescent="0.3">
      <c r="A1891" s="25" t="s">
        <v>2784</v>
      </c>
      <c r="B1891" s="25" t="s">
        <v>2791</v>
      </c>
      <c r="C1891" s="12" t="s">
        <v>2796</v>
      </c>
      <c r="D1891" s="86"/>
      <c r="E1891" s="67" t="str">
        <f t="shared" si="27"/>
        <v>Еще фото</v>
      </c>
      <c r="F1891" s="14"/>
      <c r="G1891" s="25" t="s">
        <v>92</v>
      </c>
      <c r="H1891" s="25" t="s">
        <v>93</v>
      </c>
      <c r="I1891" s="25" t="s">
        <v>94</v>
      </c>
      <c r="J1891" s="15" t="s">
        <v>28</v>
      </c>
      <c r="K1891" s="16" t="s">
        <v>29</v>
      </c>
      <c r="L1891" s="88"/>
      <c r="M1891" s="15"/>
      <c r="N1891" s="15" t="s">
        <v>225</v>
      </c>
      <c r="O1891" s="15"/>
      <c r="P1891" s="16" t="s">
        <v>2794</v>
      </c>
      <c r="Q1891" s="17">
        <v>14999</v>
      </c>
      <c r="R1891" s="18">
        <v>45</v>
      </c>
      <c r="S1891" s="19">
        <v>9486.8675000000003</v>
      </c>
      <c r="T1891" s="20" t="s">
        <v>99</v>
      </c>
      <c r="U1891" s="21" t="s">
        <v>175</v>
      </c>
      <c r="V1891" s="23">
        <v>38</v>
      </c>
      <c r="W1891" s="23">
        <v>9</v>
      </c>
      <c r="X1891" s="24"/>
    </row>
    <row r="1892" spans="1:24" s="1" customFormat="1" ht="22.05" customHeight="1" x14ac:dyDescent="0.3">
      <c r="A1892" s="25" t="s">
        <v>2784</v>
      </c>
      <c r="B1892" s="25" t="s">
        <v>2791</v>
      </c>
      <c r="C1892" s="12" t="s">
        <v>2796</v>
      </c>
      <c r="D1892" s="87"/>
      <c r="E1892" s="67" t="str">
        <f t="shared" si="27"/>
        <v>Еще фото</v>
      </c>
      <c r="F1892" s="14"/>
      <c r="G1892" s="25" t="s">
        <v>92</v>
      </c>
      <c r="H1892" s="25" t="s">
        <v>93</v>
      </c>
      <c r="I1892" s="25" t="s">
        <v>94</v>
      </c>
      <c r="J1892" s="15" t="s">
        <v>28</v>
      </c>
      <c r="K1892" s="16" t="s">
        <v>29</v>
      </c>
      <c r="L1892" s="84"/>
      <c r="M1892" s="15"/>
      <c r="N1892" s="15" t="s">
        <v>225</v>
      </c>
      <c r="O1892" s="15"/>
      <c r="P1892" s="16" t="s">
        <v>2794</v>
      </c>
      <c r="Q1892" s="17">
        <v>14999</v>
      </c>
      <c r="R1892" s="18">
        <v>45</v>
      </c>
      <c r="S1892" s="19">
        <v>9486.8675000000003</v>
      </c>
      <c r="T1892" s="20" t="s">
        <v>99</v>
      </c>
      <c r="U1892" s="21" t="s">
        <v>100</v>
      </c>
      <c r="V1892" s="23">
        <v>39</v>
      </c>
      <c r="W1892" s="23">
        <v>1</v>
      </c>
      <c r="X1892" s="24"/>
    </row>
    <row r="1893" spans="1:24" s="1" customFormat="1" ht="21" customHeight="1" x14ac:dyDescent="0.3">
      <c r="A1893" s="11" t="s">
        <v>2784</v>
      </c>
      <c r="B1893" s="11" t="s">
        <v>2791</v>
      </c>
      <c r="C1893" s="27" t="s">
        <v>2797</v>
      </c>
      <c r="D1893" s="85"/>
      <c r="E1893" s="67" t="str">
        <f>HYPERLINK("https://www.google.ru/search?q=101682036&amp;newwindow=1&amp;tbm=isch","Еще фото")</f>
        <v>Еще фото</v>
      </c>
      <c r="F1893" s="14"/>
      <c r="G1893" s="11" t="s">
        <v>92</v>
      </c>
      <c r="H1893" s="11" t="s">
        <v>93</v>
      </c>
      <c r="I1893" s="15" t="s">
        <v>94</v>
      </c>
      <c r="J1893" s="15" t="s">
        <v>28</v>
      </c>
      <c r="K1893" s="16" t="s">
        <v>29</v>
      </c>
      <c r="L1893" s="83"/>
      <c r="M1893" s="15"/>
      <c r="N1893" s="15" t="s">
        <v>38</v>
      </c>
      <c r="O1893" s="15"/>
      <c r="P1893" s="16" t="s">
        <v>2798</v>
      </c>
      <c r="Q1893" s="17">
        <v>13999</v>
      </c>
      <c r="R1893" s="18">
        <v>45</v>
      </c>
      <c r="S1893" s="19">
        <v>8854.3674999999985</v>
      </c>
      <c r="T1893" s="20" t="s">
        <v>99</v>
      </c>
      <c r="U1893" s="21" t="s">
        <v>894</v>
      </c>
      <c r="V1893" s="23">
        <v>35</v>
      </c>
      <c r="W1893" s="23">
        <v>1</v>
      </c>
      <c r="X1893" s="24"/>
    </row>
    <row r="1894" spans="1:24" s="1" customFormat="1" ht="21" customHeight="1" x14ac:dyDescent="0.3">
      <c r="A1894" s="25" t="s">
        <v>2784</v>
      </c>
      <c r="B1894" s="25" t="s">
        <v>2791</v>
      </c>
      <c r="C1894" s="28" t="s">
        <v>2797</v>
      </c>
      <c r="D1894" s="86"/>
      <c r="E1894" s="67" t="str">
        <f>HYPERLINK("https://www.google.ru/search?q=101682036&amp;newwindow=1&amp;tbm=isch","Еще фото")</f>
        <v>Еще фото</v>
      </c>
      <c r="F1894" s="14"/>
      <c r="G1894" s="25" t="s">
        <v>92</v>
      </c>
      <c r="H1894" s="25" t="s">
        <v>93</v>
      </c>
      <c r="I1894" s="25" t="s">
        <v>94</v>
      </c>
      <c r="J1894" s="15" t="s">
        <v>28</v>
      </c>
      <c r="K1894" s="16" t="s">
        <v>29</v>
      </c>
      <c r="L1894" s="88"/>
      <c r="M1894" s="15"/>
      <c r="N1894" s="15" t="s">
        <v>38</v>
      </c>
      <c r="O1894" s="15"/>
      <c r="P1894" s="16" t="s">
        <v>2798</v>
      </c>
      <c r="Q1894" s="17">
        <v>13999</v>
      </c>
      <c r="R1894" s="18">
        <v>45</v>
      </c>
      <c r="S1894" s="19">
        <v>8854.3674999999985</v>
      </c>
      <c r="T1894" s="20" t="s">
        <v>99</v>
      </c>
      <c r="U1894" s="21" t="s">
        <v>170</v>
      </c>
      <c r="V1894" s="23">
        <v>36</v>
      </c>
      <c r="W1894" s="23">
        <v>5</v>
      </c>
      <c r="X1894" s="24"/>
    </row>
    <row r="1895" spans="1:24" s="1" customFormat="1" ht="21" customHeight="1" x14ac:dyDescent="0.3">
      <c r="A1895" s="25" t="s">
        <v>2784</v>
      </c>
      <c r="B1895" s="25" t="s">
        <v>2791</v>
      </c>
      <c r="C1895" s="28" t="s">
        <v>2797</v>
      </c>
      <c r="D1895" s="86"/>
      <c r="E1895" s="67" t="str">
        <f>HYPERLINK("https://www.google.ru/search?q=101682036&amp;newwindow=1&amp;tbm=isch","Еще фото")</f>
        <v>Еще фото</v>
      </c>
      <c r="F1895" s="14"/>
      <c r="G1895" s="25" t="s">
        <v>92</v>
      </c>
      <c r="H1895" s="25" t="s">
        <v>93</v>
      </c>
      <c r="I1895" s="25" t="s">
        <v>94</v>
      </c>
      <c r="J1895" s="15" t="s">
        <v>28</v>
      </c>
      <c r="K1895" s="16" t="s">
        <v>29</v>
      </c>
      <c r="L1895" s="88"/>
      <c r="M1895" s="15"/>
      <c r="N1895" s="15" t="s">
        <v>38</v>
      </c>
      <c r="O1895" s="15"/>
      <c r="P1895" s="16" t="s">
        <v>2798</v>
      </c>
      <c r="Q1895" s="17">
        <v>13999</v>
      </c>
      <c r="R1895" s="18">
        <v>45</v>
      </c>
      <c r="S1895" s="19">
        <v>8854.3674999999985</v>
      </c>
      <c r="T1895" s="20" t="s">
        <v>99</v>
      </c>
      <c r="U1895" s="21" t="s">
        <v>202</v>
      </c>
      <c r="V1895" s="23">
        <v>37</v>
      </c>
      <c r="W1895" s="23">
        <v>8</v>
      </c>
      <c r="X1895" s="24"/>
    </row>
    <row r="1896" spans="1:24" s="1" customFormat="1" ht="21" customHeight="1" x14ac:dyDescent="0.3">
      <c r="A1896" s="25" t="s">
        <v>2784</v>
      </c>
      <c r="B1896" s="25" t="s">
        <v>2791</v>
      </c>
      <c r="C1896" s="28" t="s">
        <v>2797</v>
      </c>
      <c r="D1896" s="86"/>
      <c r="E1896" s="67" t="str">
        <f>HYPERLINK("https://www.google.ru/search?q=101682036&amp;newwindow=1&amp;tbm=isch","Еще фото")</f>
        <v>Еще фото</v>
      </c>
      <c r="F1896" s="14"/>
      <c r="G1896" s="25" t="s">
        <v>92</v>
      </c>
      <c r="H1896" s="25" t="s">
        <v>93</v>
      </c>
      <c r="I1896" s="25" t="s">
        <v>94</v>
      </c>
      <c r="J1896" s="15" t="s">
        <v>28</v>
      </c>
      <c r="K1896" s="16" t="s">
        <v>29</v>
      </c>
      <c r="L1896" s="88"/>
      <c r="M1896" s="15"/>
      <c r="N1896" s="15" t="s">
        <v>38</v>
      </c>
      <c r="O1896" s="15"/>
      <c r="P1896" s="16" t="s">
        <v>2798</v>
      </c>
      <c r="Q1896" s="17">
        <v>13999</v>
      </c>
      <c r="R1896" s="18">
        <v>45</v>
      </c>
      <c r="S1896" s="19">
        <v>8854.3674999999985</v>
      </c>
      <c r="T1896" s="20" t="s">
        <v>99</v>
      </c>
      <c r="U1896" s="21" t="s">
        <v>175</v>
      </c>
      <c r="V1896" s="23">
        <v>38</v>
      </c>
      <c r="W1896" s="23">
        <v>9</v>
      </c>
      <c r="X1896" s="24"/>
    </row>
    <row r="1897" spans="1:24" s="1" customFormat="1" ht="32" customHeight="1" x14ac:dyDescent="0.3">
      <c r="A1897" s="25" t="s">
        <v>2784</v>
      </c>
      <c r="B1897" s="25" t="s">
        <v>2791</v>
      </c>
      <c r="C1897" s="28" t="s">
        <v>2797</v>
      </c>
      <c r="D1897" s="87"/>
      <c r="E1897" s="67" t="str">
        <f>HYPERLINK("https://www.google.ru/search?q=101682036&amp;newwindow=1&amp;tbm=isch","Еще фото")</f>
        <v>Еще фото</v>
      </c>
      <c r="F1897" s="14"/>
      <c r="G1897" s="25" t="s">
        <v>92</v>
      </c>
      <c r="H1897" s="25" t="s">
        <v>93</v>
      </c>
      <c r="I1897" s="25" t="s">
        <v>94</v>
      </c>
      <c r="J1897" s="15" t="s">
        <v>28</v>
      </c>
      <c r="K1897" s="16" t="s">
        <v>29</v>
      </c>
      <c r="L1897" s="84"/>
      <c r="M1897" s="15"/>
      <c r="N1897" s="15" t="s">
        <v>38</v>
      </c>
      <c r="O1897" s="15"/>
      <c r="P1897" s="16" t="s">
        <v>2798</v>
      </c>
      <c r="Q1897" s="17">
        <v>13999</v>
      </c>
      <c r="R1897" s="18">
        <v>45</v>
      </c>
      <c r="S1897" s="19">
        <v>8854.3674999999985</v>
      </c>
      <c r="T1897" s="20" t="s">
        <v>99</v>
      </c>
      <c r="U1897" s="21" t="s">
        <v>100</v>
      </c>
      <c r="V1897" s="23">
        <v>39</v>
      </c>
      <c r="W1897" s="23">
        <v>3</v>
      </c>
      <c r="X1897" s="24"/>
    </row>
    <row r="1898" spans="1:24" s="1" customFormat="1" ht="26" customHeight="1" x14ac:dyDescent="0.3">
      <c r="A1898" s="11" t="s">
        <v>2784</v>
      </c>
      <c r="B1898" s="11" t="s">
        <v>2788</v>
      </c>
      <c r="C1898" s="12" t="s">
        <v>2799</v>
      </c>
      <c r="D1898" s="85"/>
      <c r="E1898" s="67" t="str">
        <f>HYPERLINK("https://www.google.ru/search?q=101906204&amp;newwindow=1&amp;tbm=isch","Еще фото")</f>
        <v>Еще фото</v>
      </c>
      <c r="F1898" s="14"/>
      <c r="G1898" s="11" t="s">
        <v>92</v>
      </c>
      <c r="H1898" s="11" t="s">
        <v>93</v>
      </c>
      <c r="I1898" s="15" t="s">
        <v>94</v>
      </c>
      <c r="J1898" s="15" t="s">
        <v>28</v>
      </c>
      <c r="K1898" s="16" t="s">
        <v>29</v>
      </c>
      <c r="L1898" s="83"/>
      <c r="M1898" s="15"/>
      <c r="N1898" s="15" t="s">
        <v>38</v>
      </c>
      <c r="O1898" s="15"/>
      <c r="P1898" s="16" t="s">
        <v>2800</v>
      </c>
      <c r="Q1898" s="17">
        <v>13999</v>
      </c>
      <c r="R1898" s="18">
        <v>45</v>
      </c>
      <c r="S1898" s="19">
        <v>8854.3674999999985</v>
      </c>
      <c r="T1898" s="20" t="s">
        <v>99</v>
      </c>
      <c r="U1898" s="21" t="s">
        <v>894</v>
      </c>
      <c r="V1898" s="23">
        <v>35</v>
      </c>
      <c r="W1898" s="23">
        <v>2</v>
      </c>
      <c r="X1898" s="24"/>
    </row>
    <row r="1899" spans="1:24" s="1" customFormat="1" ht="26" customHeight="1" x14ac:dyDescent="0.3">
      <c r="A1899" s="25" t="s">
        <v>2784</v>
      </c>
      <c r="B1899" s="25" t="s">
        <v>2788</v>
      </c>
      <c r="C1899" s="12" t="s">
        <v>2799</v>
      </c>
      <c r="D1899" s="86"/>
      <c r="E1899" s="67" t="str">
        <f>HYPERLINK("https://www.google.ru/search?q=101906204&amp;newwindow=1&amp;tbm=isch","Еще фото")</f>
        <v>Еще фото</v>
      </c>
      <c r="F1899" s="14"/>
      <c r="G1899" s="25" t="s">
        <v>92</v>
      </c>
      <c r="H1899" s="25" t="s">
        <v>93</v>
      </c>
      <c r="I1899" s="25" t="s">
        <v>94</v>
      </c>
      <c r="J1899" s="15" t="s">
        <v>28</v>
      </c>
      <c r="K1899" s="16" t="s">
        <v>29</v>
      </c>
      <c r="L1899" s="88"/>
      <c r="M1899" s="15"/>
      <c r="N1899" s="15" t="s">
        <v>38</v>
      </c>
      <c r="O1899" s="15"/>
      <c r="P1899" s="16" t="s">
        <v>2800</v>
      </c>
      <c r="Q1899" s="17">
        <v>13999</v>
      </c>
      <c r="R1899" s="18">
        <v>45</v>
      </c>
      <c r="S1899" s="19">
        <v>8854.3674999999985</v>
      </c>
      <c r="T1899" s="20" t="s">
        <v>99</v>
      </c>
      <c r="U1899" s="21" t="s">
        <v>170</v>
      </c>
      <c r="V1899" s="23">
        <v>36</v>
      </c>
      <c r="W1899" s="23">
        <v>5</v>
      </c>
      <c r="X1899" s="24"/>
    </row>
    <row r="1900" spans="1:24" s="1" customFormat="1" ht="26" customHeight="1" x14ac:dyDescent="0.3">
      <c r="A1900" s="25" t="s">
        <v>2784</v>
      </c>
      <c r="B1900" s="25" t="s">
        <v>2788</v>
      </c>
      <c r="C1900" s="12" t="s">
        <v>2799</v>
      </c>
      <c r="D1900" s="86"/>
      <c r="E1900" s="67" t="str">
        <f>HYPERLINK("https://www.google.ru/search?q=101906204&amp;newwindow=1&amp;tbm=isch","Еще фото")</f>
        <v>Еще фото</v>
      </c>
      <c r="F1900" s="14"/>
      <c r="G1900" s="25" t="s">
        <v>92</v>
      </c>
      <c r="H1900" s="25" t="s">
        <v>93</v>
      </c>
      <c r="I1900" s="25" t="s">
        <v>94</v>
      </c>
      <c r="J1900" s="15" t="s">
        <v>28</v>
      </c>
      <c r="K1900" s="16" t="s">
        <v>29</v>
      </c>
      <c r="L1900" s="88"/>
      <c r="M1900" s="15"/>
      <c r="N1900" s="15" t="s">
        <v>38</v>
      </c>
      <c r="O1900" s="15"/>
      <c r="P1900" s="16" t="s">
        <v>2800</v>
      </c>
      <c r="Q1900" s="17">
        <v>13999</v>
      </c>
      <c r="R1900" s="18">
        <v>45</v>
      </c>
      <c r="S1900" s="19">
        <v>8854.3674999999985</v>
      </c>
      <c r="T1900" s="20" t="s">
        <v>99</v>
      </c>
      <c r="U1900" s="21" t="s">
        <v>202</v>
      </c>
      <c r="V1900" s="23">
        <v>37</v>
      </c>
      <c r="W1900" s="23">
        <v>7</v>
      </c>
      <c r="X1900" s="24"/>
    </row>
    <row r="1901" spans="1:24" s="1" customFormat="1" ht="26" customHeight="1" x14ac:dyDescent="0.3">
      <c r="A1901" s="25" t="s">
        <v>2784</v>
      </c>
      <c r="B1901" s="25" t="s">
        <v>2788</v>
      </c>
      <c r="C1901" s="12" t="s">
        <v>2799</v>
      </c>
      <c r="D1901" s="87"/>
      <c r="E1901" s="67" t="str">
        <f>HYPERLINK("https://www.google.ru/search?q=101906204&amp;newwindow=1&amp;tbm=isch","Еще фото")</f>
        <v>Еще фото</v>
      </c>
      <c r="F1901" s="14"/>
      <c r="G1901" s="25" t="s">
        <v>92</v>
      </c>
      <c r="H1901" s="25" t="s">
        <v>93</v>
      </c>
      <c r="I1901" s="25" t="s">
        <v>94</v>
      </c>
      <c r="J1901" s="15" t="s">
        <v>28</v>
      </c>
      <c r="K1901" s="16" t="s">
        <v>29</v>
      </c>
      <c r="L1901" s="84"/>
      <c r="M1901" s="15"/>
      <c r="N1901" s="15" t="s">
        <v>38</v>
      </c>
      <c r="O1901" s="15"/>
      <c r="P1901" s="16" t="s">
        <v>2800</v>
      </c>
      <c r="Q1901" s="17">
        <v>13999</v>
      </c>
      <c r="R1901" s="18">
        <v>45</v>
      </c>
      <c r="S1901" s="19">
        <v>8854.3674999999985</v>
      </c>
      <c r="T1901" s="20" t="s">
        <v>99</v>
      </c>
      <c r="U1901" s="21" t="s">
        <v>175</v>
      </c>
      <c r="V1901" s="23">
        <v>38</v>
      </c>
      <c r="W1901" s="23">
        <v>5</v>
      </c>
      <c r="X1901" s="24"/>
    </row>
    <row r="1902" spans="1:24" s="1" customFormat="1" ht="35" customHeight="1" x14ac:dyDescent="0.3">
      <c r="A1902" s="11" t="s">
        <v>2784</v>
      </c>
      <c r="B1902" s="11" t="s">
        <v>2791</v>
      </c>
      <c r="C1902" s="12" t="s">
        <v>2801</v>
      </c>
      <c r="D1902" s="85"/>
      <c r="E1902" s="67" t="str">
        <f>HYPERLINK("https://www.google.ru/search?q=101987937&amp;newwindow=1&amp;tbm=isch","Еще фото")</f>
        <v>Еще фото</v>
      </c>
      <c r="F1902" s="14"/>
      <c r="G1902" s="11" t="s">
        <v>92</v>
      </c>
      <c r="H1902" s="11" t="s">
        <v>93</v>
      </c>
      <c r="I1902" s="15" t="s">
        <v>94</v>
      </c>
      <c r="J1902" s="15" t="s">
        <v>28</v>
      </c>
      <c r="K1902" s="16" t="s">
        <v>45</v>
      </c>
      <c r="L1902" s="83"/>
      <c r="M1902" s="15"/>
      <c r="N1902" s="15" t="s">
        <v>265</v>
      </c>
      <c r="O1902" s="15"/>
      <c r="P1902" s="16" t="s">
        <v>2798</v>
      </c>
      <c r="Q1902" s="17">
        <v>14499</v>
      </c>
      <c r="R1902" s="18">
        <v>45</v>
      </c>
      <c r="S1902" s="19">
        <v>9170.6174999999985</v>
      </c>
      <c r="T1902" s="20" t="s">
        <v>99</v>
      </c>
      <c r="U1902" s="21" t="s">
        <v>235</v>
      </c>
      <c r="V1902" s="23">
        <v>40</v>
      </c>
      <c r="W1902" s="23">
        <v>1</v>
      </c>
      <c r="X1902" s="24"/>
    </row>
    <row r="1903" spans="1:24" s="1" customFormat="1" ht="35" customHeight="1" x14ac:dyDescent="0.3">
      <c r="A1903" s="25" t="s">
        <v>2784</v>
      </c>
      <c r="B1903" s="25" t="s">
        <v>2791</v>
      </c>
      <c r="C1903" s="12" t="s">
        <v>2801</v>
      </c>
      <c r="D1903" s="86"/>
      <c r="E1903" s="67" t="str">
        <f>HYPERLINK("https://www.google.ru/search?q=101987937&amp;newwindow=1&amp;tbm=isch","Еще фото")</f>
        <v>Еще фото</v>
      </c>
      <c r="F1903" s="14"/>
      <c r="G1903" s="25" t="s">
        <v>92</v>
      </c>
      <c r="H1903" s="25" t="s">
        <v>93</v>
      </c>
      <c r="I1903" s="25" t="s">
        <v>94</v>
      </c>
      <c r="J1903" s="15" t="s">
        <v>28</v>
      </c>
      <c r="K1903" s="16" t="s">
        <v>45</v>
      </c>
      <c r="L1903" s="88"/>
      <c r="M1903" s="15"/>
      <c r="N1903" s="15" t="s">
        <v>265</v>
      </c>
      <c r="O1903" s="15"/>
      <c r="P1903" s="16" t="s">
        <v>2798</v>
      </c>
      <c r="Q1903" s="17">
        <v>14499</v>
      </c>
      <c r="R1903" s="18">
        <v>45</v>
      </c>
      <c r="S1903" s="19">
        <v>9170.6174999999985</v>
      </c>
      <c r="T1903" s="20" t="s">
        <v>99</v>
      </c>
      <c r="U1903" s="21" t="s">
        <v>165</v>
      </c>
      <c r="V1903" s="23">
        <v>42</v>
      </c>
      <c r="W1903" s="23">
        <v>2</v>
      </c>
      <c r="X1903" s="24"/>
    </row>
    <row r="1904" spans="1:24" s="1" customFormat="1" ht="37.049999999999997" customHeight="1" x14ac:dyDescent="0.3">
      <c r="A1904" s="25" t="s">
        <v>2784</v>
      </c>
      <c r="B1904" s="25" t="s">
        <v>2791</v>
      </c>
      <c r="C1904" s="12" t="s">
        <v>2801</v>
      </c>
      <c r="D1904" s="87"/>
      <c r="E1904" s="67" t="str">
        <f>HYPERLINK("https://www.google.ru/search?q=101987937&amp;newwindow=1&amp;tbm=isch","Еще фото")</f>
        <v>Еще фото</v>
      </c>
      <c r="F1904" s="14"/>
      <c r="G1904" s="25" t="s">
        <v>92</v>
      </c>
      <c r="H1904" s="25" t="s">
        <v>93</v>
      </c>
      <c r="I1904" s="25" t="s">
        <v>94</v>
      </c>
      <c r="J1904" s="15" t="s">
        <v>28</v>
      </c>
      <c r="K1904" s="16" t="s">
        <v>45</v>
      </c>
      <c r="L1904" s="84"/>
      <c r="M1904" s="15"/>
      <c r="N1904" s="15" t="s">
        <v>265</v>
      </c>
      <c r="O1904" s="15"/>
      <c r="P1904" s="16" t="s">
        <v>2798</v>
      </c>
      <c r="Q1904" s="17">
        <v>14499</v>
      </c>
      <c r="R1904" s="18">
        <v>45</v>
      </c>
      <c r="S1904" s="19">
        <v>9170.6174999999985</v>
      </c>
      <c r="T1904" s="20" t="s">
        <v>99</v>
      </c>
      <c r="U1904" s="21" t="s">
        <v>158</v>
      </c>
      <c r="V1904" s="23">
        <v>43</v>
      </c>
      <c r="W1904" s="23">
        <v>1</v>
      </c>
      <c r="X1904" s="24"/>
    </row>
    <row r="1905" spans="1:24" s="1" customFormat="1" ht="35" customHeight="1" x14ac:dyDescent="0.3">
      <c r="A1905" s="11" t="s">
        <v>2784</v>
      </c>
      <c r="B1905" s="11" t="s">
        <v>2791</v>
      </c>
      <c r="C1905" s="12" t="s">
        <v>2802</v>
      </c>
      <c r="D1905" s="85"/>
      <c r="E1905" s="67" t="str">
        <f>HYPERLINK("https://www.google.ru/search?q=101987938&amp;newwindow=1&amp;tbm=isch","Еще фото")</f>
        <v>Еще фото</v>
      </c>
      <c r="F1905" s="14"/>
      <c r="G1905" s="11" t="s">
        <v>92</v>
      </c>
      <c r="H1905" s="11" t="s">
        <v>93</v>
      </c>
      <c r="I1905" s="15" t="s">
        <v>94</v>
      </c>
      <c r="J1905" s="15" t="s">
        <v>28</v>
      </c>
      <c r="K1905" s="16" t="s">
        <v>45</v>
      </c>
      <c r="L1905" s="83"/>
      <c r="M1905" s="15"/>
      <c r="N1905" s="15" t="s">
        <v>225</v>
      </c>
      <c r="O1905" s="15"/>
      <c r="P1905" s="16" t="s">
        <v>2798</v>
      </c>
      <c r="Q1905" s="17">
        <v>14499</v>
      </c>
      <c r="R1905" s="18">
        <v>45</v>
      </c>
      <c r="S1905" s="19">
        <v>9170.6174999999985</v>
      </c>
      <c r="T1905" s="20" t="s">
        <v>99</v>
      </c>
      <c r="U1905" s="21" t="s">
        <v>100</v>
      </c>
      <c r="V1905" s="23">
        <v>39</v>
      </c>
      <c r="W1905" s="23">
        <v>1</v>
      </c>
      <c r="X1905" s="24"/>
    </row>
    <row r="1906" spans="1:24" s="1" customFormat="1" ht="35" customHeight="1" x14ac:dyDescent="0.3">
      <c r="A1906" s="25" t="s">
        <v>2784</v>
      </c>
      <c r="B1906" s="25" t="s">
        <v>2791</v>
      </c>
      <c r="C1906" s="12" t="s">
        <v>2802</v>
      </c>
      <c r="D1906" s="86"/>
      <c r="E1906" s="67" t="str">
        <f>HYPERLINK("https://www.google.ru/search?q=101987938&amp;newwindow=1&amp;tbm=isch","Еще фото")</f>
        <v>Еще фото</v>
      </c>
      <c r="F1906" s="14"/>
      <c r="G1906" s="25" t="s">
        <v>92</v>
      </c>
      <c r="H1906" s="25" t="s">
        <v>93</v>
      </c>
      <c r="I1906" s="25" t="s">
        <v>94</v>
      </c>
      <c r="J1906" s="15" t="s">
        <v>28</v>
      </c>
      <c r="K1906" s="16" t="s">
        <v>45</v>
      </c>
      <c r="L1906" s="88"/>
      <c r="M1906" s="15"/>
      <c r="N1906" s="15" t="s">
        <v>225</v>
      </c>
      <c r="O1906" s="15"/>
      <c r="P1906" s="16" t="s">
        <v>2798</v>
      </c>
      <c r="Q1906" s="17">
        <v>14499</v>
      </c>
      <c r="R1906" s="18">
        <v>45</v>
      </c>
      <c r="S1906" s="19">
        <v>9170.6174999999985</v>
      </c>
      <c r="T1906" s="20" t="s">
        <v>99</v>
      </c>
      <c r="U1906" s="21" t="s">
        <v>235</v>
      </c>
      <c r="V1906" s="23">
        <v>40</v>
      </c>
      <c r="W1906" s="23">
        <v>1</v>
      </c>
      <c r="X1906" s="24"/>
    </row>
    <row r="1907" spans="1:24" s="1" customFormat="1" ht="37.049999999999997" customHeight="1" x14ac:dyDescent="0.3">
      <c r="A1907" s="25" t="s">
        <v>2784</v>
      </c>
      <c r="B1907" s="25" t="s">
        <v>2791</v>
      </c>
      <c r="C1907" s="12" t="s">
        <v>2802</v>
      </c>
      <c r="D1907" s="87"/>
      <c r="E1907" s="67" t="str">
        <f>HYPERLINK("https://www.google.ru/search?q=101987938&amp;newwindow=1&amp;tbm=isch","Еще фото")</f>
        <v>Еще фото</v>
      </c>
      <c r="F1907" s="14"/>
      <c r="G1907" s="25" t="s">
        <v>92</v>
      </c>
      <c r="H1907" s="25" t="s">
        <v>93</v>
      </c>
      <c r="I1907" s="25" t="s">
        <v>94</v>
      </c>
      <c r="J1907" s="15" t="s">
        <v>28</v>
      </c>
      <c r="K1907" s="16" t="s">
        <v>45</v>
      </c>
      <c r="L1907" s="84"/>
      <c r="M1907" s="15"/>
      <c r="N1907" s="15" t="s">
        <v>225</v>
      </c>
      <c r="O1907" s="15"/>
      <c r="P1907" s="16" t="s">
        <v>2798</v>
      </c>
      <c r="Q1907" s="17">
        <v>14499</v>
      </c>
      <c r="R1907" s="18">
        <v>45</v>
      </c>
      <c r="S1907" s="19">
        <v>9170.6174999999985</v>
      </c>
      <c r="T1907" s="20" t="s">
        <v>99</v>
      </c>
      <c r="U1907" s="21" t="s">
        <v>165</v>
      </c>
      <c r="V1907" s="23">
        <v>42</v>
      </c>
      <c r="W1907" s="23">
        <v>1</v>
      </c>
      <c r="X1907" s="24"/>
    </row>
    <row r="1908" spans="1:24" s="1" customFormat="1" ht="52.05" customHeight="1" x14ac:dyDescent="0.3">
      <c r="A1908" s="11" t="s">
        <v>2784</v>
      </c>
      <c r="B1908" s="11" t="s">
        <v>2791</v>
      </c>
      <c r="C1908" s="12" t="s">
        <v>2803</v>
      </c>
      <c r="D1908" s="81"/>
      <c r="E1908" s="67" t="str">
        <f>HYPERLINK("https://www.google.ru/search?q=101987948&amp;newwindow=1&amp;tbm=isch","Еще фото")</f>
        <v>Еще фото</v>
      </c>
      <c r="F1908" s="14"/>
      <c r="G1908" s="11" t="s">
        <v>92</v>
      </c>
      <c r="H1908" s="11" t="s">
        <v>93</v>
      </c>
      <c r="I1908" s="15" t="s">
        <v>94</v>
      </c>
      <c r="J1908" s="15" t="s">
        <v>28</v>
      </c>
      <c r="K1908" s="16" t="s">
        <v>45</v>
      </c>
      <c r="L1908" s="83"/>
      <c r="M1908" s="15"/>
      <c r="N1908" s="15" t="s">
        <v>38</v>
      </c>
      <c r="O1908" s="15"/>
      <c r="P1908" s="16" t="s">
        <v>2804</v>
      </c>
      <c r="Q1908" s="17">
        <v>14899</v>
      </c>
      <c r="R1908" s="18">
        <v>45</v>
      </c>
      <c r="S1908" s="19">
        <v>9423.6175000000003</v>
      </c>
      <c r="T1908" s="20" t="s">
        <v>99</v>
      </c>
      <c r="U1908" s="21" t="s">
        <v>235</v>
      </c>
      <c r="V1908" s="23">
        <v>40</v>
      </c>
      <c r="W1908" s="23">
        <v>2</v>
      </c>
      <c r="X1908" s="24"/>
    </row>
    <row r="1909" spans="1:24" s="1" customFormat="1" ht="61.05" customHeight="1" x14ac:dyDescent="0.3">
      <c r="A1909" s="25" t="s">
        <v>2784</v>
      </c>
      <c r="B1909" s="25" t="s">
        <v>2791</v>
      </c>
      <c r="C1909" s="12" t="s">
        <v>2803</v>
      </c>
      <c r="D1909" s="82"/>
      <c r="E1909" s="67" t="str">
        <f>HYPERLINK("https://www.google.ru/search?q=101987948&amp;newwindow=1&amp;tbm=isch","Еще фото")</f>
        <v>Еще фото</v>
      </c>
      <c r="F1909" s="14"/>
      <c r="G1909" s="25" t="s">
        <v>92</v>
      </c>
      <c r="H1909" s="25" t="s">
        <v>93</v>
      </c>
      <c r="I1909" s="25" t="s">
        <v>94</v>
      </c>
      <c r="J1909" s="15" t="s">
        <v>28</v>
      </c>
      <c r="K1909" s="16" t="s">
        <v>45</v>
      </c>
      <c r="L1909" s="84"/>
      <c r="M1909" s="15"/>
      <c r="N1909" s="15" t="s">
        <v>38</v>
      </c>
      <c r="O1909" s="15"/>
      <c r="P1909" s="16" t="s">
        <v>2804</v>
      </c>
      <c r="Q1909" s="17">
        <v>14899</v>
      </c>
      <c r="R1909" s="18">
        <v>45</v>
      </c>
      <c r="S1909" s="19">
        <v>9423.6175000000003</v>
      </c>
      <c r="T1909" s="20" t="s">
        <v>99</v>
      </c>
      <c r="U1909" s="21" t="s">
        <v>164</v>
      </c>
      <c r="V1909" s="23">
        <v>41</v>
      </c>
      <c r="W1909" s="23">
        <v>1</v>
      </c>
      <c r="X1909" s="24"/>
    </row>
    <row r="1910" spans="1:24" s="1" customFormat="1" ht="52.05" customHeight="1" x14ac:dyDescent="0.3">
      <c r="A1910" s="11" t="s">
        <v>2784</v>
      </c>
      <c r="B1910" s="11" t="s">
        <v>2791</v>
      </c>
      <c r="C1910" s="12" t="s">
        <v>2805</v>
      </c>
      <c r="D1910" s="81"/>
      <c r="E1910" s="67" t="str">
        <f>HYPERLINK("https://www.google.ru/search?q=101987949&amp;newwindow=1&amp;tbm=isch","Еще фото")</f>
        <v>Еще фото</v>
      </c>
      <c r="F1910" s="14"/>
      <c r="G1910" s="11" t="s">
        <v>92</v>
      </c>
      <c r="H1910" s="11" t="s">
        <v>93</v>
      </c>
      <c r="I1910" s="15" t="s">
        <v>94</v>
      </c>
      <c r="J1910" s="15" t="s">
        <v>28</v>
      </c>
      <c r="K1910" s="16" t="s">
        <v>45</v>
      </c>
      <c r="L1910" s="83"/>
      <c r="M1910" s="15"/>
      <c r="N1910" s="15" t="s">
        <v>265</v>
      </c>
      <c r="O1910" s="15"/>
      <c r="P1910" s="16" t="s">
        <v>2804</v>
      </c>
      <c r="Q1910" s="17">
        <v>14899</v>
      </c>
      <c r="R1910" s="18">
        <v>45</v>
      </c>
      <c r="S1910" s="19">
        <v>9423.6175000000003</v>
      </c>
      <c r="T1910" s="20" t="s">
        <v>99</v>
      </c>
      <c r="U1910" s="21" t="s">
        <v>100</v>
      </c>
      <c r="V1910" s="23">
        <v>39</v>
      </c>
      <c r="W1910" s="23">
        <v>1</v>
      </c>
      <c r="X1910" s="24"/>
    </row>
    <row r="1911" spans="1:24" s="1" customFormat="1" ht="61.05" customHeight="1" x14ac:dyDescent="0.3">
      <c r="A1911" s="25" t="s">
        <v>2784</v>
      </c>
      <c r="B1911" s="25" t="s">
        <v>2791</v>
      </c>
      <c r="C1911" s="12" t="s">
        <v>2805</v>
      </c>
      <c r="D1911" s="82"/>
      <c r="E1911" s="67" t="str">
        <f>HYPERLINK("https://www.google.ru/search?q=101987949&amp;newwindow=1&amp;tbm=isch","Еще фото")</f>
        <v>Еще фото</v>
      </c>
      <c r="F1911" s="14"/>
      <c r="G1911" s="25" t="s">
        <v>92</v>
      </c>
      <c r="H1911" s="25" t="s">
        <v>93</v>
      </c>
      <c r="I1911" s="25" t="s">
        <v>94</v>
      </c>
      <c r="J1911" s="15" t="s">
        <v>28</v>
      </c>
      <c r="K1911" s="16" t="s">
        <v>45</v>
      </c>
      <c r="L1911" s="84"/>
      <c r="M1911" s="15"/>
      <c r="N1911" s="15" t="s">
        <v>265</v>
      </c>
      <c r="O1911" s="15"/>
      <c r="P1911" s="16" t="s">
        <v>2804</v>
      </c>
      <c r="Q1911" s="17">
        <v>14899</v>
      </c>
      <c r="R1911" s="18">
        <v>45</v>
      </c>
      <c r="S1911" s="19">
        <v>9423.6175000000003</v>
      </c>
      <c r="T1911" s="20" t="s">
        <v>99</v>
      </c>
      <c r="U1911" s="21" t="s">
        <v>164</v>
      </c>
      <c r="V1911" s="23">
        <v>41</v>
      </c>
      <c r="W1911" s="23">
        <v>1</v>
      </c>
      <c r="X1911" s="24"/>
    </row>
    <row r="1912" spans="1:24" s="1" customFormat="1" ht="52.05" customHeight="1" x14ac:dyDescent="0.3">
      <c r="A1912" s="11" t="s">
        <v>2784</v>
      </c>
      <c r="B1912" s="11" t="s">
        <v>2791</v>
      </c>
      <c r="C1912" s="12" t="s">
        <v>2806</v>
      </c>
      <c r="D1912" s="81"/>
      <c r="E1912" s="67" t="str">
        <f>HYPERLINK("https://www.google.ru/search?q=101987951&amp;newwindow=1&amp;tbm=isch","Еще фото")</f>
        <v>Еще фото</v>
      </c>
      <c r="F1912" s="14"/>
      <c r="G1912" s="11" t="s">
        <v>92</v>
      </c>
      <c r="H1912" s="11" t="s">
        <v>93</v>
      </c>
      <c r="I1912" s="15" t="s">
        <v>94</v>
      </c>
      <c r="J1912" s="15" t="s">
        <v>28</v>
      </c>
      <c r="K1912" s="16" t="s">
        <v>45</v>
      </c>
      <c r="L1912" s="83"/>
      <c r="M1912" s="15"/>
      <c r="N1912" s="15" t="s">
        <v>218</v>
      </c>
      <c r="O1912" s="15"/>
      <c r="P1912" s="16" t="s">
        <v>2804</v>
      </c>
      <c r="Q1912" s="17">
        <v>14899</v>
      </c>
      <c r="R1912" s="18">
        <v>45</v>
      </c>
      <c r="S1912" s="19">
        <v>9423.6175000000003</v>
      </c>
      <c r="T1912" s="20" t="s">
        <v>99</v>
      </c>
      <c r="U1912" s="21" t="s">
        <v>100</v>
      </c>
      <c r="V1912" s="23">
        <v>39</v>
      </c>
      <c r="W1912" s="23">
        <v>2</v>
      </c>
      <c r="X1912" s="24"/>
    </row>
    <row r="1913" spans="1:24" s="1" customFormat="1" ht="61.05" customHeight="1" x14ac:dyDescent="0.3">
      <c r="A1913" s="25" t="s">
        <v>2784</v>
      </c>
      <c r="B1913" s="25" t="s">
        <v>2791</v>
      </c>
      <c r="C1913" s="12" t="s">
        <v>2806</v>
      </c>
      <c r="D1913" s="82"/>
      <c r="E1913" s="67" t="str">
        <f>HYPERLINK("https://www.google.ru/search?q=101987951&amp;newwindow=1&amp;tbm=isch","Еще фото")</f>
        <v>Еще фото</v>
      </c>
      <c r="F1913" s="14"/>
      <c r="G1913" s="25" t="s">
        <v>92</v>
      </c>
      <c r="H1913" s="25" t="s">
        <v>93</v>
      </c>
      <c r="I1913" s="25" t="s">
        <v>94</v>
      </c>
      <c r="J1913" s="15" t="s">
        <v>28</v>
      </c>
      <c r="K1913" s="16" t="s">
        <v>45</v>
      </c>
      <c r="L1913" s="84"/>
      <c r="M1913" s="15"/>
      <c r="N1913" s="15" t="s">
        <v>218</v>
      </c>
      <c r="O1913" s="15"/>
      <c r="P1913" s="16" t="s">
        <v>2804</v>
      </c>
      <c r="Q1913" s="17">
        <v>14899</v>
      </c>
      <c r="R1913" s="18">
        <v>45</v>
      </c>
      <c r="S1913" s="19">
        <v>9423.6175000000003</v>
      </c>
      <c r="T1913" s="20" t="s">
        <v>99</v>
      </c>
      <c r="U1913" s="21" t="s">
        <v>164</v>
      </c>
      <c r="V1913" s="23">
        <v>41</v>
      </c>
      <c r="W1913" s="23">
        <v>2</v>
      </c>
      <c r="X1913" s="24"/>
    </row>
    <row r="1914" spans="1:24" s="1" customFormat="1" ht="35" customHeight="1" x14ac:dyDescent="0.3">
      <c r="A1914" s="11" t="s">
        <v>2784</v>
      </c>
      <c r="B1914" s="11" t="s">
        <v>2791</v>
      </c>
      <c r="C1914" s="12" t="s">
        <v>2807</v>
      </c>
      <c r="D1914" s="85"/>
      <c r="E1914" s="67" t="str">
        <f>HYPERLINK("https://www.google.ru/search?q=101987952&amp;newwindow=1&amp;tbm=isch","Еще фото")</f>
        <v>Еще фото</v>
      </c>
      <c r="F1914" s="14"/>
      <c r="G1914" s="11" t="s">
        <v>92</v>
      </c>
      <c r="H1914" s="11" t="s">
        <v>93</v>
      </c>
      <c r="I1914" s="15" t="s">
        <v>94</v>
      </c>
      <c r="J1914" s="15" t="s">
        <v>28</v>
      </c>
      <c r="K1914" s="16" t="s">
        <v>45</v>
      </c>
      <c r="L1914" s="83"/>
      <c r="M1914" s="15"/>
      <c r="N1914" s="15" t="s">
        <v>265</v>
      </c>
      <c r="O1914" s="15"/>
      <c r="P1914" s="16" t="s">
        <v>2798</v>
      </c>
      <c r="Q1914" s="17">
        <v>14499</v>
      </c>
      <c r="R1914" s="18">
        <v>45</v>
      </c>
      <c r="S1914" s="19">
        <v>9170.6174999999985</v>
      </c>
      <c r="T1914" s="20" t="s">
        <v>99</v>
      </c>
      <c r="U1914" s="21" t="s">
        <v>100</v>
      </c>
      <c r="V1914" s="23">
        <v>39</v>
      </c>
      <c r="W1914" s="23">
        <v>1</v>
      </c>
      <c r="X1914" s="24"/>
    </row>
    <row r="1915" spans="1:24" s="1" customFormat="1" ht="35" customHeight="1" x14ac:dyDescent="0.3">
      <c r="A1915" s="25" t="s">
        <v>2784</v>
      </c>
      <c r="B1915" s="25" t="s">
        <v>2791</v>
      </c>
      <c r="C1915" s="12" t="s">
        <v>2807</v>
      </c>
      <c r="D1915" s="86"/>
      <c r="E1915" s="67" t="str">
        <f>HYPERLINK("https://www.google.ru/search?q=101987952&amp;newwindow=1&amp;tbm=isch","Еще фото")</f>
        <v>Еще фото</v>
      </c>
      <c r="F1915" s="14"/>
      <c r="G1915" s="25" t="s">
        <v>92</v>
      </c>
      <c r="H1915" s="25" t="s">
        <v>93</v>
      </c>
      <c r="I1915" s="25" t="s">
        <v>94</v>
      </c>
      <c r="J1915" s="15" t="s">
        <v>28</v>
      </c>
      <c r="K1915" s="16" t="s">
        <v>45</v>
      </c>
      <c r="L1915" s="88"/>
      <c r="M1915" s="15"/>
      <c r="N1915" s="15" t="s">
        <v>265</v>
      </c>
      <c r="O1915" s="15"/>
      <c r="P1915" s="16" t="s">
        <v>2798</v>
      </c>
      <c r="Q1915" s="17">
        <v>14499</v>
      </c>
      <c r="R1915" s="18">
        <v>45</v>
      </c>
      <c r="S1915" s="19">
        <v>9170.6174999999985</v>
      </c>
      <c r="T1915" s="20" t="s">
        <v>99</v>
      </c>
      <c r="U1915" s="21" t="s">
        <v>235</v>
      </c>
      <c r="V1915" s="23">
        <v>40</v>
      </c>
      <c r="W1915" s="23">
        <v>2</v>
      </c>
      <c r="X1915" s="24"/>
    </row>
    <row r="1916" spans="1:24" s="1" customFormat="1" ht="37.049999999999997" customHeight="1" x14ac:dyDescent="0.3">
      <c r="A1916" s="25" t="s">
        <v>2784</v>
      </c>
      <c r="B1916" s="25" t="s">
        <v>2791</v>
      </c>
      <c r="C1916" s="12" t="s">
        <v>2807</v>
      </c>
      <c r="D1916" s="87"/>
      <c r="E1916" s="67" t="str">
        <f>HYPERLINK("https://www.google.ru/search?q=101987952&amp;newwindow=1&amp;tbm=isch","Еще фото")</f>
        <v>Еще фото</v>
      </c>
      <c r="F1916" s="14"/>
      <c r="G1916" s="25" t="s">
        <v>92</v>
      </c>
      <c r="H1916" s="25" t="s">
        <v>93</v>
      </c>
      <c r="I1916" s="25" t="s">
        <v>94</v>
      </c>
      <c r="J1916" s="15" t="s">
        <v>28</v>
      </c>
      <c r="K1916" s="16" t="s">
        <v>45</v>
      </c>
      <c r="L1916" s="84"/>
      <c r="M1916" s="15"/>
      <c r="N1916" s="15" t="s">
        <v>265</v>
      </c>
      <c r="O1916" s="15"/>
      <c r="P1916" s="16" t="s">
        <v>2798</v>
      </c>
      <c r="Q1916" s="17">
        <v>14499</v>
      </c>
      <c r="R1916" s="18">
        <v>45</v>
      </c>
      <c r="S1916" s="19">
        <v>9170.6174999999985</v>
      </c>
      <c r="T1916" s="20" t="s">
        <v>99</v>
      </c>
      <c r="U1916" s="21" t="s">
        <v>164</v>
      </c>
      <c r="V1916" s="23">
        <v>41</v>
      </c>
      <c r="W1916" s="23">
        <v>1</v>
      </c>
      <c r="X1916" s="24"/>
    </row>
    <row r="1917" spans="1:24" s="1" customFormat="1" ht="35" customHeight="1" x14ac:dyDescent="0.3">
      <c r="A1917" s="11" t="s">
        <v>2784</v>
      </c>
      <c r="B1917" s="11" t="s">
        <v>2791</v>
      </c>
      <c r="C1917" s="12" t="s">
        <v>2808</v>
      </c>
      <c r="D1917" s="85"/>
      <c r="E1917" s="67" t="str">
        <f>HYPERLINK("https://www.google.ru/search?q=101987954&amp;newwindow=1&amp;tbm=isch","Еще фото")</f>
        <v>Еще фото</v>
      </c>
      <c r="F1917" s="14"/>
      <c r="G1917" s="11" t="s">
        <v>92</v>
      </c>
      <c r="H1917" s="11" t="s">
        <v>93</v>
      </c>
      <c r="I1917" s="15" t="s">
        <v>94</v>
      </c>
      <c r="J1917" s="15" t="s">
        <v>28</v>
      </c>
      <c r="K1917" s="16" t="s">
        <v>45</v>
      </c>
      <c r="L1917" s="83"/>
      <c r="M1917" s="15"/>
      <c r="N1917" s="15" t="s">
        <v>225</v>
      </c>
      <c r="O1917" s="15"/>
      <c r="P1917" s="16" t="s">
        <v>2804</v>
      </c>
      <c r="Q1917" s="17">
        <v>14899</v>
      </c>
      <c r="R1917" s="18">
        <v>45</v>
      </c>
      <c r="S1917" s="19">
        <v>9423.6175000000003</v>
      </c>
      <c r="T1917" s="20" t="s">
        <v>99</v>
      </c>
      <c r="U1917" s="21" t="s">
        <v>100</v>
      </c>
      <c r="V1917" s="23">
        <v>39</v>
      </c>
      <c r="W1917" s="23">
        <v>3</v>
      </c>
      <c r="X1917" s="24"/>
    </row>
    <row r="1918" spans="1:24" s="1" customFormat="1" ht="35" customHeight="1" x14ac:dyDescent="0.3">
      <c r="A1918" s="25" t="s">
        <v>2784</v>
      </c>
      <c r="B1918" s="25" t="s">
        <v>2791</v>
      </c>
      <c r="C1918" s="12" t="s">
        <v>2808</v>
      </c>
      <c r="D1918" s="86"/>
      <c r="E1918" s="67" t="str">
        <f>HYPERLINK("https://www.google.ru/search?q=101987954&amp;newwindow=1&amp;tbm=isch","Еще фото")</f>
        <v>Еще фото</v>
      </c>
      <c r="F1918" s="14"/>
      <c r="G1918" s="25" t="s">
        <v>92</v>
      </c>
      <c r="H1918" s="25" t="s">
        <v>93</v>
      </c>
      <c r="I1918" s="25" t="s">
        <v>94</v>
      </c>
      <c r="J1918" s="15" t="s">
        <v>28</v>
      </c>
      <c r="K1918" s="16" t="s">
        <v>45</v>
      </c>
      <c r="L1918" s="88"/>
      <c r="M1918" s="15"/>
      <c r="N1918" s="15" t="s">
        <v>225</v>
      </c>
      <c r="O1918" s="15"/>
      <c r="P1918" s="16" t="s">
        <v>2804</v>
      </c>
      <c r="Q1918" s="17">
        <v>14899</v>
      </c>
      <c r="R1918" s="18">
        <v>45</v>
      </c>
      <c r="S1918" s="19">
        <v>9423.6175000000003</v>
      </c>
      <c r="T1918" s="20" t="s">
        <v>99</v>
      </c>
      <c r="U1918" s="21" t="s">
        <v>235</v>
      </c>
      <c r="V1918" s="23">
        <v>40</v>
      </c>
      <c r="W1918" s="23">
        <v>3</v>
      </c>
      <c r="X1918" s="24"/>
    </row>
    <row r="1919" spans="1:24" s="1" customFormat="1" ht="37.049999999999997" customHeight="1" x14ac:dyDescent="0.3">
      <c r="A1919" s="25" t="s">
        <v>2784</v>
      </c>
      <c r="B1919" s="25" t="s">
        <v>2791</v>
      </c>
      <c r="C1919" s="12" t="s">
        <v>2808</v>
      </c>
      <c r="D1919" s="87"/>
      <c r="E1919" s="67" t="str">
        <f>HYPERLINK("https://www.google.ru/search?q=101987954&amp;newwindow=1&amp;tbm=isch","Еще фото")</f>
        <v>Еще фото</v>
      </c>
      <c r="F1919" s="14"/>
      <c r="G1919" s="25" t="s">
        <v>92</v>
      </c>
      <c r="H1919" s="25" t="s">
        <v>93</v>
      </c>
      <c r="I1919" s="25" t="s">
        <v>94</v>
      </c>
      <c r="J1919" s="15" t="s">
        <v>28</v>
      </c>
      <c r="K1919" s="16" t="s">
        <v>45</v>
      </c>
      <c r="L1919" s="84"/>
      <c r="M1919" s="15"/>
      <c r="N1919" s="15" t="s">
        <v>225</v>
      </c>
      <c r="O1919" s="15"/>
      <c r="P1919" s="16" t="s">
        <v>2804</v>
      </c>
      <c r="Q1919" s="17">
        <v>14899</v>
      </c>
      <c r="R1919" s="18">
        <v>45</v>
      </c>
      <c r="S1919" s="19">
        <v>9423.6175000000003</v>
      </c>
      <c r="T1919" s="20" t="s">
        <v>99</v>
      </c>
      <c r="U1919" s="21" t="s">
        <v>164</v>
      </c>
      <c r="V1919" s="23">
        <v>41</v>
      </c>
      <c r="W1919" s="23">
        <v>2</v>
      </c>
      <c r="X1919" s="24"/>
    </row>
    <row r="1920" spans="1:24" s="1" customFormat="1" ht="108" customHeight="1" x14ac:dyDescent="0.3">
      <c r="A1920" s="11" t="s">
        <v>2784</v>
      </c>
      <c r="B1920" s="11" t="s">
        <v>2791</v>
      </c>
      <c r="C1920" s="12" t="s">
        <v>2809</v>
      </c>
      <c r="D1920" s="13"/>
      <c r="E1920" s="67" t="str">
        <f>HYPERLINK("https://www.google.ru/search?q=101987955&amp;newwindow=1&amp;tbm=isch","Еще фото")</f>
        <v>Еще фото</v>
      </c>
      <c r="F1920" s="14"/>
      <c r="G1920" s="11" t="s">
        <v>92</v>
      </c>
      <c r="H1920" s="11" t="s">
        <v>93</v>
      </c>
      <c r="I1920" s="15" t="s">
        <v>94</v>
      </c>
      <c r="J1920" s="15" t="s">
        <v>28</v>
      </c>
      <c r="K1920" s="16" t="s">
        <v>45</v>
      </c>
      <c r="L1920" s="15"/>
      <c r="M1920" s="15"/>
      <c r="N1920" s="15" t="s">
        <v>38</v>
      </c>
      <c r="O1920" s="15"/>
      <c r="P1920" s="16" t="s">
        <v>2804</v>
      </c>
      <c r="Q1920" s="17">
        <v>14899</v>
      </c>
      <c r="R1920" s="18">
        <v>45</v>
      </c>
      <c r="S1920" s="19">
        <v>9423.6175000000003</v>
      </c>
      <c r="T1920" s="20" t="s">
        <v>99</v>
      </c>
      <c r="U1920" s="21" t="s">
        <v>158</v>
      </c>
      <c r="V1920" s="23">
        <v>43</v>
      </c>
      <c r="W1920" s="23">
        <v>1</v>
      </c>
      <c r="X1920" s="24"/>
    </row>
    <row r="1921" spans="1:24" s="1" customFormat="1" ht="52.05" customHeight="1" x14ac:dyDescent="0.3">
      <c r="A1921" s="11" t="s">
        <v>2784</v>
      </c>
      <c r="B1921" s="11" t="s">
        <v>2791</v>
      </c>
      <c r="C1921" s="12" t="s">
        <v>2810</v>
      </c>
      <c r="D1921" s="81"/>
      <c r="E1921" s="67" t="str">
        <f>HYPERLINK("https://www.google.ru/search?q=101987957&amp;newwindow=1&amp;tbm=isch","Еще фото")</f>
        <v>Еще фото</v>
      </c>
      <c r="F1921" s="14"/>
      <c r="G1921" s="11" t="s">
        <v>92</v>
      </c>
      <c r="H1921" s="11" t="s">
        <v>93</v>
      </c>
      <c r="I1921" s="15" t="s">
        <v>94</v>
      </c>
      <c r="J1921" s="15" t="s">
        <v>28</v>
      </c>
      <c r="K1921" s="16" t="s">
        <v>45</v>
      </c>
      <c r="L1921" s="83"/>
      <c r="M1921" s="15"/>
      <c r="N1921" s="15" t="s">
        <v>265</v>
      </c>
      <c r="O1921" s="15"/>
      <c r="P1921" s="16" t="s">
        <v>2798</v>
      </c>
      <c r="Q1921" s="17">
        <v>14499</v>
      </c>
      <c r="R1921" s="18">
        <v>45</v>
      </c>
      <c r="S1921" s="19">
        <v>9170.6174999999985</v>
      </c>
      <c r="T1921" s="20" t="s">
        <v>99</v>
      </c>
      <c r="U1921" s="21" t="s">
        <v>100</v>
      </c>
      <c r="V1921" s="23">
        <v>39</v>
      </c>
      <c r="W1921" s="23">
        <v>1</v>
      </c>
      <c r="X1921" s="24"/>
    </row>
    <row r="1922" spans="1:24" s="1" customFormat="1" ht="61.05" customHeight="1" x14ac:dyDescent="0.3">
      <c r="A1922" s="25" t="s">
        <v>2784</v>
      </c>
      <c r="B1922" s="25" t="s">
        <v>2791</v>
      </c>
      <c r="C1922" s="12" t="s">
        <v>2810</v>
      </c>
      <c r="D1922" s="82"/>
      <c r="E1922" s="67" t="str">
        <f>HYPERLINK("https://www.google.ru/search?q=101987957&amp;newwindow=1&amp;tbm=isch","Еще фото")</f>
        <v>Еще фото</v>
      </c>
      <c r="F1922" s="14"/>
      <c r="G1922" s="25" t="s">
        <v>92</v>
      </c>
      <c r="H1922" s="25" t="s">
        <v>93</v>
      </c>
      <c r="I1922" s="25" t="s">
        <v>94</v>
      </c>
      <c r="J1922" s="15" t="s">
        <v>28</v>
      </c>
      <c r="K1922" s="16" t="s">
        <v>45</v>
      </c>
      <c r="L1922" s="84"/>
      <c r="M1922" s="15"/>
      <c r="N1922" s="15" t="s">
        <v>265</v>
      </c>
      <c r="O1922" s="15"/>
      <c r="P1922" s="16" t="s">
        <v>2798</v>
      </c>
      <c r="Q1922" s="17">
        <v>14499</v>
      </c>
      <c r="R1922" s="18">
        <v>45</v>
      </c>
      <c r="S1922" s="19">
        <v>9170.6174999999985</v>
      </c>
      <c r="T1922" s="20" t="s">
        <v>99</v>
      </c>
      <c r="U1922" s="21" t="s">
        <v>235</v>
      </c>
      <c r="V1922" s="23">
        <v>40</v>
      </c>
      <c r="W1922" s="23">
        <v>2</v>
      </c>
      <c r="X1922" s="24"/>
    </row>
    <row r="1923" spans="1:24" s="1" customFormat="1" ht="26" customHeight="1" x14ac:dyDescent="0.3">
      <c r="A1923" s="11" t="s">
        <v>2784</v>
      </c>
      <c r="B1923" s="11" t="s">
        <v>2791</v>
      </c>
      <c r="C1923" s="12" t="s">
        <v>2811</v>
      </c>
      <c r="D1923" s="85"/>
      <c r="E1923" s="67" t="str">
        <f>HYPERLINK("https://www.google.ru/search?q=101987959&amp;newwindow=1&amp;tbm=isch","Еще фото")</f>
        <v>Еще фото</v>
      </c>
      <c r="F1923" s="14"/>
      <c r="G1923" s="11" t="s">
        <v>92</v>
      </c>
      <c r="H1923" s="11" t="s">
        <v>93</v>
      </c>
      <c r="I1923" s="15" t="s">
        <v>94</v>
      </c>
      <c r="J1923" s="15" t="s">
        <v>28</v>
      </c>
      <c r="K1923" s="16" t="s">
        <v>45</v>
      </c>
      <c r="L1923" s="83"/>
      <c r="M1923" s="15"/>
      <c r="N1923" s="15" t="s">
        <v>265</v>
      </c>
      <c r="O1923" s="15"/>
      <c r="P1923" s="16" t="s">
        <v>2798</v>
      </c>
      <c r="Q1923" s="17">
        <v>14499</v>
      </c>
      <c r="R1923" s="18">
        <v>45</v>
      </c>
      <c r="S1923" s="19">
        <v>9170.6174999999985</v>
      </c>
      <c r="T1923" s="20" t="s">
        <v>99</v>
      </c>
      <c r="U1923" s="21" t="s">
        <v>100</v>
      </c>
      <c r="V1923" s="23">
        <v>39</v>
      </c>
      <c r="W1923" s="23">
        <v>1</v>
      </c>
      <c r="X1923" s="24"/>
    </row>
    <row r="1924" spans="1:24" s="1" customFormat="1" ht="26" customHeight="1" x14ac:dyDescent="0.3">
      <c r="A1924" s="25" t="s">
        <v>2784</v>
      </c>
      <c r="B1924" s="25" t="s">
        <v>2791</v>
      </c>
      <c r="C1924" s="12" t="s">
        <v>2811</v>
      </c>
      <c r="D1924" s="86"/>
      <c r="E1924" s="67" t="str">
        <f>HYPERLINK("https://www.google.ru/search?q=101987959&amp;newwindow=1&amp;tbm=isch","Еще фото")</f>
        <v>Еще фото</v>
      </c>
      <c r="F1924" s="14"/>
      <c r="G1924" s="25" t="s">
        <v>92</v>
      </c>
      <c r="H1924" s="25" t="s">
        <v>93</v>
      </c>
      <c r="I1924" s="25" t="s">
        <v>94</v>
      </c>
      <c r="J1924" s="15" t="s">
        <v>28</v>
      </c>
      <c r="K1924" s="16" t="s">
        <v>45</v>
      </c>
      <c r="L1924" s="88"/>
      <c r="M1924" s="15"/>
      <c r="N1924" s="15" t="s">
        <v>265</v>
      </c>
      <c r="O1924" s="15"/>
      <c r="P1924" s="16" t="s">
        <v>2798</v>
      </c>
      <c r="Q1924" s="17">
        <v>14499</v>
      </c>
      <c r="R1924" s="18">
        <v>45</v>
      </c>
      <c r="S1924" s="19">
        <v>9170.6174999999985</v>
      </c>
      <c r="T1924" s="20" t="s">
        <v>99</v>
      </c>
      <c r="U1924" s="21" t="s">
        <v>235</v>
      </c>
      <c r="V1924" s="23">
        <v>40</v>
      </c>
      <c r="W1924" s="23">
        <v>1</v>
      </c>
      <c r="X1924" s="24"/>
    </row>
    <row r="1925" spans="1:24" s="1" customFormat="1" ht="26" customHeight="1" x14ac:dyDescent="0.3">
      <c r="A1925" s="25" t="s">
        <v>2784</v>
      </c>
      <c r="B1925" s="25" t="s">
        <v>2791</v>
      </c>
      <c r="C1925" s="12" t="s">
        <v>2811</v>
      </c>
      <c r="D1925" s="86"/>
      <c r="E1925" s="67" t="str">
        <f>HYPERLINK("https://www.google.ru/search?q=101987959&amp;newwindow=1&amp;tbm=isch","Еще фото")</f>
        <v>Еще фото</v>
      </c>
      <c r="F1925" s="14"/>
      <c r="G1925" s="25" t="s">
        <v>92</v>
      </c>
      <c r="H1925" s="25" t="s">
        <v>93</v>
      </c>
      <c r="I1925" s="25" t="s">
        <v>94</v>
      </c>
      <c r="J1925" s="15" t="s">
        <v>28</v>
      </c>
      <c r="K1925" s="16" t="s">
        <v>45</v>
      </c>
      <c r="L1925" s="88"/>
      <c r="M1925" s="15"/>
      <c r="N1925" s="15" t="s">
        <v>265</v>
      </c>
      <c r="O1925" s="15"/>
      <c r="P1925" s="16" t="s">
        <v>2798</v>
      </c>
      <c r="Q1925" s="17">
        <v>14499</v>
      </c>
      <c r="R1925" s="18">
        <v>45</v>
      </c>
      <c r="S1925" s="19">
        <v>9170.6174999999985</v>
      </c>
      <c r="T1925" s="20" t="s">
        <v>99</v>
      </c>
      <c r="U1925" s="21" t="s">
        <v>164</v>
      </c>
      <c r="V1925" s="23">
        <v>41</v>
      </c>
      <c r="W1925" s="23">
        <v>1</v>
      </c>
      <c r="X1925" s="24"/>
    </row>
    <row r="1926" spans="1:24" s="1" customFormat="1" ht="26" customHeight="1" x14ac:dyDescent="0.3">
      <c r="A1926" s="25" t="s">
        <v>2784</v>
      </c>
      <c r="B1926" s="25" t="s">
        <v>2791</v>
      </c>
      <c r="C1926" s="12" t="s">
        <v>2811</v>
      </c>
      <c r="D1926" s="87"/>
      <c r="E1926" s="67" t="str">
        <f>HYPERLINK("https://www.google.ru/search?q=101987959&amp;newwindow=1&amp;tbm=isch","Еще фото")</f>
        <v>Еще фото</v>
      </c>
      <c r="F1926" s="14"/>
      <c r="G1926" s="25" t="s">
        <v>92</v>
      </c>
      <c r="H1926" s="25" t="s">
        <v>93</v>
      </c>
      <c r="I1926" s="25" t="s">
        <v>94</v>
      </c>
      <c r="J1926" s="15" t="s">
        <v>28</v>
      </c>
      <c r="K1926" s="16" t="s">
        <v>45</v>
      </c>
      <c r="L1926" s="84"/>
      <c r="M1926" s="15"/>
      <c r="N1926" s="15" t="s">
        <v>265</v>
      </c>
      <c r="O1926" s="15"/>
      <c r="P1926" s="16" t="s">
        <v>2798</v>
      </c>
      <c r="Q1926" s="17">
        <v>14499</v>
      </c>
      <c r="R1926" s="18">
        <v>45</v>
      </c>
      <c r="S1926" s="19">
        <v>9170.6174999999985</v>
      </c>
      <c r="T1926" s="20" t="s">
        <v>99</v>
      </c>
      <c r="U1926" s="21" t="s">
        <v>165</v>
      </c>
      <c r="V1926" s="23">
        <v>42</v>
      </c>
      <c r="W1926" s="23">
        <v>1</v>
      </c>
      <c r="X1926" s="24"/>
    </row>
    <row r="1927" spans="1:24" s="1" customFormat="1" ht="108" customHeight="1" x14ac:dyDescent="0.3">
      <c r="A1927" s="11" t="s">
        <v>2784</v>
      </c>
      <c r="B1927" s="11" t="s">
        <v>2791</v>
      </c>
      <c r="C1927" s="12" t="s">
        <v>2812</v>
      </c>
      <c r="D1927" s="13"/>
      <c r="E1927" s="67" t="str">
        <f>HYPERLINK("https://www.google.ru/search?q=101987963&amp;newwindow=1&amp;tbm=isch","Еще фото")</f>
        <v>Еще фото</v>
      </c>
      <c r="F1927" s="14"/>
      <c r="G1927" s="11" t="s">
        <v>92</v>
      </c>
      <c r="H1927" s="11" t="s">
        <v>93</v>
      </c>
      <c r="I1927" s="15" t="s">
        <v>94</v>
      </c>
      <c r="J1927" s="15" t="s">
        <v>28</v>
      </c>
      <c r="K1927" s="16" t="s">
        <v>45</v>
      </c>
      <c r="L1927" s="15"/>
      <c r="M1927" s="15"/>
      <c r="N1927" s="15" t="s">
        <v>225</v>
      </c>
      <c r="O1927" s="15"/>
      <c r="P1927" s="16" t="s">
        <v>2798</v>
      </c>
      <c r="Q1927" s="17">
        <v>15999</v>
      </c>
      <c r="R1927" s="18">
        <v>45</v>
      </c>
      <c r="S1927" s="19">
        <v>10119.3675</v>
      </c>
      <c r="T1927" s="20" t="s">
        <v>99</v>
      </c>
      <c r="U1927" s="21" t="s">
        <v>235</v>
      </c>
      <c r="V1927" s="23">
        <v>40</v>
      </c>
      <c r="W1927" s="23">
        <v>1</v>
      </c>
      <c r="X1927" s="24"/>
    </row>
    <row r="1928" spans="1:24" s="1" customFormat="1" ht="21" customHeight="1" x14ac:dyDescent="0.3">
      <c r="A1928" s="11" t="s">
        <v>2784</v>
      </c>
      <c r="B1928" s="11" t="s">
        <v>2788</v>
      </c>
      <c r="C1928" s="27" t="s">
        <v>2813</v>
      </c>
      <c r="D1928" s="85"/>
      <c r="E1928" s="67" t="str">
        <f>HYPERLINK("https://www.google.ru/search?q=101988075&amp;newwindow=1&amp;tbm=isch","Еще фото")</f>
        <v>Еще фото</v>
      </c>
      <c r="F1928" s="14"/>
      <c r="G1928" s="11" t="s">
        <v>92</v>
      </c>
      <c r="H1928" s="11" t="s">
        <v>93</v>
      </c>
      <c r="I1928" s="15" t="s">
        <v>94</v>
      </c>
      <c r="J1928" s="15" t="s">
        <v>28</v>
      </c>
      <c r="K1928" s="16" t="s">
        <v>29</v>
      </c>
      <c r="L1928" s="83"/>
      <c r="M1928" s="15"/>
      <c r="N1928" s="15" t="s">
        <v>2473</v>
      </c>
      <c r="O1928" s="15"/>
      <c r="P1928" s="16" t="s">
        <v>2814</v>
      </c>
      <c r="Q1928" s="17">
        <v>13999</v>
      </c>
      <c r="R1928" s="18">
        <v>45</v>
      </c>
      <c r="S1928" s="19">
        <v>8854.3674999999985</v>
      </c>
      <c r="T1928" s="20" t="s">
        <v>99</v>
      </c>
      <c r="U1928" s="21" t="s">
        <v>894</v>
      </c>
      <c r="V1928" s="23">
        <v>35</v>
      </c>
      <c r="W1928" s="23">
        <v>3</v>
      </c>
      <c r="X1928" s="24"/>
    </row>
    <row r="1929" spans="1:24" s="1" customFormat="1" ht="21" customHeight="1" x14ac:dyDescent="0.3">
      <c r="A1929" s="25" t="s">
        <v>2784</v>
      </c>
      <c r="B1929" s="25" t="s">
        <v>2788</v>
      </c>
      <c r="C1929" s="28" t="s">
        <v>2813</v>
      </c>
      <c r="D1929" s="86"/>
      <c r="E1929" s="67" t="str">
        <f>HYPERLINK("https://www.google.ru/search?q=101988075&amp;newwindow=1&amp;tbm=isch","Еще фото")</f>
        <v>Еще фото</v>
      </c>
      <c r="F1929" s="14"/>
      <c r="G1929" s="25" t="s">
        <v>92</v>
      </c>
      <c r="H1929" s="25" t="s">
        <v>93</v>
      </c>
      <c r="I1929" s="25" t="s">
        <v>94</v>
      </c>
      <c r="J1929" s="15" t="s">
        <v>28</v>
      </c>
      <c r="K1929" s="16" t="s">
        <v>29</v>
      </c>
      <c r="L1929" s="88"/>
      <c r="M1929" s="15"/>
      <c r="N1929" s="15" t="s">
        <v>2473</v>
      </c>
      <c r="O1929" s="15"/>
      <c r="P1929" s="16" t="s">
        <v>2814</v>
      </c>
      <c r="Q1929" s="17">
        <v>13999</v>
      </c>
      <c r="R1929" s="18">
        <v>45</v>
      </c>
      <c r="S1929" s="19">
        <v>8854.3674999999985</v>
      </c>
      <c r="T1929" s="20" t="s">
        <v>99</v>
      </c>
      <c r="U1929" s="21" t="s">
        <v>170</v>
      </c>
      <c r="V1929" s="23">
        <v>36</v>
      </c>
      <c r="W1929" s="23">
        <v>6</v>
      </c>
      <c r="X1929" s="24"/>
    </row>
    <row r="1930" spans="1:24" s="1" customFormat="1" ht="21" customHeight="1" x14ac:dyDescent="0.3">
      <c r="A1930" s="25" t="s">
        <v>2784</v>
      </c>
      <c r="B1930" s="25" t="s">
        <v>2788</v>
      </c>
      <c r="C1930" s="28" t="s">
        <v>2813</v>
      </c>
      <c r="D1930" s="86"/>
      <c r="E1930" s="67" t="str">
        <f>HYPERLINK("https://www.google.ru/search?q=101988075&amp;newwindow=1&amp;tbm=isch","Еще фото")</f>
        <v>Еще фото</v>
      </c>
      <c r="F1930" s="14"/>
      <c r="G1930" s="25" t="s">
        <v>92</v>
      </c>
      <c r="H1930" s="25" t="s">
        <v>93</v>
      </c>
      <c r="I1930" s="25" t="s">
        <v>94</v>
      </c>
      <c r="J1930" s="15" t="s">
        <v>28</v>
      </c>
      <c r="K1930" s="16" t="s">
        <v>29</v>
      </c>
      <c r="L1930" s="88"/>
      <c r="M1930" s="15"/>
      <c r="N1930" s="15" t="s">
        <v>2473</v>
      </c>
      <c r="O1930" s="15"/>
      <c r="P1930" s="16" t="s">
        <v>2814</v>
      </c>
      <c r="Q1930" s="17">
        <v>13999</v>
      </c>
      <c r="R1930" s="18">
        <v>45</v>
      </c>
      <c r="S1930" s="19">
        <v>8854.3674999999985</v>
      </c>
      <c r="T1930" s="20" t="s">
        <v>99</v>
      </c>
      <c r="U1930" s="21" t="s">
        <v>202</v>
      </c>
      <c r="V1930" s="23">
        <v>37</v>
      </c>
      <c r="W1930" s="23">
        <v>5</v>
      </c>
      <c r="X1930" s="24"/>
    </row>
    <row r="1931" spans="1:24" s="1" customFormat="1" ht="21" customHeight="1" x14ac:dyDescent="0.3">
      <c r="A1931" s="25" t="s">
        <v>2784</v>
      </c>
      <c r="B1931" s="25" t="s">
        <v>2788</v>
      </c>
      <c r="C1931" s="28" t="s">
        <v>2813</v>
      </c>
      <c r="D1931" s="86"/>
      <c r="E1931" s="67" t="str">
        <f>HYPERLINK("https://www.google.ru/search?q=101988075&amp;newwindow=1&amp;tbm=isch","Еще фото")</f>
        <v>Еще фото</v>
      </c>
      <c r="F1931" s="14"/>
      <c r="G1931" s="25" t="s">
        <v>92</v>
      </c>
      <c r="H1931" s="25" t="s">
        <v>93</v>
      </c>
      <c r="I1931" s="25" t="s">
        <v>94</v>
      </c>
      <c r="J1931" s="15" t="s">
        <v>28</v>
      </c>
      <c r="K1931" s="16" t="s">
        <v>29</v>
      </c>
      <c r="L1931" s="88"/>
      <c r="M1931" s="15"/>
      <c r="N1931" s="15" t="s">
        <v>2473</v>
      </c>
      <c r="O1931" s="15"/>
      <c r="P1931" s="16" t="s">
        <v>2814</v>
      </c>
      <c r="Q1931" s="17">
        <v>13999</v>
      </c>
      <c r="R1931" s="18">
        <v>45</v>
      </c>
      <c r="S1931" s="19">
        <v>8854.3674999999985</v>
      </c>
      <c r="T1931" s="20" t="s">
        <v>99</v>
      </c>
      <c r="U1931" s="21" t="s">
        <v>175</v>
      </c>
      <c r="V1931" s="23">
        <v>38</v>
      </c>
      <c r="W1931" s="23">
        <v>2</v>
      </c>
      <c r="X1931" s="24"/>
    </row>
    <row r="1932" spans="1:24" s="1" customFormat="1" ht="32" customHeight="1" x14ac:dyDescent="0.3">
      <c r="A1932" s="25" t="s">
        <v>2784</v>
      </c>
      <c r="B1932" s="25" t="s">
        <v>2788</v>
      </c>
      <c r="C1932" s="28" t="s">
        <v>2813</v>
      </c>
      <c r="D1932" s="87"/>
      <c r="E1932" s="67" t="str">
        <f>HYPERLINK("https://www.google.ru/search?q=101988075&amp;newwindow=1&amp;tbm=isch","Еще фото")</f>
        <v>Еще фото</v>
      </c>
      <c r="F1932" s="14"/>
      <c r="G1932" s="25" t="s">
        <v>92</v>
      </c>
      <c r="H1932" s="25" t="s">
        <v>93</v>
      </c>
      <c r="I1932" s="25" t="s">
        <v>94</v>
      </c>
      <c r="J1932" s="15" t="s">
        <v>28</v>
      </c>
      <c r="K1932" s="16" t="s">
        <v>29</v>
      </c>
      <c r="L1932" s="84"/>
      <c r="M1932" s="15"/>
      <c r="N1932" s="15" t="s">
        <v>2473</v>
      </c>
      <c r="O1932" s="15"/>
      <c r="P1932" s="16" t="s">
        <v>2814</v>
      </c>
      <c r="Q1932" s="17">
        <v>13999</v>
      </c>
      <c r="R1932" s="18">
        <v>45</v>
      </c>
      <c r="S1932" s="19">
        <v>8854.3674999999985</v>
      </c>
      <c r="T1932" s="20" t="s">
        <v>99</v>
      </c>
      <c r="U1932" s="21" t="s">
        <v>100</v>
      </c>
      <c r="V1932" s="23">
        <v>39</v>
      </c>
      <c r="W1932" s="23">
        <v>3</v>
      </c>
      <c r="X1932" s="24"/>
    </row>
    <row r="1933" spans="1:24" s="1" customFormat="1" ht="26" customHeight="1" x14ac:dyDescent="0.3">
      <c r="A1933" s="11" t="s">
        <v>2784</v>
      </c>
      <c r="B1933" s="11" t="s">
        <v>2815</v>
      </c>
      <c r="C1933" s="12" t="s">
        <v>2816</v>
      </c>
      <c r="D1933" s="85"/>
      <c r="E1933" s="67" t="str">
        <f>HYPERLINK("https://www.google.ru/search?q=101988091&amp;newwindow=1&amp;tbm=isch","Еще фото")</f>
        <v>Еще фото</v>
      </c>
      <c r="F1933" s="14"/>
      <c r="G1933" s="11" t="s">
        <v>2817</v>
      </c>
      <c r="H1933" s="11" t="s">
        <v>93</v>
      </c>
      <c r="I1933" s="15" t="s">
        <v>94</v>
      </c>
      <c r="J1933" s="15" t="s">
        <v>28</v>
      </c>
      <c r="K1933" s="16" t="s">
        <v>29</v>
      </c>
      <c r="L1933" s="83"/>
      <c r="M1933" s="15"/>
      <c r="N1933" s="15" t="s">
        <v>38</v>
      </c>
      <c r="O1933" s="15"/>
      <c r="P1933" s="16" t="s">
        <v>2798</v>
      </c>
      <c r="Q1933" s="17">
        <v>8399</v>
      </c>
      <c r="R1933" s="18">
        <v>45</v>
      </c>
      <c r="S1933" s="19">
        <v>5312.3674999999994</v>
      </c>
      <c r="T1933" s="20" t="s">
        <v>99</v>
      </c>
      <c r="U1933" s="21" t="s">
        <v>170</v>
      </c>
      <c r="V1933" s="23">
        <v>36</v>
      </c>
      <c r="W1933" s="23">
        <v>5</v>
      </c>
      <c r="X1933" s="24"/>
    </row>
    <row r="1934" spans="1:24" s="1" customFormat="1" ht="26" customHeight="1" x14ac:dyDescent="0.3">
      <c r="A1934" s="25" t="s">
        <v>2784</v>
      </c>
      <c r="B1934" s="25" t="s">
        <v>2815</v>
      </c>
      <c r="C1934" s="12" t="s">
        <v>2816</v>
      </c>
      <c r="D1934" s="86"/>
      <c r="E1934" s="67" t="str">
        <f>HYPERLINK("https://www.google.ru/search?q=101988091&amp;newwindow=1&amp;tbm=isch","Еще фото")</f>
        <v>Еще фото</v>
      </c>
      <c r="F1934" s="14"/>
      <c r="G1934" s="25" t="s">
        <v>2817</v>
      </c>
      <c r="H1934" s="25" t="s">
        <v>93</v>
      </c>
      <c r="I1934" s="25" t="s">
        <v>94</v>
      </c>
      <c r="J1934" s="15" t="s">
        <v>28</v>
      </c>
      <c r="K1934" s="16" t="s">
        <v>29</v>
      </c>
      <c r="L1934" s="88"/>
      <c r="M1934" s="15"/>
      <c r="N1934" s="15" t="s">
        <v>38</v>
      </c>
      <c r="O1934" s="15"/>
      <c r="P1934" s="16" t="s">
        <v>2798</v>
      </c>
      <c r="Q1934" s="17">
        <v>8399</v>
      </c>
      <c r="R1934" s="18">
        <v>45</v>
      </c>
      <c r="S1934" s="19">
        <v>5312.3674999999994</v>
      </c>
      <c r="T1934" s="20" t="s">
        <v>99</v>
      </c>
      <c r="U1934" s="21" t="s">
        <v>202</v>
      </c>
      <c r="V1934" s="23">
        <v>37</v>
      </c>
      <c r="W1934" s="23">
        <v>7</v>
      </c>
      <c r="X1934" s="24"/>
    </row>
    <row r="1935" spans="1:24" s="1" customFormat="1" ht="26" customHeight="1" x14ac:dyDescent="0.3">
      <c r="A1935" s="25" t="s">
        <v>2784</v>
      </c>
      <c r="B1935" s="25" t="s">
        <v>2815</v>
      </c>
      <c r="C1935" s="12" t="s">
        <v>2816</v>
      </c>
      <c r="D1935" s="86"/>
      <c r="E1935" s="67" t="str">
        <f>HYPERLINK("https://www.google.ru/search?q=101988091&amp;newwindow=1&amp;tbm=isch","Еще фото")</f>
        <v>Еще фото</v>
      </c>
      <c r="F1935" s="14"/>
      <c r="G1935" s="25" t="s">
        <v>2817</v>
      </c>
      <c r="H1935" s="25" t="s">
        <v>93</v>
      </c>
      <c r="I1935" s="25" t="s">
        <v>94</v>
      </c>
      <c r="J1935" s="15" t="s">
        <v>28</v>
      </c>
      <c r="K1935" s="16" t="s">
        <v>29</v>
      </c>
      <c r="L1935" s="88"/>
      <c r="M1935" s="15"/>
      <c r="N1935" s="15" t="s">
        <v>38</v>
      </c>
      <c r="O1935" s="15"/>
      <c r="P1935" s="16" t="s">
        <v>2798</v>
      </c>
      <c r="Q1935" s="17">
        <v>8399</v>
      </c>
      <c r="R1935" s="18">
        <v>45</v>
      </c>
      <c r="S1935" s="19">
        <v>5312.3674999999994</v>
      </c>
      <c r="T1935" s="20" t="s">
        <v>99</v>
      </c>
      <c r="U1935" s="21" t="s">
        <v>175</v>
      </c>
      <c r="V1935" s="23">
        <v>38</v>
      </c>
      <c r="W1935" s="23">
        <v>7</v>
      </c>
      <c r="X1935" s="24"/>
    </row>
    <row r="1936" spans="1:24" s="1" customFormat="1" ht="26" customHeight="1" x14ac:dyDescent="0.3">
      <c r="A1936" s="25" t="s">
        <v>2784</v>
      </c>
      <c r="B1936" s="25" t="s">
        <v>2815</v>
      </c>
      <c r="C1936" s="12" t="s">
        <v>2816</v>
      </c>
      <c r="D1936" s="87"/>
      <c r="E1936" s="67" t="str">
        <f>HYPERLINK("https://www.google.ru/search?q=101988091&amp;newwindow=1&amp;tbm=isch","Еще фото")</f>
        <v>Еще фото</v>
      </c>
      <c r="F1936" s="14"/>
      <c r="G1936" s="25" t="s">
        <v>2817</v>
      </c>
      <c r="H1936" s="25" t="s">
        <v>93</v>
      </c>
      <c r="I1936" s="25" t="s">
        <v>94</v>
      </c>
      <c r="J1936" s="15" t="s">
        <v>28</v>
      </c>
      <c r="K1936" s="16" t="s">
        <v>29</v>
      </c>
      <c r="L1936" s="84"/>
      <c r="M1936" s="15"/>
      <c r="N1936" s="15" t="s">
        <v>38</v>
      </c>
      <c r="O1936" s="15"/>
      <c r="P1936" s="16" t="s">
        <v>2798</v>
      </c>
      <c r="Q1936" s="17">
        <v>8399</v>
      </c>
      <c r="R1936" s="18">
        <v>45</v>
      </c>
      <c r="S1936" s="19">
        <v>5312.3674999999994</v>
      </c>
      <c r="T1936" s="20" t="s">
        <v>99</v>
      </c>
      <c r="U1936" s="21" t="s">
        <v>100</v>
      </c>
      <c r="V1936" s="23">
        <v>39</v>
      </c>
      <c r="W1936" s="23">
        <v>3</v>
      </c>
      <c r="X1936" s="24"/>
    </row>
    <row r="1937" spans="1:24" s="1" customFormat="1" ht="35" customHeight="1" x14ac:dyDescent="0.3">
      <c r="A1937" s="11" t="s">
        <v>2784</v>
      </c>
      <c r="B1937" s="11" t="s">
        <v>2791</v>
      </c>
      <c r="C1937" s="12" t="s">
        <v>2818</v>
      </c>
      <c r="D1937" s="85"/>
      <c r="E1937" s="67" t="str">
        <f>HYPERLINK("https://www.google.ru/search?q=101988107&amp;newwindow=1&amp;tbm=isch","Еще фото")</f>
        <v>Еще фото</v>
      </c>
      <c r="F1937" s="14"/>
      <c r="G1937" s="11" t="s">
        <v>92</v>
      </c>
      <c r="H1937" s="11" t="s">
        <v>93</v>
      </c>
      <c r="I1937" s="15" t="s">
        <v>94</v>
      </c>
      <c r="J1937" s="15" t="s">
        <v>28</v>
      </c>
      <c r="K1937" s="16" t="s">
        <v>45</v>
      </c>
      <c r="L1937" s="83"/>
      <c r="M1937" s="15"/>
      <c r="N1937" s="15" t="s">
        <v>265</v>
      </c>
      <c r="O1937" s="15"/>
      <c r="P1937" s="16" t="s">
        <v>2819</v>
      </c>
      <c r="Q1937" s="17">
        <v>14899</v>
      </c>
      <c r="R1937" s="18">
        <v>45</v>
      </c>
      <c r="S1937" s="19">
        <v>9423.6175000000003</v>
      </c>
      <c r="T1937" s="20" t="s">
        <v>99</v>
      </c>
      <c r="U1937" s="21" t="s">
        <v>894</v>
      </c>
      <c r="V1937" s="23">
        <v>35</v>
      </c>
      <c r="W1937" s="23">
        <v>2</v>
      </c>
      <c r="X1937" s="24"/>
    </row>
    <row r="1938" spans="1:24" s="1" customFormat="1" ht="35" customHeight="1" x14ac:dyDescent="0.3">
      <c r="A1938" s="25" t="s">
        <v>2784</v>
      </c>
      <c r="B1938" s="25" t="s">
        <v>2791</v>
      </c>
      <c r="C1938" s="12" t="s">
        <v>2818</v>
      </c>
      <c r="D1938" s="86"/>
      <c r="E1938" s="67" t="str">
        <f>HYPERLINK("https://www.google.ru/search?q=101988107&amp;newwindow=1&amp;tbm=isch","Еще фото")</f>
        <v>Еще фото</v>
      </c>
      <c r="F1938" s="14"/>
      <c r="G1938" s="25" t="s">
        <v>92</v>
      </c>
      <c r="H1938" s="25" t="s">
        <v>93</v>
      </c>
      <c r="I1938" s="25" t="s">
        <v>94</v>
      </c>
      <c r="J1938" s="15" t="s">
        <v>28</v>
      </c>
      <c r="K1938" s="16" t="s">
        <v>45</v>
      </c>
      <c r="L1938" s="88"/>
      <c r="M1938" s="15"/>
      <c r="N1938" s="15" t="s">
        <v>265</v>
      </c>
      <c r="O1938" s="15"/>
      <c r="P1938" s="16" t="s">
        <v>2819</v>
      </c>
      <c r="Q1938" s="17">
        <v>14899</v>
      </c>
      <c r="R1938" s="18">
        <v>45</v>
      </c>
      <c r="S1938" s="19">
        <v>9423.6175000000003</v>
      </c>
      <c r="T1938" s="20" t="s">
        <v>99</v>
      </c>
      <c r="U1938" s="21" t="s">
        <v>170</v>
      </c>
      <c r="V1938" s="23">
        <v>36</v>
      </c>
      <c r="W1938" s="23">
        <v>2</v>
      </c>
      <c r="X1938" s="24"/>
    </row>
    <row r="1939" spans="1:24" s="1" customFormat="1" ht="37.049999999999997" customHeight="1" x14ac:dyDescent="0.3">
      <c r="A1939" s="25" t="s">
        <v>2784</v>
      </c>
      <c r="B1939" s="25" t="s">
        <v>2791</v>
      </c>
      <c r="C1939" s="12" t="s">
        <v>2818</v>
      </c>
      <c r="D1939" s="87"/>
      <c r="E1939" s="67" t="str">
        <f>HYPERLINK("https://www.google.ru/search?q=101988107&amp;newwindow=1&amp;tbm=isch","Еще фото")</f>
        <v>Еще фото</v>
      </c>
      <c r="F1939" s="14"/>
      <c r="G1939" s="25" t="s">
        <v>92</v>
      </c>
      <c r="H1939" s="25" t="s">
        <v>93</v>
      </c>
      <c r="I1939" s="25" t="s">
        <v>94</v>
      </c>
      <c r="J1939" s="15" t="s">
        <v>28</v>
      </c>
      <c r="K1939" s="16" t="s">
        <v>45</v>
      </c>
      <c r="L1939" s="84"/>
      <c r="M1939" s="15"/>
      <c r="N1939" s="15" t="s">
        <v>265</v>
      </c>
      <c r="O1939" s="15"/>
      <c r="P1939" s="16" t="s">
        <v>2819</v>
      </c>
      <c r="Q1939" s="17">
        <v>14899</v>
      </c>
      <c r="R1939" s="18">
        <v>45</v>
      </c>
      <c r="S1939" s="19">
        <v>9423.6175000000003</v>
      </c>
      <c r="T1939" s="20" t="s">
        <v>99</v>
      </c>
      <c r="U1939" s="21" t="s">
        <v>202</v>
      </c>
      <c r="V1939" s="23">
        <v>37</v>
      </c>
      <c r="W1939" s="23">
        <v>5</v>
      </c>
      <c r="X1939" s="24"/>
    </row>
    <row r="1940" spans="1:24" s="1" customFormat="1" ht="17" customHeight="1" x14ac:dyDescent="0.3">
      <c r="A1940" s="11" t="s">
        <v>2784</v>
      </c>
      <c r="B1940" s="11" t="s">
        <v>2791</v>
      </c>
      <c r="C1940" s="12" t="s">
        <v>2820</v>
      </c>
      <c r="D1940" s="85"/>
      <c r="E1940" s="67" t="str">
        <f t="shared" ref="E1940:E1945" si="28">HYPERLINK("https://www.google.ru/search?q=101988109&amp;newwindow=1&amp;tbm=isch","Еще фото")</f>
        <v>Еще фото</v>
      </c>
      <c r="F1940" s="14"/>
      <c r="G1940" s="11" t="s">
        <v>92</v>
      </c>
      <c r="H1940" s="11" t="s">
        <v>93</v>
      </c>
      <c r="I1940" s="15" t="s">
        <v>94</v>
      </c>
      <c r="J1940" s="15" t="s">
        <v>28</v>
      </c>
      <c r="K1940" s="16" t="s">
        <v>45</v>
      </c>
      <c r="L1940" s="83"/>
      <c r="M1940" s="15"/>
      <c r="N1940" s="15" t="s">
        <v>132</v>
      </c>
      <c r="O1940" s="15"/>
      <c r="P1940" s="16" t="s">
        <v>2819</v>
      </c>
      <c r="Q1940" s="17">
        <v>14899</v>
      </c>
      <c r="R1940" s="18">
        <v>45</v>
      </c>
      <c r="S1940" s="19">
        <v>9423.6175000000003</v>
      </c>
      <c r="T1940" s="20" t="s">
        <v>99</v>
      </c>
      <c r="U1940" s="21" t="s">
        <v>894</v>
      </c>
      <c r="V1940" s="23">
        <v>35</v>
      </c>
      <c r="W1940" s="23">
        <v>1</v>
      </c>
      <c r="X1940" s="24"/>
    </row>
    <row r="1941" spans="1:24" s="1" customFormat="1" ht="17" customHeight="1" x14ac:dyDescent="0.3">
      <c r="A1941" s="25" t="s">
        <v>2784</v>
      </c>
      <c r="B1941" s="25" t="s">
        <v>2791</v>
      </c>
      <c r="C1941" s="12" t="s">
        <v>2820</v>
      </c>
      <c r="D1941" s="86"/>
      <c r="E1941" s="67" t="str">
        <f t="shared" si="28"/>
        <v>Еще фото</v>
      </c>
      <c r="F1941" s="14"/>
      <c r="G1941" s="25" t="s">
        <v>92</v>
      </c>
      <c r="H1941" s="25" t="s">
        <v>93</v>
      </c>
      <c r="I1941" s="25" t="s">
        <v>94</v>
      </c>
      <c r="J1941" s="15" t="s">
        <v>28</v>
      </c>
      <c r="K1941" s="16" t="s">
        <v>45</v>
      </c>
      <c r="L1941" s="88"/>
      <c r="M1941" s="15"/>
      <c r="N1941" s="15" t="s">
        <v>132</v>
      </c>
      <c r="O1941" s="15"/>
      <c r="P1941" s="16" t="s">
        <v>2819</v>
      </c>
      <c r="Q1941" s="17">
        <v>14899</v>
      </c>
      <c r="R1941" s="18">
        <v>45</v>
      </c>
      <c r="S1941" s="19">
        <v>9423.6175000000003</v>
      </c>
      <c r="T1941" s="20" t="s">
        <v>99</v>
      </c>
      <c r="U1941" s="21" t="s">
        <v>170</v>
      </c>
      <c r="V1941" s="23">
        <v>36</v>
      </c>
      <c r="W1941" s="23">
        <v>4</v>
      </c>
      <c r="X1941" s="24"/>
    </row>
    <row r="1942" spans="1:24" s="1" customFormat="1" ht="17" customHeight="1" x14ac:dyDescent="0.3">
      <c r="A1942" s="25" t="s">
        <v>2784</v>
      </c>
      <c r="B1942" s="25" t="s">
        <v>2791</v>
      </c>
      <c r="C1942" s="12" t="s">
        <v>2820</v>
      </c>
      <c r="D1942" s="86"/>
      <c r="E1942" s="67" t="str">
        <f t="shared" si="28"/>
        <v>Еще фото</v>
      </c>
      <c r="F1942" s="14"/>
      <c r="G1942" s="25" t="s">
        <v>92</v>
      </c>
      <c r="H1942" s="25" t="s">
        <v>93</v>
      </c>
      <c r="I1942" s="25" t="s">
        <v>94</v>
      </c>
      <c r="J1942" s="15" t="s">
        <v>28</v>
      </c>
      <c r="K1942" s="16" t="s">
        <v>45</v>
      </c>
      <c r="L1942" s="88"/>
      <c r="M1942" s="15"/>
      <c r="N1942" s="15" t="s">
        <v>132</v>
      </c>
      <c r="O1942" s="15"/>
      <c r="P1942" s="16" t="s">
        <v>2819</v>
      </c>
      <c r="Q1942" s="17">
        <v>14899</v>
      </c>
      <c r="R1942" s="18">
        <v>45</v>
      </c>
      <c r="S1942" s="19">
        <v>9423.6175000000003</v>
      </c>
      <c r="T1942" s="20" t="s">
        <v>99</v>
      </c>
      <c r="U1942" s="21" t="s">
        <v>202</v>
      </c>
      <c r="V1942" s="23">
        <v>37</v>
      </c>
      <c r="W1942" s="23">
        <v>5</v>
      </c>
      <c r="X1942" s="24"/>
    </row>
    <row r="1943" spans="1:24" s="1" customFormat="1" ht="17" customHeight="1" x14ac:dyDescent="0.3">
      <c r="A1943" s="25" t="s">
        <v>2784</v>
      </c>
      <c r="B1943" s="25" t="s">
        <v>2791</v>
      </c>
      <c r="C1943" s="12" t="s">
        <v>2820</v>
      </c>
      <c r="D1943" s="86"/>
      <c r="E1943" s="67" t="str">
        <f t="shared" si="28"/>
        <v>Еще фото</v>
      </c>
      <c r="F1943" s="14"/>
      <c r="G1943" s="25" t="s">
        <v>92</v>
      </c>
      <c r="H1943" s="25" t="s">
        <v>93</v>
      </c>
      <c r="I1943" s="25" t="s">
        <v>94</v>
      </c>
      <c r="J1943" s="15" t="s">
        <v>28</v>
      </c>
      <c r="K1943" s="16" t="s">
        <v>45</v>
      </c>
      <c r="L1943" s="88"/>
      <c r="M1943" s="15"/>
      <c r="N1943" s="15" t="s">
        <v>132</v>
      </c>
      <c r="O1943" s="15"/>
      <c r="P1943" s="16" t="s">
        <v>2819</v>
      </c>
      <c r="Q1943" s="17">
        <v>14899</v>
      </c>
      <c r="R1943" s="18">
        <v>45</v>
      </c>
      <c r="S1943" s="19">
        <v>9423.6175000000003</v>
      </c>
      <c r="T1943" s="20" t="s">
        <v>99</v>
      </c>
      <c r="U1943" s="21" t="s">
        <v>175</v>
      </c>
      <c r="V1943" s="23">
        <v>38</v>
      </c>
      <c r="W1943" s="23">
        <v>4</v>
      </c>
      <c r="X1943" s="24"/>
    </row>
    <row r="1944" spans="1:24" s="1" customFormat="1" ht="17" customHeight="1" x14ac:dyDescent="0.3">
      <c r="A1944" s="25" t="s">
        <v>2784</v>
      </c>
      <c r="B1944" s="25" t="s">
        <v>2791</v>
      </c>
      <c r="C1944" s="12" t="s">
        <v>2820</v>
      </c>
      <c r="D1944" s="86"/>
      <c r="E1944" s="67" t="str">
        <f t="shared" si="28"/>
        <v>Еще фото</v>
      </c>
      <c r="F1944" s="14"/>
      <c r="G1944" s="25" t="s">
        <v>92</v>
      </c>
      <c r="H1944" s="25" t="s">
        <v>93</v>
      </c>
      <c r="I1944" s="25" t="s">
        <v>94</v>
      </c>
      <c r="J1944" s="15" t="s">
        <v>28</v>
      </c>
      <c r="K1944" s="16" t="s">
        <v>45</v>
      </c>
      <c r="L1944" s="88"/>
      <c r="M1944" s="15"/>
      <c r="N1944" s="15" t="s">
        <v>132</v>
      </c>
      <c r="O1944" s="15"/>
      <c r="P1944" s="16" t="s">
        <v>2819</v>
      </c>
      <c r="Q1944" s="17">
        <v>14899</v>
      </c>
      <c r="R1944" s="18">
        <v>45</v>
      </c>
      <c r="S1944" s="19">
        <v>9423.6175000000003</v>
      </c>
      <c r="T1944" s="20" t="s">
        <v>99</v>
      </c>
      <c r="U1944" s="21" t="s">
        <v>100</v>
      </c>
      <c r="V1944" s="23">
        <v>39</v>
      </c>
      <c r="W1944" s="23">
        <v>1</v>
      </c>
      <c r="X1944" s="24"/>
    </row>
    <row r="1945" spans="1:24" s="1" customFormat="1" ht="22.05" customHeight="1" x14ac:dyDescent="0.3">
      <c r="A1945" s="25" t="s">
        <v>2784</v>
      </c>
      <c r="B1945" s="25" t="s">
        <v>2791</v>
      </c>
      <c r="C1945" s="12" t="s">
        <v>2820</v>
      </c>
      <c r="D1945" s="87"/>
      <c r="E1945" s="67" t="str">
        <f t="shared" si="28"/>
        <v>Еще фото</v>
      </c>
      <c r="F1945" s="14"/>
      <c r="G1945" s="25" t="s">
        <v>92</v>
      </c>
      <c r="H1945" s="25" t="s">
        <v>93</v>
      </c>
      <c r="I1945" s="25" t="s">
        <v>94</v>
      </c>
      <c r="J1945" s="15" t="s">
        <v>28</v>
      </c>
      <c r="K1945" s="16" t="s">
        <v>45</v>
      </c>
      <c r="L1945" s="84"/>
      <c r="M1945" s="15"/>
      <c r="N1945" s="15" t="s">
        <v>132</v>
      </c>
      <c r="O1945" s="15"/>
      <c r="P1945" s="16" t="s">
        <v>2819</v>
      </c>
      <c r="Q1945" s="17">
        <v>14899</v>
      </c>
      <c r="R1945" s="18">
        <v>45</v>
      </c>
      <c r="S1945" s="19">
        <v>9423.6175000000003</v>
      </c>
      <c r="T1945" s="20" t="s">
        <v>99</v>
      </c>
      <c r="U1945" s="21" t="s">
        <v>235</v>
      </c>
      <c r="V1945" s="23">
        <v>40</v>
      </c>
      <c r="W1945" s="23">
        <v>1</v>
      </c>
      <c r="X1945" s="24"/>
    </row>
    <row r="1946" spans="1:24" s="1" customFormat="1" ht="17" customHeight="1" x14ac:dyDescent="0.3">
      <c r="A1946" s="11" t="s">
        <v>2784</v>
      </c>
      <c r="B1946" s="11" t="s">
        <v>2821</v>
      </c>
      <c r="C1946" s="12" t="s">
        <v>2822</v>
      </c>
      <c r="D1946" s="85"/>
      <c r="E1946" s="67" t="str">
        <f t="shared" ref="E1946:E1951" si="29">HYPERLINK("https://www.google.ru/search?q=101988154&amp;newwindow=1&amp;tbm=isch","Еще фото")</f>
        <v>Еще фото</v>
      </c>
      <c r="F1946" s="14"/>
      <c r="G1946" s="11" t="s">
        <v>2817</v>
      </c>
      <c r="H1946" s="11" t="s">
        <v>93</v>
      </c>
      <c r="I1946" s="15" t="s">
        <v>94</v>
      </c>
      <c r="J1946" s="15" t="s">
        <v>28</v>
      </c>
      <c r="K1946" s="16" t="s">
        <v>45</v>
      </c>
      <c r="L1946" s="83"/>
      <c r="M1946" s="15"/>
      <c r="N1946" s="15" t="s">
        <v>38</v>
      </c>
      <c r="O1946" s="15"/>
      <c r="P1946" s="16" t="s">
        <v>2823</v>
      </c>
      <c r="Q1946" s="17">
        <v>15999</v>
      </c>
      <c r="R1946" s="18">
        <v>45</v>
      </c>
      <c r="S1946" s="19">
        <v>10119.3675</v>
      </c>
      <c r="T1946" s="20" t="s">
        <v>99</v>
      </c>
      <c r="U1946" s="21" t="s">
        <v>894</v>
      </c>
      <c r="V1946" s="23">
        <v>35</v>
      </c>
      <c r="W1946" s="23">
        <v>6</v>
      </c>
      <c r="X1946" s="24"/>
    </row>
    <row r="1947" spans="1:24" s="1" customFormat="1" ht="17" customHeight="1" x14ac:dyDescent="0.3">
      <c r="A1947" s="25" t="s">
        <v>2784</v>
      </c>
      <c r="B1947" s="25" t="s">
        <v>2821</v>
      </c>
      <c r="C1947" s="12" t="s">
        <v>2822</v>
      </c>
      <c r="D1947" s="86"/>
      <c r="E1947" s="67" t="str">
        <f t="shared" si="29"/>
        <v>Еще фото</v>
      </c>
      <c r="F1947" s="14"/>
      <c r="G1947" s="25" t="s">
        <v>2817</v>
      </c>
      <c r="H1947" s="25" t="s">
        <v>93</v>
      </c>
      <c r="I1947" s="25" t="s">
        <v>94</v>
      </c>
      <c r="J1947" s="15" t="s">
        <v>28</v>
      </c>
      <c r="K1947" s="16" t="s">
        <v>45</v>
      </c>
      <c r="L1947" s="88"/>
      <c r="M1947" s="15"/>
      <c r="N1947" s="15" t="s">
        <v>38</v>
      </c>
      <c r="O1947" s="15"/>
      <c r="P1947" s="16" t="s">
        <v>2823</v>
      </c>
      <c r="Q1947" s="17">
        <v>15999</v>
      </c>
      <c r="R1947" s="18">
        <v>45</v>
      </c>
      <c r="S1947" s="19">
        <v>10119.3675</v>
      </c>
      <c r="T1947" s="20" t="s">
        <v>99</v>
      </c>
      <c r="U1947" s="21" t="s">
        <v>170</v>
      </c>
      <c r="V1947" s="23">
        <v>36</v>
      </c>
      <c r="W1947" s="23">
        <v>12</v>
      </c>
      <c r="X1947" s="24"/>
    </row>
    <row r="1948" spans="1:24" s="1" customFormat="1" ht="17" customHeight="1" x14ac:dyDescent="0.3">
      <c r="A1948" s="25" t="s">
        <v>2784</v>
      </c>
      <c r="B1948" s="25" t="s">
        <v>2821</v>
      </c>
      <c r="C1948" s="12" t="s">
        <v>2822</v>
      </c>
      <c r="D1948" s="86"/>
      <c r="E1948" s="67" t="str">
        <f t="shared" si="29"/>
        <v>Еще фото</v>
      </c>
      <c r="F1948" s="14"/>
      <c r="G1948" s="25" t="s">
        <v>2817</v>
      </c>
      <c r="H1948" s="25" t="s">
        <v>93</v>
      </c>
      <c r="I1948" s="25" t="s">
        <v>94</v>
      </c>
      <c r="J1948" s="15" t="s">
        <v>28</v>
      </c>
      <c r="K1948" s="16" t="s">
        <v>45</v>
      </c>
      <c r="L1948" s="88"/>
      <c r="M1948" s="15"/>
      <c r="N1948" s="15" t="s">
        <v>38</v>
      </c>
      <c r="O1948" s="15"/>
      <c r="P1948" s="16" t="s">
        <v>2823</v>
      </c>
      <c r="Q1948" s="17">
        <v>15999</v>
      </c>
      <c r="R1948" s="18">
        <v>45</v>
      </c>
      <c r="S1948" s="19">
        <v>10119.3675</v>
      </c>
      <c r="T1948" s="20" t="s">
        <v>99</v>
      </c>
      <c r="U1948" s="21" t="s">
        <v>202</v>
      </c>
      <c r="V1948" s="23">
        <v>37</v>
      </c>
      <c r="W1948" s="23">
        <v>19</v>
      </c>
      <c r="X1948" s="24"/>
    </row>
    <row r="1949" spans="1:24" s="1" customFormat="1" ht="17" customHeight="1" x14ac:dyDescent="0.3">
      <c r="A1949" s="25" t="s">
        <v>2784</v>
      </c>
      <c r="B1949" s="25" t="s">
        <v>2821</v>
      </c>
      <c r="C1949" s="12" t="s">
        <v>2822</v>
      </c>
      <c r="D1949" s="86"/>
      <c r="E1949" s="67" t="str">
        <f t="shared" si="29"/>
        <v>Еще фото</v>
      </c>
      <c r="F1949" s="14"/>
      <c r="G1949" s="25" t="s">
        <v>2817</v>
      </c>
      <c r="H1949" s="25" t="s">
        <v>93</v>
      </c>
      <c r="I1949" s="25" t="s">
        <v>94</v>
      </c>
      <c r="J1949" s="15" t="s">
        <v>28</v>
      </c>
      <c r="K1949" s="16" t="s">
        <v>45</v>
      </c>
      <c r="L1949" s="88"/>
      <c r="M1949" s="15"/>
      <c r="N1949" s="15" t="s">
        <v>38</v>
      </c>
      <c r="O1949" s="15"/>
      <c r="P1949" s="16" t="s">
        <v>2823</v>
      </c>
      <c r="Q1949" s="17">
        <v>15999</v>
      </c>
      <c r="R1949" s="18">
        <v>45</v>
      </c>
      <c r="S1949" s="19">
        <v>10119.3675</v>
      </c>
      <c r="T1949" s="20" t="s">
        <v>99</v>
      </c>
      <c r="U1949" s="21" t="s">
        <v>175</v>
      </c>
      <c r="V1949" s="23">
        <v>38</v>
      </c>
      <c r="W1949" s="23">
        <v>17</v>
      </c>
      <c r="X1949" s="24"/>
    </row>
    <row r="1950" spans="1:24" s="1" customFormat="1" ht="17" customHeight="1" x14ac:dyDescent="0.3">
      <c r="A1950" s="25" t="s">
        <v>2784</v>
      </c>
      <c r="B1950" s="25" t="s">
        <v>2821</v>
      </c>
      <c r="C1950" s="12" t="s">
        <v>2822</v>
      </c>
      <c r="D1950" s="86"/>
      <c r="E1950" s="67" t="str">
        <f t="shared" si="29"/>
        <v>Еще фото</v>
      </c>
      <c r="F1950" s="14"/>
      <c r="G1950" s="25" t="s">
        <v>2817</v>
      </c>
      <c r="H1950" s="25" t="s">
        <v>93</v>
      </c>
      <c r="I1950" s="25" t="s">
        <v>94</v>
      </c>
      <c r="J1950" s="15" t="s">
        <v>28</v>
      </c>
      <c r="K1950" s="16" t="s">
        <v>45</v>
      </c>
      <c r="L1950" s="88"/>
      <c r="M1950" s="15"/>
      <c r="N1950" s="15" t="s">
        <v>38</v>
      </c>
      <c r="O1950" s="15"/>
      <c r="P1950" s="16" t="s">
        <v>2823</v>
      </c>
      <c r="Q1950" s="17">
        <v>15999</v>
      </c>
      <c r="R1950" s="18">
        <v>45</v>
      </c>
      <c r="S1950" s="19">
        <v>10119.3675</v>
      </c>
      <c r="T1950" s="20" t="s">
        <v>99</v>
      </c>
      <c r="U1950" s="21" t="s">
        <v>100</v>
      </c>
      <c r="V1950" s="23">
        <v>39</v>
      </c>
      <c r="W1950" s="23">
        <v>11</v>
      </c>
      <c r="X1950" s="24"/>
    </row>
    <row r="1951" spans="1:24" s="1" customFormat="1" ht="22.05" customHeight="1" x14ac:dyDescent="0.3">
      <c r="A1951" s="25" t="s">
        <v>2784</v>
      </c>
      <c r="B1951" s="25" t="s">
        <v>2821</v>
      </c>
      <c r="C1951" s="12" t="s">
        <v>2822</v>
      </c>
      <c r="D1951" s="87"/>
      <c r="E1951" s="67" t="str">
        <f t="shared" si="29"/>
        <v>Еще фото</v>
      </c>
      <c r="F1951" s="14"/>
      <c r="G1951" s="25" t="s">
        <v>2817</v>
      </c>
      <c r="H1951" s="25" t="s">
        <v>93</v>
      </c>
      <c r="I1951" s="25" t="s">
        <v>94</v>
      </c>
      <c r="J1951" s="15" t="s">
        <v>28</v>
      </c>
      <c r="K1951" s="16" t="s">
        <v>45</v>
      </c>
      <c r="L1951" s="84"/>
      <c r="M1951" s="15"/>
      <c r="N1951" s="15" t="s">
        <v>38</v>
      </c>
      <c r="O1951" s="15"/>
      <c r="P1951" s="16" t="s">
        <v>2823</v>
      </c>
      <c r="Q1951" s="17">
        <v>15999</v>
      </c>
      <c r="R1951" s="18">
        <v>45</v>
      </c>
      <c r="S1951" s="19">
        <v>10119.3675</v>
      </c>
      <c r="T1951" s="20" t="s">
        <v>99</v>
      </c>
      <c r="U1951" s="21" t="s">
        <v>235</v>
      </c>
      <c r="V1951" s="23">
        <v>40</v>
      </c>
      <c r="W1951" s="23">
        <v>5</v>
      </c>
      <c r="X1951" s="24"/>
    </row>
    <row r="1952" spans="1:24" s="1" customFormat="1" ht="21" customHeight="1" x14ac:dyDescent="0.3">
      <c r="A1952" s="11" t="s">
        <v>2784</v>
      </c>
      <c r="B1952" s="11" t="s">
        <v>2821</v>
      </c>
      <c r="C1952" s="27" t="s">
        <v>2824</v>
      </c>
      <c r="D1952" s="85"/>
      <c r="E1952" s="67" t="str">
        <f>HYPERLINK("https://www.google.ru/search?q=101988155&amp;newwindow=1&amp;tbm=isch","Еще фото")</f>
        <v>Еще фото</v>
      </c>
      <c r="F1952" s="14"/>
      <c r="G1952" s="11" t="s">
        <v>2817</v>
      </c>
      <c r="H1952" s="11" t="s">
        <v>93</v>
      </c>
      <c r="I1952" s="15" t="s">
        <v>94</v>
      </c>
      <c r="J1952" s="15" t="s">
        <v>28</v>
      </c>
      <c r="K1952" s="16" t="s">
        <v>45</v>
      </c>
      <c r="L1952" s="83"/>
      <c r="M1952" s="15"/>
      <c r="N1952" s="15" t="s">
        <v>543</v>
      </c>
      <c r="O1952" s="15"/>
      <c r="P1952" s="16" t="s">
        <v>2823</v>
      </c>
      <c r="Q1952" s="17">
        <v>15999</v>
      </c>
      <c r="R1952" s="18">
        <v>45</v>
      </c>
      <c r="S1952" s="19">
        <v>10119.3675</v>
      </c>
      <c r="T1952" s="20" t="s">
        <v>99</v>
      </c>
      <c r="U1952" s="21" t="s">
        <v>894</v>
      </c>
      <c r="V1952" s="23">
        <v>35</v>
      </c>
      <c r="W1952" s="23">
        <v>5</v>
      </c>
      <c r="X1952" s="24"/>
    </row>
    <row r="1953" spans="1:24" s="1" customFormat="1" ht="21" customHeight="1" x14ac:dyDescent="0.3">
      <c r="A1953" s="25" t="s">
        <v>2784</v>
      </c>
      <c r="B1953" s="25" t="s">
        <v>2821</v>
      </c>
      <c r="C1953" s="28" t="s">
        <v>2824</v>
      </c>
      <c r="D1953" s="86"/>
      <c r="E1953" s="67" t="str">
        <f>HYPERLINK("https://www.google.ru/search?q=101988155&amp;newwindow=1&amp;tbm=isch","Еще фото")</f>
        <v>Еще фото</v>
      </c>
      <c r="F1953" s="14"/>
      <c r="G1953" s="25" t="s">
        <v>2817</v>
      </c>
      <c r="H1953" s="25" t="s">
        <v>93</v>
      </c>
      <c r="I1953" s="25" t="s">
        <v>94</v>
      </c>
      <c r="J1953" s="15" t="s">
        <v>28</v>
      </c>
      <c r="K1953" s="16" t="s">
        <v>45</v>
      </c>
      <c r="L1953" s="88"/>
      <c r="M1953" s="15"/>
      <c r="N1953" s="15" t="s">
        <v>543</v>
      </c>
      <c r="O1953" s="15"/>
      <c r="P1953" s="16" t="s">
        <v>2823</v>
      </c>
      <c r="Q1953" s="17">
        <v>15999</v>
      </c>
      <c r="R1953" s="18">
        <v>45</v>
      </c>
      <c r="S1953" s="19">
        <v>10119.3675</v>
      </c>
      <c r="T1953" s="20" t="s">
        <v>99</v>
      </c>
      <c r="U1953" s="21" t="s">
        <v>170</v>
      </c>
      <c r="V1953" s="23">
        <v>36</v>
      </c>
      <c r="W1953" s="23">
        <v>11</v>
      </c>
      <c r="X1953" s="24"/>
    </row>
    <row r="1954" spans="1:24" s="1" customFormat="1" ht="21" customHeight="1" x14ac:dyDescent="0.3">
      <c r="A1954" s="25" t="s">
        <v>2784</v>
      </c>
      <c r="B1954" s="25" t="s">
        <v>2821</v>
      </c>
      <c r="C1954" s="28" t="s">
        <v>2824</v>
      </c>
      <c r="D1954" s="86"/>
      <c r="E1954" s="67" t="str">
        <f>HYPERLINK("https://www.google.ru/search?q=101988155&amp;newwindow=1&amp;tbm=isch","Еще фото")</f>
        <v>Еще фото</v>
      </c>
      <c r="F1954" s="14"/>
      <c r="G1954" s="25" t="s">
        <v>2817</v>
      </c>
      <c r="H1954" s="25" t="s">
        <v>93</v>
      </c>
      <c r="I1954" s="25" t="s">
        <v>94</v>
      </c>
      <c r="J1954" s="15" t="s">
        <v>28</v>
      </c>
      <c r="K1954" s="16" t="s">
        <v>45</v>
      </c>
      <c r="L1954" s="88"/>
      <c r="M1954" s="15"/>
      <c r="N1954" s="15" t="s">
        <v>543</v>
      </c>
      <c r="O1954" s="15"/>
      <c r="P1954" s="16" t="s">
        <v>2823</v>
      </c>
      <c r="Q1954" s="17">
        <v>15999</v>
      </c>
      <c r="R1954" s="18">
        <v>45</v>
      </c>
      <c r="S1954" s="19">
        <v>10119.3675</v>
      </c>
      <c r="T1954" s="20" t="s">
        <v>99</v>
      </c>
      <c r="U1954" s="21" t="s">
        <v>202</v>
      </c>
      <c r="V1954" s="23">
        <v>37</v>
      </c>
      <c r="W1954" s="23">
        <v>5</v>
      </c>
      <c r="X1954" s="24"/>
    </row>
    <row r="1955" spans="1:24" s="1" customFormat="1" ht="21" customHeight="1" x14ac:dyDescent="0.3">
      <c r="A1955" s="25" t="s">
        <v>2784</v>
      </c>
      <c r="B1955" s="25" t="s">
        <v>2821</v>
      </c>
      <c r="C1955" s="28" t="s">
        <v>2824</v>
      </c>
      <c r="D1955" s="86"/>
      <c r="E1955" s="67" t="str">
        <f>HYPERLINK("https://www.google.ru/search?q=101988155&amp;newwindow=1&amp;tbm=isch","Еще фото")</f>
        <v>Еще фото</v>
      </c>
      <c r="F1955" s="14"/>
      <c r="G1955" s="25" t="s">
        <v>2817</v>
      </c>
      <c r="H1955" s="25" t="s">
        <v>93</v>
      </c>
      <c r="I1955" s="25" t="s">
        <v>94</v>
      </c>
      <c r="J1955" s="15" t="s">
        <v>28</v>
      </c>
      <c r="K1955" s="16" t="s">
        <v>45</v>
      </c>
      <c r="L1955" s="88"/>
      <c r="M1955" s="15"/>
      <c r="N1955" s="15" t="s">
        <v>543</v>
      </c>
      <c r="O1955" s="15"/>
      <c r="P1955" s="16" t="s">
        <v>2823</v>
      </c>
      <c r="Q1955" s="17">
        <v>15999</v>
      </c>
      <c r="R1955" s="18">
        <v>45</v>
      </c>
      <c r="S1955" s="19">
        <v>10119.3675</v>
      </c>
      <c r="T1955" s="20" t="s">
        <v>99</v>
      </c>
      <c r="U1955" s="21" t="s">
        <v>175</v>
      </c>
      <c r="V1955" s="23">
        <v>38</v>
      </c>
      <c r="W1955" s="23">
        <v>4</v>
      </c>
      <c r="X1955" s="24"/>
    </row>
    <row r="1956" spans="1:24" s="1" customFormat="1" ht="32" customHeight="1" x14ac:dyDescent="0.3">
      <c r="A1956" s="25" t="s">
        <v>2784</v>
      </c>
      <c r="B1956" s="25" t="s">
        <v>2821</v>
      </c>
      <c r="C1956" s="28" t="s">
        <v>2824</v>
      </c>
      <c r="D1956" s="87"/>
      <c r="E1956" s="67" t="str">
        <f>HYPERLINK("https://www.google.ru/search?q=101988155&amp;newwindow=1&amp;tbm=isch","Еще фото")</f>
        <v>Еще фото</v>
      </c>
      <c r="F1956" s="14"/>
      <c r="G1956" s="25" t="s">
        <v>2817</v>
      </c>
      <c r="H1956" s="25" t="s">
        <v>93</v>
      </c>
      <c r="I1956" s="25" t="s">
        <v>94</v>
      </c>
      <c r="J1956" s="15" t="s">
        <v>28</v>
      </c>
      <c r="K1956" s="16" t="s">
        <v>45</v>
      </c>
      <c r="L1956" s="84"/>
      <c r="M1956" s="15"/>
      <c r="N1956" s="15" t="s">
        <v>543</v>
      </c>
      <c r="O1956" s="15"/>
      <c r="P1956" s="16" t="s">
        <v>2823</v>
      </c>
      <c r="Q1956" s="17">
        <v>15999</v>
      </c>
      <c r="R1956" s="18">
        <v>45</v>
      </c>
      <c r="S1956" s="19">
        <v>10119.3675</v>
      </c>
      <c r="T1956" s="20" t="s">
        <v>99</v>
      </c>
      <c r="U1956" s="21" t="s">
        <v>100</v>
      </c>
      <c r="V1956" s="23">
        <v>39</v>
      </c>
      <c r="W1956" s="23">
        <v>1</v>
      </c>
      <c r="X1956" s="24"/>
    </row>
    <row r="1957" spans="1:24" s="1" customFormat="1" ht="21" customHeight="1" x14ac:dyDescent="0.3">
      <c r="A1957" s="11" t="s">
        <v>2784</v>
      </c>
      <c r="B1957" s="11" t="s">
        <v>2821</v>
      </c>
      <c r="C1957" s="27" t="s">
        <v>2825</v>
      </c>
      <c r="D1957" s="85"/>
      <c r="E1957" s="67" t="str">
        <f>HYPERLINK("https://www.google.ru/search?q=101988157&amp;newwindow=1&amp;tbm=isch","Еще фото")</f>
        <v>Еще фото</v>
      </c>
      <c r="F1957" s="14"/>
      <c r="G1957" s="11" t="s">
        <v>2817</v>
      </c>
      <c r="H1957" s="11" t="s">
        <v>93</v>
      </c>
      <c r="I1957" s="15" t="s">
        <v>94</v>
      </c>
      <c r="J1957" s="15" t="s">
        <v>28</v>
      </c>
      <c r="K1957" s="16" t="s">
        <v>45</v>
      </c>
      <c r="L1957" s="83"/>
      <c r="M1957" s="15"/>
      <c r="N1957" s="15" t="s">
        <v>423</v>
      </c>
      <c r="O1957" s="15"/>
      <c r="P1957" s="16" t="s">
        <v>2823</v>
      </c>
      <c r="Q1957" s="17">
        <v>15999</v>
      </c>
      <c r="R1957" s="18">
        <v>45</v>
      </c>
      <c r="S1957" s="19">
        <v>10119.3675</v>
      </c>
      <c r="T1957" s="20" t="s">
        <v>99</v>
      </c>
      <c r="U1957" s="21" t="s">
        <v>894</v>
      </c>
      <c r="V1957" s="23">
        <v>35</v>
      </c>
      <c r="W1957" s="23">
        <v>3</v>
      </c>
      <c r="X1957" s="24"/>
    </row>
    <row r="1958" spans="1:24" s="1" customFormat="1" ht="21" customHeight="1" x14ac:dyDescent="0.3">
      <c r="A1958" s="25" t="s">
        <v>2784</v>
      </c>
      <c r="B1958" s="25" t="s">
        <v>2821</v>
      </c>
      <c r="C1958" s="28" t="s">
        <v>2825</v>
      </c>
      <c r="D1958" s="86"/>
      <c r="E1958" s="67" t="str">
        <f>HYPERLINK("https://www.google.ru/search?q=101988157&amp;newwindow=1&amp;tbm=isch","Еще фото")</f>
        <v>Еще фото</v>
      </c>
      <c r="F1958" s="14"/>
      <c r="G1958" s="25" t="s">
        <v>2817</v>
      </c>
      <c r="H1958" s="25" t="s">
        <v>93</v>
      </c>
      <c r="I1958" s="25" t="s">
        <v>94</v>
      </c>
      <c r="J1958" s="15" t="s">
        <v>28</v>
      </c>
      <c r="K1958" s="16" t="s">
        <v>45</v>
      </c>
      <c r="L1958" s="88"/>
      <c r="M1958" s="15"/>
      <c r="N1958" s="15" t="s">
        <v>423</v>
      </c>
      <c r="O1958" s="15"/>
      <c r="P1958" s="16" t="s">
        <v>2823</v>
      </c>
      <c r="Q1958" s="17">
        <v>15999</v>
      </c>
      <c r="R1958" s="18">
        <v>45</v>
      </c>
      <c r="S1958" s="19">
        <v>10119.3675</v>
      </c>
      <c r="T1958" s="20" t="s">
        <v>99</v>
      </c>
      <c r="U1958" s="21" t="s">
        <v>170</v>
      </c>
      <c r="V1958" s="23">
        <v>36</v>
      </c>
      <c r="W1958" s="23">
        <v>7</v>
      </c>
      <c r="X1958" s="24"/>
    </row>
    <row r="1959" spans="1:24" s="1" customFormat="1" ht="21" customHeight="1" x14ac:dyDescent="0.3">
      <c r="A1959" s="25" t="s">
        <v>2784</v>
      </c>
      <c r="B1959" s="25" t="s">
        <v>2821</v>
      </c>
      <c r="C1959" s="28" t="s">
        <v>2825</v>
      </c>
      <c r="D1959" s="86"/>
      <c r="E1959" s="67" t="str">
        <f>HYPERLINK("https://www.google.ru/search?q=101988157&amp;newwindow=1&amp;tbm=isch","Еще фото")</f>
        <v>Еще фото</v>
      </c>
      <c r="F1959" s="14"/>
      <c r="G1959" s="25" t="s">
        <v>2817</v>
      </c>
      <c r="H1959" s="25" t="s">
        <v>93</v>
      </c>
      <c r="I1959" s="25" t="s">
        <v>94</v>
      </c>
      <c r="J1959" s="15" t="s">
        <v>28</v>
      </c>
      <c r="K1959" s="16" t="s">
        <v>45</v>
      </c>
      <c r="L1959" s="88"/>
      <c r="M1959" s="15"/>
      <c r="N1959" s="15" t="s">
        <v>423</v>
      </c>
      <c r="O1959" s="15"/>
      <c r="P1959" s="16" t="s">
        <v>2823</v>
      </c>
      <c r="Q1959" s="17">
        <v>15999</v>
      </c>
      <c r="R1959" s="18">
        <v>45</v>
      </c>
      <c r="S1959" s="19">
        <v>10119.3675</v>
      </c>
      <c r="T1959" s="20" t="s">
        <v>99</v>
      </c>
      <c r="U1959" s="21" t="s">
        <v>202</v>
      </c>
      <c r="V1959" s="23">
        <v>37</v>
      </c>
      <c r="W1959" s="23">
        <v>8</v>
      </c>
      <c r="X1959" s="24"/>
    </row>
    <row r="1960" spans="1:24" s="1" customFormat="1" ht="21" customHeight="1" x14ac:dyDescent="0.3">
      <c r="A1960" s="25" t="s">
        <v>2784</v>
      </c>
      <c r="B1960" s="25" t="s">
        <v>2821</v>
      </c>
      <c r="C1960" s="28" t="s">
        <v>2825</v>
      </c>
      <c r="D1960" s="86"/>
      <c r="E1960" s="67" t="str">
        <f>HYPERLINK("https://www.google.ru/search?q=101988157&amp;newwindow=1&amp;tbm=isch","Еще фото")</f>
        <v>Еще фото</v>
      </c>
      <c r="F1960" s="14"/>
      <c r="G1960" s="25" t="s">
        <v>2817</v>
      </c>
      <c r="H1960" s="25" t="s">
        <v>93</v>
      </c>
      <c r="I1960" s="25" t="s">
        <v>94</v>
      </c>
      <c r="J1960" s="15" t="s">
        <v>28</v>
      </c>
      <c r="K1960" s="16" t="s">
        <v>45</v>
      </c>
      <c r="L1960" s="88"/>
      <c r="M1960" s="15"/>
      <c r="N1960" s="15" t="s">
        <v>423</v>
      </c>
      <c r="O1960" s="15"/>
      <c r="P1960" s="16" t="s">
        <v>2823</v>
      </c>
      <c r="Q1960" s="17">
        <v>15999</v>
      </c>
      <c r="R1960" s="18">
        <v>45</v>
      </c>
      <c r="S1960" s="19">
        <v>10119.3675</v>
      </c>
      <c r="T1960" s="20" t="s">
        <v>99</v>
      </c>
      <c r="U1960" s="21" t="s">
        <v>175</v>
      </c>
      <c r="V1960" s="23">
        <v>38</v>
      </c>
      <c r="W1960" s="23">
        <v>5</v>
      </c>
      <c r="X1960" s="24"/>
    </row>
    <row r="1961" spans="1:24" s="1" customFormat="1" ht="32" customHeight="1" x14ac:dyDescent="0.3">
      <c r="A1961" s="25" t="s">
        <v>2784</v>
      </c>
      <c r="B1961" s="25" t="s">
        <v>2821</v>
      </c>
      <c r="C1961" s="28" t="s">
        <v>2825</v>
      </c>
      <c r="D1961" s="87"/>
      <c r="E1961" s="67" t="str">
        <f>HYPERLINK("https://www.google.ru/search?q=101988157&amp;newwindow=1&amp;tbm=isch","Еще фото")</f>
        <v>Еще фото</v>
      </c>
      <c r="F1961" s="14"/>
      <c r="G1961" s="25" t="s">
        <v>2817</v>
      </c>
      <c r="H1961" s="25" t="s">
        <v>93</v>
      </c>
      <c r="I1961" s="25" t="s">
        <v>94</v>
      </c>
      <c r="J1961" s="15" t="s">
        <v>28</v>
      </c>
      <c r="K1961" s="16" t="s">
        <v>45</v>
      </c>
      <c r="L1961" s="84"/>
      <c r="M1961" s="15"/>
      <c r="N1961" s="15" t="s">
        <v>423</v>
      </c>
      <c r="O1961" s="15"/>
      <c r="P1961" s="16" t="s">
        <v>2823</v>
      </c>
      <c r="Q1961" s="17">
        <v>15999</v>
      </c>
      <c r="R1961" s="18">
        <v>45</v>
      </c>
      <c r="S1961" s="19">
        <v>10119.3675</v>
      </c>
      <c r="T1961" s="20" t="s">
        <v>99</v>
      </c>
      <c r="U1961" s="21" t="s">
        <v>100</v>
      </c>
      <c r="V1961" s="23">
        <v>39</v>
      </c>
      <c r="W1961" s="23">
        <v>1</v>
      </c>
      <c r="X1961" s="24"/>
    </row>
    <row r="1962" spans="1:24" s="1" customFormat="1" ht="35" customHeight="1" x14ac:dyDescent="0.3">
      <c r="A1962" s="11" t="s">
        <v>2826</v>
      </c>
      <c r="B1962" s="11" t="s">
        <v>2827</v>
      </c>
      <c r="C1962" s="12" t="s">
        <v>2828</v>
      </c>
      <c r="D1962" s="85"/>
      <c r="E1962" s="67" t="str">
        <f>HYPERLINK("https://www.google.ru/search?q=SWD005&amp;newwindow=1&amp;tbm=isch","Еще фото")</f>
        <v>Еще фото</v>
      </c>
      <c r="F1962" s="14"/>
      <c r="G1962" s="11" t="s">
        <v>2829</v>
      </c>
      <c r="H1962" s="11" t="s">
        <v>27</v>
      </c>
      <c r="I1962" s="15" t="s">
        <v>111</v>
      </c>
      <c r="J1962" s="15" t="s">
        <v>112</v>
      </c>
      <c r="K1962" s="16" t="s">
        <v>59</v>
      </c>
      <c r="L1962" s="83"/>
      <c r="M1962" s="15"/>
      <c r="N1962" s="15" t="s">
        <v>31</v>
      </c>
      <c r="O1962" s="15"/>
      <c r="P1962" s="16" t="s">
        <v>2830</v>
      </c>
      <c r="Q1962" s="53">
        <v>599</v>
      </c>
      <c r="R1962" s="18">
        <v>82.01</v>
      </c>
      <c r="S1962" s="26">
        <v>123.93549999999999</v>
      </c>
      <c r="T1962" s="20" t="s">
        <v>2545</v>
      </c>
      <c r="U1962" s="21" t="s">
        <v>2831</v>
      </c>
      <c r="V1962" s="23">
        <v>116</v>
      </c>
      <c r="W1962" s="23">
        <v>1</v>
      </c>
      <c r="X1962" s="24"/>
    </row>
    <row r="1963" spans="1:24" s="1" customFormat="1" ht="35" customHeight="1" x14ac:dyDescent="0.3">
      <c r="A1963" s="25" t="s">
        <v>2826</v>
      </c>
      <c r="B1963" s="25" t="s">
        <v>2827</v>
      </c>
      <c r="C1963" s="12" t="s">
        <v>2828</v>
      </c>
      <c r="D1963" s="86"/>
      <c r="E1963" s="67" t="str">
        <f>HYPERLINK("https://www.google.ru/search?q=SWD005&amp;newwindow=1&amp;tbm=isch","Еще фото")</f>
        <v>Еще фото</v>
      </c>
      <c r="F1963" s="14"/>
      <c r="G1963" s="25" t="s">
        <v>2829</v>
      </c>
      <c r="H1963" s="25" t="s">
        <v>27</v>
      </c>
      <c r="I1963" s="25" t="s">
        <v>111</v>
      </c>
      <c r="J1963" s="15" t="s">
        <v>112</v>
      </c>
      <c r="K1963" s="16" t="s">
        <v>59</v>
      </c>
      <c r="L1963" s="88"/>
      <c r="M1963" s="15"/>
      <c r="N1963" s="15" t="s">
        <v>31</v>
      </c>
      <c r="O1963" s="15"/>
      <c r="P1963" s="16" t="s">
        <v>2830</v>
      </c>
      <c r="Q1963" s="53">
        <v>599</v>
      </c>
      <c r="R1963" s="18">
        <v>82.01</v>
      </c>
      <c r="S1963" s="26">
        <v>123.93549999999999</v>
      </c>
      <c r="T1963" s="20" t="s">
        <v>2545</v>
      </c>
      <c r="U1963" s="21" t="s">
        <v>2832</v>
      </c>
      <c r="V1963" s="23">
        <v>122</v>
      </c>
      <c r="W1963" s="23">
        <v>1</v>
      </c>
      <c r="X1963" s="24"/>
    </row>
    <row r="1964" spans="1:24" s="1" customFormat="1" ht="37.049999999999997" customHeight="1" x14ac:dyDescent="0.3">
      <c r="A1964" s="25" t="s">
        <v>2826</v>
      </c>
      <c r="B1964" s="25" t="s">
        <v>2827</v>
      </c>
      <c r="C1964" s="12" t="s">
        <v>2828</v>
      </c>
      <c r="D1964" s="87"/>
      <c r="E1964" s="67" t="str">
        <f>HYPERLINK("https://www.google.ru/search?q=SWD005&amp;newwindow=1&amp;tbm=isch","Еще фото")</f>
        <v>Еще фото</v>
      </c>
      <c r="F1964" s="14"/>
      <c r="G1964" s="25" t="s">
        <v>2829</v>
      </c>
      <c r="H1964" s="25" t="s">
        <v>27</v>
      </c>
      <c r="I1964" s="25" t="s">
        <v>111</v>
      </c>
      <c r="J1964" s="15" t="s">
        <v>112</v>
      </c>
      <c r="K1964" s="16" t="s">
        <v>59</v>
      </c>
      <c r="L1964" s="84"/>
      <c r="M1964" s="15"/>
      <c r="N1964" s="15" t="s">
        <v>31</v>
      </c>
      <c r="O1964" s="15"/>
      <c r="P1964" s="16" t="s">
        <v>2830</v>
      </c>
      <c r="Q1964" s="53">
        <v>599</v>
      </c>
      <c r="R1964" s="18">
        <v>82.01</v>
      </c>
      <c r="S1964" s="26">
        <v>123.93549999999999</v>
      </c>
      <c r="T1964" s="20" t="s">
        <v>2545</v>
      </c>
      <c r="U1964" s="21" t="s">
        <v>2833</v>
      </c>
      <c r="V1964" s="23">
        <v>140</v>
      </c>
      <c r="W1964" s="23">
        <v>1</v>
      </c>
      <c r="X1964" s="24"/>
    </row>
    <row r="1965" spans="1:24" s="1" customFormat="1" ht="26" customHeight="1" x14ac:dyDescent="0.3">
      <c r="A1965" s="11" t="s">
        <v>2834</v>
      </c>
      <c r="B1965" s="11" t="s">
        <v>2835</v>
      </c>
      <c r="C1965" s="12" t="s">
        <v>2836</v>
      </c>
      <c r="D1965" s="85"/>
      <c r="E1965" s="67" t="str">
        <f>HYPERLINK("https://www.google.ru/search?q=6147YR1008-202&amp;newwindow=1&amp;tbm=isch","Еще фото")</f>
        <v>Еще фото</v>
      </c>
      <c r="F1965" s="14"/>
      <c r="G1965" s="11" t="s">
        <v>129</v>
      </c>
      <c r="H1965" s="11" t="s">
        <v>27</v>
      </c>
      <c r="I1965" s="15" t="s">
        <v>130</v>
      </c>
      <c r="J1965" s="15" t="s">
        <v>28</v>
      </c>
      <c r="K1965" s="16" t="s">
        <v>45</v>
      </c>
      <c r="L1965" s="83" t="s">
        <v>2837</v>
      </c>
      <c r="M1965" s="15"/>
      <c r="N1965" s="15" t="s">
        <v>218</v>
      </c>
      <c r="O1965" s="15"/>
      <c r="P1965" s="16" t="s">
        <v>106</v>
      </c>
      <c r="Q1965" s="17">
        <v>22499</v>
      </c>
      <c r="R1965" s="18">
        <v>82.72</v>
      </c>
      <c r="S1965" s="19">
        <v>4470.9354999999996</v>
      </c>
      <c r="T1965" s="20" t="s">
        <v>99</v>
      </c>
      <c r="U1965" s="21" t="s">
        <v>52</v>
      </c>
      <c r="V1965" s="22" t="s">
        <v>35</v>
      </c>
      <c r="W1965" s="23">
        <v>1</v>
      </c>
      <c r="X1965" s="24"/>
    </row>
    <row r="1966" spans="1:24" s="1" customFormat="1" ht="26" customHeight="1" x14ac:dyDescent="0.3">
      <c r="A1966" s="25" t="s">
        <v>2834</v>
      </c>
      <c r="B1966" s="25" t="s">
        <v>2835</v>
      </c>
      <c r="C1966" s="12" t="s">
        <v>2836</v>
      </c>
      <c r="D1966" s="86"/>
      <c r="E1966" s="67" t="str">
        <f>HYPERLINK("https://www.google.ru/search?q=6147YR1008-202&amp;newwindow=1&amp;tbm=isch","Еще фото")</f>
        <v>Еще фото</v>
      </c>
      <c r="F1966" s="14"/>
      <c r="G1966" s="25" t="s">
        <v>129</v>
      </c>
      <c r="H1966" s="25" t="s">
        <v>27</v>
      </c>
      <c r="I1966" s="25" t="s">
        <v>130</v>
      </c>
      <c r="J1966" s="15" t="s">
        <v>28</v>
      </c>
      <c r="K1966" s="16" t="s">
        <v>45</v>
      </c>
      <c r="L1966" s="88"/>
      <c r="M1966" s="15"/>
      <c r="N1966" s="15" t="s">
        <v>218</v>
      </c>
      <c r="O1966" s="15"/>
      <c r="P1966" s="16" t="s">
        <v>106</v>
      </c>
      <c r="Q1966" s="17">
        <v>22499</v>
      </c>
      <c r="R1966" s="18">
        <v>82.72</v>
      </c>
      <c r="S1966" s="19">
        <v>4470.9354999999996</v>
      </c>
      <c r="T1966" s="20" t="s">
        <v>99</v>
      </c>
      <c r="U1966" s="21" t="s">
        <v>40</v>
      </c>
      <c r="V1966" s="22" t="s">
        <v>53</v>
      </c>
      <c r="W1966" s="23">
        <v>5</v>
      </c>
      <c r="X1966" s="24"/>
    </row>
    <row r="1967" spans="1:24" s="1" customFormat="1" ht="26" customHeight="1" x14ac:dyDescent="0.3">
      <c r="A1967" s="25" t="s">
        <v>2834</v>
      </c>
      <c r="B1967" s="25" t="s">
        <v>2835</v>
      </c>
      <c r="C1967" s="12" t="s">
        <v>2836</v>
      </c>
      <c r="D1967" s="86"/>
      <c r="E1967" s="67" t="str">
        <f>HYPERLINK("https://www.google.ru/search?q=6147YR1008-202&amp;newwindow=1&amp;tbm=isch","Еще фото")</f>
        <v>Еще фото</v>
      </c>
      <c r="F1967" s="14"/>
      <c r="G1967" s="25" t="s">
        <v>129</v>
      </c>
      <c r="H1967" s="25" t="s">
        <v>27</v>
      </c>
      <c r="I1967" s="25" t="s">
        <v>130</v>
      </c>
      <c r="J1967" s="15" t="s">
        <v>28</v>
      </c>
      <c r="K1967" s="16" t="s">
        <v>45</v>
      </c>
      <c r="L1967" s="88"/>
      <c r="M1967" s="15"/>
      <c r="N1967" s="15" t="s">
        <v>218</v>
      </c>
      <c r="O1967" s="15"/>
      <c r="P1967" s="16" t="s">
        <v>106</v>
      </c>
      <c r="Q1967" s="17">
        <v>22499</v>
      </c>
      <c r="R1967" s="18">
        <v>82.72</v>
      </c>
      <c r="S1967" s="19">
        <v>4470.9354999999996</v>
      </c>
      <c r="T1967" s="20" t="s">
        <v>99</v>
      </c>
      <c r="U1967" s="21" t="s">
        <v>42</v>
      </c>
      <c r="V1967" s="22" t="s">
        <v>41</v>
      </c>
      <c r="W1967" s="23">
        <v>4</v>
      </c>
      <c r="X1967" s="24"/>
    </row>
    <row r="1968" spans="1:24" s="1" customFormat="1" ht="26" customHeight="1" x14ac:dyDescent="0.3">
      <c r="A1968" s="25" t="s">
        <v>2834</v>
      </c>
      <c r="B1968" s="25" t="s">
        <v>2835</v>
      </c>
      <c r="C1968" s="12" t="s">
        <v>2836</v>
      </c>
      <c r="D1968" s="87"/>
      <c r="E1968" s="67" t="str">
        <f>HYPERLINK("https://www.google.ru/search?q=6147YR1008-202&amp;newwindow=1&amp;tbm=isch","Еще фото")</f>
        <v>Еще фото</v>
      </c>
      <c r="F1968" s="14"/>
      <c r="G1968" s="25" t="s">
        <v>129</v>
      </c>
      <c r="H1968" s="25" t="s">
        <v>27</v>
      </c>
      <c r="I1968" s="25" t="s">
        <v>130</v>
      </c>
      <c r="J1968" s="15" t="s">
        <v>28</v>
      </c>
      <c r="K1968" s="16" t="s">
        <v>45</v>
      </c>
      <c r="L1968" s="84"/>
      <c r="M1968" s="15"/>
      <c r="N1968" s="15" t="s">
        <v>218</v>
      </c>
      <c r="O1968" s="15"/>
      <c r="P1968" s="16" t="s">
        <v>106</v>
      </c>
      <c r="Q1968" s="17">
        <v>22499</v>
      </c>
      <c r="R1968" s="18">
        <v>82.72</v>
      </c>
      <c r="S1968" s="19">
        <v>4470.9354999999996</v>
      </c>
      <c r="T1968" s="20" t="s">
        <v>99</v>
      </c>
      <c r="U1968" s="21" t="s">
        <v>2838</v>
      </c>
      <c r="V1968" s="22" t="s">
        <v>43</v>
      </c>
      <c r="W1968" s="23">
        <v>1</v>
      </c>
      <c r="X1968" s="24"/>
    </row>
    <row r="1969" spans="1:24" s="1" customFormat="1" ht="35" customHeight="1" x14ac:dyDescent="0.3">
      <c r="A1969" s="11" t="s">
        <v>2834</v>
      </c>
      <c r="B1969" s="11" t="s">
        <v>2835</v>
      </c>
      <c r="C1969" s="12" t="s">
        <v>2839</v>
      </c>
      <c r="D1969" s="85"/>
      <c r="E1969" s="67" t="str">
        <f>HYPERLINK("https://www.google.ru/search?q=6147YR2014-000&amp;newwindow=1&amp;tbm=isch","Еще фото")</f>
        <v>Еще фото</v>
      </c>
      <c r="F1969" s="14"/>
      <c r="G1969" s="11" t="s">
        <v>129</v>
      </c>
      <c r="H1969" s="11" t="s">
        <v>27</v>
      </c>
      <c r="I1969" s="15" t="s">
        <v>130</v>
      </c>
      <c r="J1969" s="15" t="s">
        <v>28</v>
      </c>
      <c r="K1969" s="16" t="s">
        <v>29</v>
      </c>
      <c r="L1969" s="83" t="s">
        <v>2840</v>
      </c>
      <c r="M1969" s="15"/>
      <c r="N1969" s="15" t="s">
        <v>38</v>
      </c>
      <c r="O1969" s="15"/>
      <c r="P1969" s="16" t="s">
        <v>106</v>
      </c>
      <c r="Q1969" s="17">
        <v>17999</v>
      </c>
      <c r="R1969" s="18">
        <v>73.34</v>
      </c>
      <c r="S1969" s="19">
        <v>5517.4355000000005</v>
      </c>
      <c r="T1969" s="20" t="s">
        <v>99</v>
      </c>
      <c r="U1969" s="21" t="s">
        <v>52</v>
      </c>
      <c r="V1969" s="22" t="s">
        <v>35</v>
      </c>
      <c r="W1969" s="23">
        <v>1</v>
      </c>
      <c r="X1969" s="24"/>
    </row>
    <row r="1970" spans="1:24" s="1" customFormat="1" ht="35" customHeight="1" x14ac:dyDescent="0.3">
      <c r="A1970" s="25" t="s">
        <v>2834</v>
      </c>
      <c r="B1970" s="25" t="s">
        <v>2835</v>
      </c>
      <c r="C1970" s="12" t="s">
        <v>2839</v>
      </c>
      <c r="D1970" s="86"/>
      <c r="E1970" s="67" t="str">
        <f>HYPERLINK("https://www.google.ru/search?q=6147YR2014-000&amp;newwindow=1&amp;tbm=isch","Еще фото")</f>
        <v>Еще фото</v>
      </c>
      <c r="F1970" s="14"/>
      <c r="G1970" s="25" t="s">
        <v>129</v>
      </c>
      <c r="H1970" s="25" t="s">
        <v>27</v>
      </c>
      <c r="I1970" s="25" t="s">
        <v>130</v>
      </c>
      <c r="J1970" s="15" t="s">
        <v>28</v>
      </c>
      <c r="K1970" s="16" t="s">
        <v>29</v>
      </c>
      <c r="L1970" s="88"/>
      <c r="M1970" s="15"/>
      <c r="N1970" s="15" t="s">
        <v>38</v>
      </c>
      <c r="O1970" s="15"/>
      <c r="P1970" s="16" t="s">
        <v>106</v>
      </c>
      <c r="Q1970" s="17">
        <v>17999</v>
      </c>
      <c r="R1970" s="18">
        <v>73.34</v>
      </c>
      <c r="S1970" s="19">
        <v>5517.4355000000005</v>
      </c>
      <c r="T1970" s="20" t="s">
        <v>99</v>
      </c>
      <c r="U1970" s="21" t="s">
        <v>40</v>
      </c>
      <c r="V1970" s="22" t="s">
        <v>53</v>
      </c>
      <c r="W1970" s="23">
        <v>1</v>
      </c>
      <c r="X1970" s="24"/>
    </row>
    <row r="1971" spans="1:24" s="1" customFormat="1" ht="37.049999999999997" customHeight="1" x14ac:dyDescent="0.3">
      <c r="A1971" s="25" t="s">
        <v>2834</v>
      </c>
      <c r="B1971" s="25" t="s">
        <v>2835</v>
      </c>
      <c r="C1971" s="12" t="s">
        <v>2839</v>
      </c>
      <c r="D1971" s="87"/>
      <c r="E1971" s="67" t="str">
        <f>HYPERLINK("https://www.google.ru/search?q=6147YR2014-000&amp;newwindow=1&amp;tbm=isch","Еще фото")</f>
        <v>Еще фото</v>
      </c>
      <c r="F1971" s="14"/>
      <c r="G1971" s="25" t="s">
        <v>129</v>
      </c>
      <c r="H1971" s="25" t="s">
        <v>27</v>
      </c>
      <c r="I1971" s="25" t="s">
        <v>130</v>
      </c>
      <c r="J1971" s="15" t="s">
        <v>28</v>
      </c>
      <c r="K1971" s="16" t="s">
        <v>29</v>
      </c>
      <c r="L1971" s="84"/>
      <c r="M1971" s="15"/>
      <c r="N1971" s="15" t="s">
        <v>38</v>
      </c>
      <c r="O1971" s="15"/>
      <c r="P1971" s="16" t="s">
        <v>106</v>
      </c>
      <c r="Q1971" s="17">
        <v>17999</v>
      </c>
      <c r="R1971" s="18">
        <v>73.34</v>
      </c>
      <c r="S1971" s="19">
        <v>5517.4355000000005</v>
      </c>
      <c r="T1971" s="20" t="s">
        <v>99</v>
      </c>
      <c r="U1971" s="21" t="s">
        <v>42</v>
      </c>
      <c r="V1971" s="22" t="s">
        <v>41</v>
      </c>
      <c r="W1971" s="23">
        <v>1</v>
      </c>
      <c r="X1971" s="24"/>
    </row>
    <row r="1972" spans="1:24" s="1" customFormat="1" ht="35" customHeight="1" x14ac:dyDescent="0.3">
      <c r="A1972" s="11" t="s">
        <v>2834</v>
      </c>
      <c r="B1972" s="11" t="s">
        <v>2841</v>
      </c>
      <c r="C1972" s="12" t="s">
        <v>2842</v>
      </c>
      <c r="D1972" s="85"/>
      <c r="E1972" s="67" t="str">
        <f>HYPERLINK("https://www.google.ru/search?q=6147YR1019-716&amp;newwindow=1&amp;tbm=isch","Еще фото")</f>
        <v>Еще фото</v>
      </c>
      <c r="F1972" s="14"/>
      <c r="G1972" s="11" t="s">
        <v>129</v>
      </c>
      <c r="H1972" s="11" t="s">
        <v>27</v>
      </c>
      <c r="I1972" s="15" t="s">
        <v>130</v>
      </c>
      <c r="J1972" s="15" t="s">
        <v>28</v>
      </c>
      <c r="K1972" s="16" t="s">
        <v>45</v>
      </c>
      <c r="L1972" s="83" t="s">
        <v>2843</v>
      </c>
      <c r="M1972" s="15"/>
      <c r="N1972" s="15" t="s">
        <v>225</v>
      </c>
      <c r="O1972" s="15"/>
      <c r="P1972" s="16" t="s">
        <v>106</v>
      </c>
      <c r="Q1972" s="17">
        <v>27499</v>
      </c>
      <c r="R1972" s="18">
        <v>71.28</v>
      </c>
      <c r="S1972" s="19">
        <v>9082.4354999999996</v>
      </c>
      <c r="T1972" s="20" t="s">
        <v>99</v>
      </c>
      <c r="U1972" s="21" t="s">
        <v>40</v>
      </c>
      <c r="V1972" s="22" t="s">
        <v>53</v>
      </c>
      <c r="W1972" s="23">
        <v>1</v>
      </c>
      <c r="X1972" s="24"/>
    </row>
    <row r="1973" spans="1:24" s="1" customFormat="1" ht="35" customHeight="1" x14ac:dyDescent="0.3">
      <c r="A1973" s="25" t="s">
        <v>2834</v>
      </c>
      <c r="B1973" s="25" t="s">
        <v>2841</v>
      </c>
      <c r="C1973" s="12" t="s">
        <v>2842</v>
      </c>
      <c r="D1973" s="86"/>
      <c r="E1973" s="67" t="str">
        <f>HYPERLINK("https://www.google.ru/search?q=6147YR1019-716&amp;newwindow=1&amp;tbm=isch","Еще фото")</f>
        <v>Еще фото</v>
      </c>
      <c r="F1973" s="14"/>
      <c r="G1973" s="25" t="s">
        <v>129</v>
      </c>
      <c r="H1973" s="25" t="s">
        <v>27</v>
      </c>
      <c r="I1973" s="25" t="s">
        <v>130</v>
      </c>
      <c r="J1973" s="15" t="s">
        <v>28</v>
      </c>
      <c r="K1973" s="16" t="s">
        <v>45</v>
      </c>
      <c r="L1973" s="88"/>
      <c r="M1973" s="15"/>
      <c r="N1973" s="15" t="s">
        <v>225</v>
      </c>
      <c r="O1973" s="15"/>
      <c r="P1973" s="16" t="s">
        <v>106</v>
      </c>
      <c r="Q1973" s="17">
        <v>27499</v>
      </c>
      <c r="R1973" s="18">
        <v>71.28</v>
      </c>
      <c r="S1973" s="19">
        <v>9082.4354999999996</v>
      </c>
      <c r="T1973" s="20" t="s">
        <v>99</v>
      </c>
      <c r="U1973" s="21" t="s">
        <v>42</v>
      </c>
      <c r="V1973" s="22" t="s">
        <v>41</v>
      </c>
      <c r="W1973" s="23">
        <v>1</v>
      </c>
      <c r="X1973" s="24"/>
    </row>
    <row r="1974" spans="1:24" s="1" customFormat="1" ht="37.049999999999997" customHeight="1" x14ac:dyDescent="0.3">
      <c r="A1974" s="25" t="s">
        <v>2834</v>
      </c>
      <c r="B1974" s="25" t="s">
        <v>2841</v>
      </c>
      <c r="C1974" s="12" t="s">
        <v>2842</v>
      </c>
      <c r="D1974" s="87"/>
      <c r="E1974" s="67" t="str">
        <f>HYPERLINK("https://www.google.ru/search?q=6147YR1019-716&amp;newwindow=1&amp;tbm=isch","Еще фото")</f>
        <v>Еще фото</v>
      </c>
      <c r="F1974" s="14"/>
      <c r="G1974" s="25" t="s">
        <v>129</v>
      </c>
      <c r="H1974" s="25" t="s">
        <v>27</v>
      </c>
      <c r="I1974" s="25" t="s">
        <v>130</v>
      </c>
      <c r="J1974" s="15" t="s">
        <v>28</v>
      </c>
      <c r="K1974" s="16" t="s">
        <v>45</v>
      </c>
      <c r="L1974" s="84"/>
      <c r="M1974" s="15"/>
      <c r="N1974" s="15" t="s">
        <v>225</v>
      </c>
      <c r="O1974" s="15"/>
      <c r="P1974" s="16" t="s">
        <v>106</v>
      </c>
      <c r="Q1974" s="17">
        <v>27499</v>
      </c>
      <c r="R1974" s="18">
        <v>71.28</v>
      </c>
      <c r="S1974" s="19">
        <v>9082.4354999999996</v>
      </c>
      <c r="T1974" s="20" t="s">
        <v>99</v>
      </c>
      <c r="U1974" s="21" t="s">
        <v>2838</v>
      </c>
      <c r="V1974" s="22" t="s">
        <v>43</v>
      </c>
      <c r="W1974" s="23">
        <v>1</v>
      </c>
      <c r="X1974" s="24"/>
    </row>
    <row r="1975" spans="1:24" s="1" customFormat="1" ht="108" customHeight="1" x14ac:dyDescent="0.3">
      <c r="A1975" s="11" t="s">
        <v>2834</v>
      </c>
      <c r="B1975" s="11" t="s">
        <v>2844</v>
      </c>
      <c r="C1975" s="12" t="s">
        <v>2845</v>
      </c>
      <c r="D1975" s="13"/>
      <c r="E1975" s="67" t="str">
        <f>HYPERLINK("https://www.google.ru/search?q=6147YR1028-300&amp;newwindow=1&amp;tbm=isch","Еще фото")</f>
        <v>Еще фото</v>
      </c>
      <c r="F1975" s="14"/>
      <c r="G1975" s="11" t="s">
        <v>129</v>
      </c>
      <c r="H1975" s="11" t="s">
        <v>27</v>
      </c>
      <c r="I1975" s="15" t="s">
        <v>130</v>
      </c>
      <c r="J1975" s="15" t="s">
        <v>28</v>
      </c>
      <c r="K1975" s="16" t="s">
        <v>45</v>
      </c>
      <c r="L1975" s="15" t="s">
        <v>2846</v>
      </c>
      <c r="M1975" s="15"/>
      <c r="N1975" s="15" t="s">
        <v>55</v>
      </c>
      <c r="O1975" s="15"/>
      <c r="P1975" s="16" t="s">
        <v>968</v>
      </c>
      <c r="Q1975" s="17">
        <v>20999</v>
      </c>
      <c r="R1975" s="18">
        <v>69.290000000000006</v>
      </c>
      <c r="S1975" s="19">
        <v>7414.9354999999996</v>
      </c>
      <c r="T1975" s="20" t="s">
        <v>99</v>
      </c>
      <c r="U1975" s="21" t="s">
        <v>40</v>
      </c>
      <c r="V1975" s="22" t="s">
        <v>53</v>
      </c>
      <c r="W1975" s="23">
        <v>1</v>
      </c>
      <c r="X1975" s="24"/>
    </row>
    <row r="1976" spans="1:24" s="1" customFormat="1" ht="108" customHeight="1" x14ac:dyDescent="0.3">
      <c r="A1976" s="11" t="s">
        <v>2834</v>
      </c>
      <c r="B1976" s="11" t="s">
        <v>2841</v>
      </c>
      <c r="C1976" s="12" t="s">
        <v>2847</v>
      </c>
      <c r="D1976" s="13"/>
      <c r="E1976" s="67" t="str">
        <f>HYPERLINK("https://www.google.ru/search?q=6147YR1020-000&amp;newwindow=1&amp;tbm=isch","Еще фото")</f>
        <v>Еще фото</v>
      </c>
      <c r="F1976" s="14"/>
      <c r="G1976" s="11" t="s">
        <v>129</v>
      </c>
      <c r="H1976" s="11" t="s">
        <v>27</v>
      </c>
      <c r="I1976" s="15" t="s">
        <v>130</v>
      </c>
      <c r="J1976" s="15" t="s">
        <v>28</v>
      </c>
      <c r="K1976" s="16" t="s">
        <v>45</v>
      </c>
      <c r="L1976" s="15" t="s">
        <v>2848</v>
      </c>
      <c r="M1976" s="15"/>
      <c r="N1976" s="15" t="s">
        <v>38</v>
      </c>
      <c r="O1976" s="15"/>
      <c r="P1976" s="16" t="s">
        <v>106</v>
      </c>
      <c r="Q1976" s="17">
        <v>20899</v>
      </c>
      <c r="R1976" s="18">
        <v>67.09</v>
      </c>
      <c r="S1976" s="19">
        <v>7909.4354999999996</v>
      </c>
      <c r="T1976" s="20" t="s">
        <v>99</v>
      </c>
      <c r="U1976" s="21" t="s">
        <v>42</v>
      </c>
      <c r="V1976" s="22" t="s">
        <v>41</v>
      </c>
      <c r="W1976" s="23">
        <v>1</v>
      </c>
      <c r="X1976" s="24"/>
    </row>
    <row r="1977" spans="1:24" s="1" customFormat="1" ht="35" customHeight="1" x14ac:dyDescent="0.3">
      <c r="A1977" s="11" t="s">
        <v>2834</v>
      </c>
      <c r="B1977" s="11" t="s">
        <v>2844</v>
      </c>
      <c r="C1977" s="12" t="s">
        <v>2849</v>
      </c>
      <c r="D1977" s="85"/>
      <c r="E1977" s="67" t="str">
        <f>HYPERLINK("https://www.google.ru/search?q=6147YR1028-000&amp;newwindow=1&amp;tbm=isch","Еще фото")</f>
        <v>Еще фото</v>
      </c>
      <c r="F1977" s="14"/>
      <c r="G1977" s="11" t="s">
        <v>129</v>
      </c>
      <c r="H1977" s="11" t="s">
        <v>27</v>
      </c>
      <c r="I1977" s="15" t="s">
        <v>130</v>
      </c>
      <c r="J1977" s="15" t="s">
        <v>28</v>
      </c>
      <c r="K1977" s="16" t="s">
        <v>45</v>
      </c>
      <c r="L1977" s="83" t="s">
        <v>2846</v>
      </c>
      <c r="M1977" s="15"/>
      <c r="N1977" s="15" t="s">
        <v>38</v>
      </c>
      <c r="O1977" s="15"/>
      <c r="P1977" s="16" t="s">
        <v>968</v>
      </c>
      <c r="Q1977" s="17">
        <v>20999</v>
      </c>
      <c r="R1977" s="18">
        <v>67.010000000000005</v>
      </c>
      <c r="S1977" s="19">
        <v>7966.9354999999996</v>
      </c>
      <c r="T1977" s="20" t="s">
        <v>99</v>
      </c>
      <c r="U1977" s="21" t="s">
        <v>42</v>
      </c>
      <c r="V1977" s="22" t="s">
        <v>41</v>
      </c>
      <c r="W1977" s="23">
        <v>4</v>
      </c>
      <c r="X1977" s="24"/>
    </row>
    <row r="1978" spans="1:24" s="1" customFormat="1" ht="35" customHeight="1" x14ac:dyDescent="0.3">
      <c r="A1978" s="25" t="s">
        <v>2834</v>
      </c>
      <c r="B1978" s="25" t="s">
        <v>2844</v>
      </c>
      <c r="C1978" s="12" t="s">
        <v>2849</v>
      </c>
      <c r="D1978" s="86"/>
      <c r="E1978" s="67" t="str">
        <f>HYPERLINK("https://www.google.ru/search?q=6147YR1028-000&amp;newwindow=1&amp;tbm=isch","Еще фото")</f>
        <v>Еще фото</v>
      </c>
      <c r="F1978" s="14"/>
      <c r="G1978" s="25" t="s">
        <v>129</v>
      </c>
      <c r="H1978" s="25" t="s">
        <v>27</v>
      </c>
      <c r="I1978" s="25" t="s">
        <v>130</v>
      </c>
      <c r="J1978" s="15" t="s">
        <v>28</v>
      </c>
      <c r="K1978" s="16" t="s">
        <v>45</v>
      </c>
      <c r="L1978" s="88"/>
      <c r="M1978" s="15"/>
      <c r="N1978" s="15" t="s">
        <v>38</v>
      </c>
      <c r="O1978" s="15"/>
      <c r="P1978" s="16" t="s">
        <v>968</v>
      </c>
      <c r="Q1978" s="17">
        <v>20999</v>
      </c>
      <c r="R1978" s="18">
        <v>67.010000000000005</v>
      </c>
      <c r="S1978" s="19">
        <v>7966.9354999999996</v>
      </c>
      <c r="T1978" s="20" t="s">
        <v>99</v>
      </c>
      <c r="U1978" s="21" t="s">
        <v>2838</v>
      </c>
      <c r="V1978" s="22" t="s">
        <v>43</v>
      </c>
      <c r="W1978" s="23">
        <v>1</v>
      </c>
      <c r="X1978" s="24"/>
    </row>
    <row r="1979" spans="1:24" s="1" customFormat="1" ht="37.049999999999997" customHeight="1" x14ac:dyDescent="0.3">
      <c r="A1979" s="25" t="s">
        <v>2834</v>
      </c>
      <c r="B1979" s="25" t="s">
        <v>2844</v>
      </c>
      <c r="C1979" s="12" t="s">
        <v>2849</v>
      </c>
      <c r="D1979" s="87"/>
      <c r="E1979" s="67" t="str">
        <f>HYPERLINK("https://www.google.ru/search?q=6147YR1028-000&amp;newwindow=1&amp;tbm=isch","Еще фото")</f>
        <v>Еще фото</v>
      </c>
      <c r="F1979" s="14"/>
      <c r="G1979" s="25" t="s">
        <v>129</v>
      </c>
      <c r="H1979" s="25" t="s">
        <v>27</v>
      </c>
      <c r="I1979" s="25" t="s">
        <v>130</v>
      </c>
      <c r="J1979" s="15" t="s">
        <v>28</v>
      </c>
      <c r="K1979" s="16" t="s">
        <v>45</v>
      </c>
      <c r="L1979" s="84"/>
      <c r="M1979" s="15"/>
      <c r="N1979" s="15" t="s">
        <v>38</v>
      </c>
      <c r="O1979" s="15"/>
      <c r="P1979" s="16" t="s">
        <v>968</v>
      </c>
      <c r="Q1979" s="17">
        <v>20999</v>
      </c>
      <c r="R1979" s="18">
        <v>67.010000000000005</v>
      </c>
      <c r="S1979" s="19">
        <v>7966.9354999999996</v>
      </c>
      <c r="T1979" s="20" t="s">
        <v>99</v>
      </c>
      <c r="U1979" s="21" t="s">
        <v>1847</v>
      </c>
      <c r="V1979" s="22" t="s">
        <v>48</v>
      </c>
      <c r="W1979" s="23">
        <v>1</v>
      </c>
      <c r="X1979" s="24"/>
    </row>
    <row r="1980" spans="1:24" s="1" customFormat="1" ht="52.05" customHeight="1" x14ac:dyDescent="0.3">
      <c r="A1980" s="11" t="s">
        <v>2834</v>
      </c>
      <c r="B1980" s="11" t="s">
        <v>2844</v>
      </c>
      <c r="C1980" s="12" t="s">
        <v>2850</v>
      </c>
      <c r="D1980" s="81"/>
      <c r="E1980" s="67" t="str">
        <f>HYPERLINK("https://www.google.ru/search?q=6147YR1008-000&amp;newwindow=1&amp;tbm=isch","Еще фото")</f>
        <v>Еще фото</v>
      </c>
      <c r="F1980" s="14"/>
      <c r="G1980" s="11" t="s">
        <v>129</v>
      </c>
      <c r="H1980" s="11" t="s">
        <v>27</v>
      </c>
      <c r="I1980" s="15" t="s">
        <v>130</v>
      </c>
      <c r="J1980" s="15" t="s">
        <v>28</v>
      </c>
      <c r="K1980" s="16" t="s">
        <v>45</v>
      </c>
      <c r="L1980" s="83" t="s">
        <v>2837</v>
      </c>
      <c r="M1980" s="15"/>
      <c r="N1980" s="15" t="s">
        <v>38</v>
      </c>
      <c r="O1980" s="15"/>
      <c r="P1980" s="16" t="s">
        <v>2851</v>
      </c>
      <c r="Q1980" s="17">
        <v>22499</v>
      </c>
      <c r="R1980" s="18">
        <v>64.59</v>
      </c>
      <c r="S1980" s="19">
        <v>9162.9354999999996</v>
      </c>
      <c r="T1980" s="20" t="s">
        <v>99</v>
      </c>
      <c r="U1980" s="21" t="s">
        <v>52</v>
      </c>
      <c r="V1980" s="22" t="s">
        <v>35</v>
      </c>
      <c r="W1980" s="23">
        <v>1</v>
      </c>
      <c r="X1980" s="24"/>
    </row>
    <row r="1981" spans="1:24" s="1" customFormat="1" ht="61.05" customHeight="1" x14ac:dyDescent="0.3">
      <c r="A1981" s="25" t="s">
        <v>2834</v>
      </c>
      <c r="B1981" s="25" t="s">
        <v>2844</v>
      </c>
      <c r="C1981" s="12" t="s">
        <v>2850</v>
      </c>
      <c r="D1981" s="82"/>
      <c r="E1981" s="67" t="str">
        <f>HYPERLINK("https://www.google.ru/search?q=6147YR1008-000&amp;newwindow=1&amp;tbm=isch","Еще фото")</f>
        <v>Еще фото</v>
      </c>
      <c r="F1981" s="14"/>
      <c r="G1981" s="25" t="s">
        <v>129</v>
      </c>
      <c r="H1981" s="25" t="s">
        <v>27</v>
      </c>
      <c r="I1981" s="25" t="s">
        <v>130</v>
      </c>
      <c r="J1981" s="15" t="s">
        <v>28</v>
      </c>
      <c r="K1981" s="16" t="s">
        <v>45</v>
      </c>
      <c r="L1981" s="84"/>
      <c r="M1981" s="15"/>
      <c r="N1981" s="15" t="s">
        <v>38</v>
      </c>
      <c r="O1981" s="15"/>
      <c r="P1981" s="16" t="s">
        <v>2851</v>
      </c>
      <c r="Q1981" s="17">
        <v>22499</v>
      </c>
      <c r="R1981" s="18">
        <v>64.59</v>
      </c>
      <c r="S1981" s="19">
        <v>9162.9354999999996</v>
      </c>
      <c r="T1981" s="20" t="s">
        <v>99</v>
      </c>
      <c r="U1981" s="21" t="s">
        <v>42</v>
      </c>
      <c r="V1981" s="22" t="s">
        <v>41</v>
      </c>
      <c r="W1981" s="23">
        <v>2</v>
      </c>
      <c r="X1981" s="24"/>
    </row>
    <row r="1982" spans="1:24" s="1" customFormat="1" ht="26" customHeight="1" x14ac:dyDescent="0.3">
      <c r="A1982" s="11" t="s">
        <v>2784</v>
      </c>
      <c r="B1982" s="11" t="s">
        <v>2852</v>
      </c>
      <c r="C1982" s="12" t="s">
        <v>2853</v>
      </c>
      <c r="D1982" s="85"/>
      <c r="E1982" s="67" t="str">
        <f>HYPERLINK("https://www.google.ru/search?q=101510983&amp;newwindow=1&amp;tbm=isch","Еще фото")</f>
        <v>Еще фото</v>
      </c>
      <c r="F1982" s="14"/>
      <c r="G1982" s="11" t="s">
        <v>140</v>
      </c>
      <c r="H1982" s="11" t="s">
        <v>27</v>
      </c>
      <c r="I1982" s="15" t="s">
        <v>130</v>
      </c>
      <c r="J1982" s="15" t="s">
        <v>28</v>
      </c>
      <c r="K1982" s="16" t="s">
        <v>29</v>
      </c>
      <c r="L1982" s="83"/>
      <c r="M1982" s="15"/>
      <c r="N1982" s="15" t="s">
        <v>38</v>
      </c>
      <c r="O1982" s="15"/>
      <c r="P1982" s="16" t="s">
        <v>2854</v>
      </c>
      <c r="Q1982" s="17">
        <v>20999</v>
      </c>
      <c r="R1982" s="18">
        <v>45</v>
      </c>
      <c r="S1982" s="19">
        <v>13281.8675</v>
      </c>
      <c r="T1982" s="20" t="s">
        <v>99</v>
      </c>
      <c r="U1982" s="21" t="s">
        <v>164</v>
      </c>
      <c r="V1982" s="22" t="s">
        <v>35</v>
      </c>
      <c r="W1982" s="23">
        <v>3</v>
      </c>
      <c r="X1982" s="24"/>
    </row>
    <row r="1983" spans="1:24" s="1" customFormat="1" ht="26" customHeight="1" x14ac:dyDescent="0.3">
      <c r="A1983" s="25" t="s">
        <v>2784</v>
      </c>
      <c r="B1983" s="25" t="s">
        <v>2852</v>
      </c>
      <c r="C1983" s="12" t="s">
        <v>2853</v>
      </c>
      <c r="D1983" s="86"/>
      <c r="E1983" s="67" t="str">
        <f>HYPERLINK("https://www.google.ru/search?q=101510983&amp;newwindow=1&amp;tbm=isch","Еще фото")</f>
        <v>Еще фото</v>
      </c>
      <c r="F1983" s="14"/>
      <c r="G1983" s="25" t="s">
        <v>140</v>
      </c>
      <c r="H1983" s="25" t="s">
        <v>27</v>
      </c>
      <c r="I1983" s="25" t="s">
        <v>130</v>
      </c>
      <c r="J1983" s="15" t="s">
        <v>28</v>
      </c>
      <c r="K1983" s="16" t="s">
        <v>29</v>
      </c>
      <c r="L1983" s="88"/>
      <c r="M1983" s="15"/>
      <c r="N1983" s="15" t="s">
        <v>38</v>
      </c>
      <c r="O1983" s="15"/>
      <c r="P1983" s="16" t="s">
        <v>2854</v>
      </c>
      <c r="Q1983" s="17">
        <v>20999</v>
      </c>
      <c r="R1983" s="18">
        <v>45</v>
      </c>
      <c r="S1983" s="19">
        <v>13281.8675</v>
      </c>
      <c r="T1983" s="20" t="s">
        <v>99</v>
      </c>
      <c r="U1983" s="21" t="s">
        <v>158</v>
      </c>
      <c r="V1983" s="22" t="s">
        <v>41</v>
      </c>
      <c r="W1983" s="23">
        <v>3</v>
      </c>
      <c r="X1983" s="24"/>
    </row>
    <row r="1984" spans="1:24" s="1" customFormat="1" ht="26" customHeight="1" x14ac:dyDescent="0.3">
      <c r="A1984" s="25" t="s">
        <v>2784</v>
      </c>
      <c r="B1984" s="25" t="s">
        <v>2852</v>
      </c>
      <c r="C1984" s="12" t="s">
        <v>2853</v>
      </c>
      <c r="D1984" s="86"/>
      <c r="E1984" s="67" t="str">
        <f>HYPERLINK("https://www.google.ru/search?q=101510983&amp;newwindow=1&amp;tbm=isch","Еще фото")</f>
        <v>Еще фото</v>
      </c>
      <c r="F1984" s="14"/>
      <c r="G1984" s="25" t="s">
        <v>140</v>
      </c>
      <c r="H1984" s="25" t="s">
        <v>27</v>
      </c>
      <c r="I1984" s="25" t="s">
        <v>130</v>
      </c>
      <c r="J1984" s="15" t="s">
        <v>28</v>
      </c>
      <c r="K1984" s="16" t="s">
        <v>29</v>
      </c>
      <c r="L1984" s="88"/>
      <c r="M1984" s="15"/>
      <c r="N1984" s="15" t="s">
        <v>38</v>
      </c>
      <c r="O1984" s="15"/>
      <c r="P1984" s="16" t="s">
        <v>2854</v>
      </c>
      <c r="Q1984" s="17">
        <v>20999</v>
      </c>
      <c r="R1984" s="18">
        <v>45</v>
      </c>
      <c r="S1984" s="19">
        <v>13281.8675</v>
      </c>
      <c r="T1984" s="20" t="s">
        <v>99</v>
      </c>
      <c r="U1984" s="21" t="s">
        <v>149</v>
      </c>
      <c r="V1984" s="22" t="s">
        <v>43</v>
      </c>
      <c r="W1984" s="23">
        <v>1</v>
      </c>
      <c r="X1984" s="24"/>
    </row>
    <row r="1985" spans="1:24" s="1" customFormat="1" ht="26" customHeight="1" x14ac:dyDescent="0.3">
      <c r="A1985" s="25" t="s">
        <v>2784</v>
      </c>
      <c r="B1985" s="25" t="s">
        <v>2852</v>
      </c>
      <c r="C1985" s="12" t="s">
        <v>2853</v>
      </c>
      <c r="D1985" s="87"/>
      <c r="E1985" s="67" t="str">
        <f>HYPERLINK("https://www.google.ru/search?q=101510983&amp;newwindow=1&amp;tbm=isch","Еще фото")</f>
        <v>Еще фото</v>
      </c>
      <c r="F1985" s="14"/>
      <c r="G1985" s="25" t="s">
        <v>140</v>
      </c>
      <c r="H1985" s="25" t="s">
        <v>27</v>
      </c>
      <c r="I1985" s="25" t="s">
        <v>130</v>
      </c>
      <c r="J1985" s="15" t="s">
        <v>28</v>
      </c>
      <c r="K1985" s="16" t="s">
        <v>29</v>
      </c>
      <c r="L1985" s="84"/>
      <c r="M1985" s="15"/>
      <c r="N1985" s="15" t="s">
        <v>38</v>
      </c>
      <c r="O1985" s="15"/>
      <c r="P1985" s="16" t="s">
        <v>2854</v>
      </c>
      <c r="Q1985" s="17">
        <v>20999</v>
      </c>
      <c r="R1985" s="18">
        <v>45</v>
      </c>
      <c r="S1985" s="19">
        <v>13281.8675</v>
      </c>
      <c r="T1985" s="20" t="s">
        <v>99</v>
      </c>
      <c r="U1985" s="21" t="s">
        <v>467</v>
      </c>
      <c r="V1985" s="22" t="s">
        <v>48</v>
      </c>
      <c r="W1985" s="23">
        <v>1</v>
      </c>
      <c r="X1985" s="24"/>
    </row>
    <row r="1986" spans="1:24" s="1" customFormat="1" ht="52.05" customHeight="1" x14ac:dyDescent="0.3">
      <c r="A1986" s="11" t="s">
        <v>2784</v>
      </c>
      <c r="B1986" s="11" t="s">
        <v>2855</v>
      </c>
      <c r="C1986" s="12" t="s">
        <v>2856</v>
      </c>
      <c r="D1986" s="81"/>
      <c r="E1986" s="67" t="str">
        <f>HYPERLINK("https://www.google.ru/search?q=101990053&amp;newwindow=1&amp;tbm=isch","Еще фото")</f>
        <v>Еще фото</v>
      </c>
      <c r="F1986" s="14"/>
      <c r="G1986" s="11" t="s">
        <v>140</v>
      </c>
      <c r="H1986" s="11" t="s">
        <v>27</v>
      </c>
      <c r="I1986" s="15" t="s">
        <v>130</v>
      </c>
      <c r="J1986" s="15" t="s">
        <v>28</v>
      </c>
      <c r="K1986" s="16" t="s">
        <v>29</v>
      </c>
      <c r="L1986" s="83"/>
      <c r="M1986" s="15"/>
      <c r="N1986" s="15" t="s">
        <v>31</v>
      </c>
      <c r="O1986" s="15"/>
      <c r="P1986" s="16" t="s">
        <v>2857</v>
      </c>
      <c r="Q1986" s="17">
        <v>17999</v>
      </c>
      <c r="R1986" s="18">
        <v>45</v>
      </c>
      <c r="S1986" s="19">
        <v>11384.3675</v>
      </c>
      <c r="T1986" s="20" t="s">
        <v>99</v>
      </c>
      <c r="U1986" s="21" t="s">
        <v>164</v>
      </c>
      <c r="V1986" s="22" t="s">
        <v>35</v>
      </c>
      <c r="W1986" s="23">
        <v>3</v>
      </c>
      <c r="X1986" s="24"/>
    </row>
    <row r="1987" spans="1:24" s="1" customFormat="1" ht="61.05" customHeight="1" x14ac:dyDescent="0.3">
      <c r="A1987" s="25" t="s">
        <v>2784</v>
      </c>
      <c r="B1987" s="25" t="s">
        <v>2855</v>
      </c>
      <c r="C1987" s="12" t="s">
        <v>2856</v>
      </c>
      <c r="D1987" s="82"/>
      <c r="E1987" s="67" t="str">
        <f>HYPERLINK("https://www.google.ru/search?q=101990053&amp;newwindow=1&amp;tbm=isch","Еще фото")</f>
        <v>Еще фото</v>
      </c>
      <c r="F1987" s="14"/>
      <c r="G1987" s="25" t="s">
        <v>140</v>
      </c>
      <c r="H1987" s="25" t="s">
        <v>27</v>
      </c>
      <c r="I1987" s="25" t="s">
        <v>130</v>
      </c>
      <c r="J1987" s="15" t="s">
        <v>28</v>
      </c>
      <c r="K1987" s="16" t="s">
        <v>29</v>
      </c>
      <c r="L1987" s="84"/>
      <c r="M1987" s="15"/>
      <c r="N1987" s="15" t="s">
        <v>31</v>
      </c>
      <c r="O1987" s="15"/>
      <c r="P1987" s="16" t="s">
        <v>2857</v>
      </c>
      <c r="Q1987" s="17">
        <v>17999</v>
      </c>
      <c r="R1987" s="18">
        <v>45</v>
      </c>
      <c r="S1987" s="19">
        <v>11384.3675</v>
      </c>
      <c r="T1987" s="20" t="s">
        <v>99</v>
      </c>
      <c r="U1987" s="21" t="s">
        <v>149</v>
      </c>
      <c r="V1987" s="22" t="s">
        <v>43</v>
      </c>
      <c r="W1987" s="23">
        <v>2</v>
      </c>
      <c r="X1987" s="24"/>
    </row>
    <row r="1988" spans="1:24" s="1" customFormat="1" ht="52.05" customHeight="1" x14ac:dyDescent="0.3">
      <c r="A1988" s="11" t="s">
        <v>2784</v>
      </c>
      <c r="B1988" s="11" t="s">
        <v>2858</v>
      </c>
      <c r="C1988" s="12" t="s">
        <v>2859</v>
      </c>
      <c r="D1988" s="81"/>
      <c r="E1988" s="67" t="str">
        <f>HYPERLINK("https://www.google.ru/search?q=101990057&amp;newwindow=1&amp;tbm=isch","Еще фото")</f>
        <v>Еще фото</v>
      </c>
      <c r="F1988" s="14"/>
      <c r="G1988" s="11" t="s">
        <v>140</v>
      </c>
      <c r="H1988" s="11" t="s">
        <v>27</v>
      </c>
      <c r="I1988" s="15" t="s">
        <v>130</v>
      </c>
      <c r="J1988" s="15" t="s">
        <v>28</v>
      </c>
      <c r="K1988" s="16" t="s">
        <v>29</v>
      </c>
      <c r="L1988" s="83"/>
      <c r="M1988" s="15"/>
      <c r="N1988" s="15" t="s">
        <v>265</v>
      </c>
      <c r="O1988" s="15"/>
      <c r="P1988" s="16" t="s">
        <v>2860</v>
      </c>
      <c r="Q1988" s="17">
        <v>12999</v>
      </c>
      <c r="R1988" s="18">
        <v>45</v>
      </c>
      <c r="S1988" s="19">
        <v>8221.8674999999985</v>
      </c>
      <c r="T1988" s="20" t="s">
        <v>99</v>
      </c>
      <c r="U1988" s="21" t="s">
        <v>158</v>
      </c>
      <c r="V1988" s="22" t="s">
        <v>41</v>
      </c>
      <c r="W1988" s="23">
        <v>1</v>
      </c>
      <c r="X1988" s="24"/>
    </row>
    <row r="1989" spans="1:24" s="1" customFormat="1" ht="61.05" customHeight="1" x14ac:dyDescent="0.3">
      <c r="A1989" s="25" t="s">
        <v>2784</v>
      </c>
      <c r="B1989" s="25" t="s">
        <v>2858</v>
      </c>
      <c r="C1989" s="12" t="s">
        <v>2859</v>
      </c>
      <c r="D1989" s="82"/>
      <c r="E1989" s="67" t="str">
        <f>HYPERLINK("https://www.google.ru/search?q=101990057&amp;newwindow=1&amp;tbm=isch","Еще фото")</f>
        <v>Еще фото</v>
      </c>
      <c r="F1989" s="14"/>
      <c r="G1989" s="25" t="s">
        <v>140</v>
      </c>
      <c r="H1989" s="25" t="s">
        <v>27</v>
      </c>
      <c r="I1989" s="25" t="s">
        <v>130</v>
      </c>
      <c r="J1989" s="15" t="s">
        <v>28</v>
      </c>
      <c r="K1989" s="16" t="s">
        <v>29</v>
      </c>
      <c r="L1989" s="84"/>
      <c r="M1989" s="15"/>
      <c r="N1989" s="15" t="s">
        <v>265</v>
      </c>
      <c r="O1989" s="15"/>
      <c r="P1989" s="16" t="s">
        <v>2860</v>
      </c>
      <c r="Q1989" s="17">
        <v>12999</v>
      </c>
      <c r="R1989" s="18">
        <v>45</v>
      </c>
      <c r="S1989" s="19">
        <v>8221.8674999999985</v>
      </c>
      <c r="T1989" s="20" t="s">
        <v>99</v>
      </c>
      <c r="U1989" s="21" t="s">
        <v>467</v>
      </c>
      <c r="V1989" s="22" t="s">
        <v>48</v>
      </c>
      <c r="W1989" s="23">
        <v>2</v>
      </c>
      <c r="X1989" s="24"/>
    </row>
    <row r="1990" spans="1:24" s="1" customFormat="1" ht="52.05" customHeight="1" x14ac:dyDescent="0.3">
      <c r="A1990" s="11" t="s">
        <v>2784</v>
      </c>
      <c r="B1990" s="11" t="s">
        <v>2858</v>
      </c>
      <c r="C1990" s="12" t="s">
        <v>2861</v>
      </c>
      <c r="D1990" s="81"/>
      <c r="E1990" s="67" t="str">
        <f>HYPERLINK("https://www.google.ru/search?q=101990058&amp;newwindow=1&amp;tbm=isch","Еще фото")</f>
        <v>Еще фото</v>
      </c>
      <c r="F1990" s="14"/>
      <c r="G1990" s="11" t="s">
        <v>140</v>
      </c>
      <c r="H1990" s="11" t="s">
        <v>27</v>
      </c>
      <c r="I1990" s="15" t="s">
        <v>130</v>
      </c>
      <c r="J1990" s="15" t="s">
        <v>28</v>
      </c>
      <c r="K1990" s="16" t="s">
        <v>29</v>
      </c>
      <c r="L1990" s="83"/>
      <c r="M1990" s="15"/>
      <c r="N1990" s="15" t="s">
        <v>31</v>
      </c>
      <c r="O1990" s="15"/>
      <c r="P1990" s="16" t="s">
        <v>2860</v>
      </c>
      <c r="Q1990" s="17">
        <v>12999</v>
      </c>
      <c r="R1990" s="18">
        <v>45</v>
      </c>
      <c r="S1990" s="19">
        <v>8221.8674999999985</v>
      </c>
      <c r="T1990" s="20" t="s">
        <v>99</v>
      </c>
      <c r="U1990" s="21" t="s">
        <v>149</v>
      </c>
      <c r="V1990" s="22" t="s">
        <v>43</v>
      </c>
      <c r="W1990" s="23">
        <v>2</v>
      </c>
      <c r="X1990" s="24"/>
    </row>
    <row r="1991" spans="1:24" s="1" customFormat="1" ht="61.05" customHeight="1" x14ac:dyDescent="0.3">
      <c r="A1991" s="25" t="s">
        <v>2784</v>
      </c>
      <c r="B1991" s="25" t="s">
        <v>2858</v>
      </c>
      <c r="C1991" s="12" t="s">
        <v>2861</v>
      </c>
      <c r="D1991" s="82"/>
      <c r="E1991" s="67" t="str">
        <f>HYPERLINK("https://www.google.ru/search?q=101990058&amp;newwindow=1&amp;tbm=isch","Еще фото")</f>
        <v>Еще фото</v>
      </c>
      <c r="F1991" s="14"/>
      <c r="G1991" s="25" t="s">
        <v>140</v>
      </c>
      <c r="H1991" s="25" t="s">
        <v>27</v>
      </c>
      <c r="I1991" s="25" t="s">
        <v>130</v>
      </c>
      <c r="J1991" s="15" t="s">
        <v>28</v>
      </c>
      <c r="K1991" s="16" t="s">
        <v>29</v>
      </c>
      <c r="L1991" s="84"/>
      <c r="M1991" s="15"/>
      <c r="N1991" s="15" t="s">
        <v>31</v>
      </c>
      <c r="O1991" s="15"/>
      <c r="P1991" s="16" t="s">
        <v>2860</v>
      </c>
      <c r="Q1991" s="17">
        <v>12999</v>
      </c>
      <c r="R1991" s="18">
        <v>45</v>
      </c>
      <c r="S1991" s="19">
        <v>8221.8674999999985</v>
      </c>
      <c r="T1991" s="20" t="s">
        <v>99</v>
      </c>
      <c r="U1991" s="21" t="s">
        <v>467</v>
      </c>
      <c r="V1991" s="22" t="s">
        <v>48</v>
      </c>
      <c r="W1991" s="23">
        <v>1</v>
      </c>
      <c r="X1991" s="24"/>
    </row>
    <row r="1992" spans="1:24" s="1" customFormat="1" ht="108" customHeight="1" x14ac:dyDescent="0.3">
      <c r="A1992" s="11" t="s">
        <v>2784</v>
      </c>
      <c r="B1992" s="11" t="s">
        <v>2862</v>
      </c>
      <c r="C1992" s="12" t="s">
        <v>2863</v>
      </c>
      <c r="D1992" s="13"/>
      <c r="E1992" s="67" t="str">
        <f>HYPERLINK("https://www.google.ru/search?q=101990062&amp;newwindow=1&amp;tbm=isch","Еще фото")</f>
        <v>Еще фото</v>
      </c>
      <c r="F1992" s="14"/>
      <c r="G1992" s="11" t="s">
        <v>140</v>
      </c>
      <c r="H1992" s="11" t="s">
        <v>27</v>
      </c>
      <c r="I1992" s="15" t="s">
        <v>130</v>
      </c>
      <c r="J1992" s="15" t="s">
        <v>28</v>
      </c>
      <c r="K1992" s="16" t="s">
        <v>29</v>
      </c>
      <c r="L1992" s="15"/>
      <c r="M1992" s="15"/>
      <c r="N1992" s="15" t="s">
        <v>38</v>
      </c>
      <c r="O1992" s="15"/>
      <c r="P1992" s="16" t="s">
        <v>2860</v>
      </c>
      <c r="Q1992" s="17">
        <v>13999</v>
      </c>
      <c r="R1992" s="18">
        <v>45</v>
      </c>
      <c r="S1992" s="19">
        <v>8854.3674999999985</v>
      </c>
      <c r="T1992" s="20" t="s">
        <v>99</v>
      </c>
      <c r="U1992" s="21" t="s">
        <v>158</v>
      </c>
      <c r="V1992" s="22" t="s">
        <v>41</v>
      </c>
      <c r="W1992" s="23">
        <v>1</v>
      </c>
      <c r="X1992" s="24"/>
    </row>
    <row r="1993" spans="1:24" s="1" customFormat="1" ht="52.05" customHeight="1" x14ac:dyDescent="0.3">
      <c r="A1993" s="11" t="s">
        <v>2784</v>
      </c>
      <c r="B1993" s="11" t="s">
        <v>2862</v>
      </c>
      <c r="C1993" s="12" t="s">
        <v>2864</v>
      </c>
      <c r="D1993" s="81"/>
      <c r="E1993" s="67" t="str">
        <f>HYPERLINK("https://www.google.ru/search?q=101990065&amp;newwindow=1&amp;tbm=isch","Еще фото")</f>
        <v>Еще фото</v>
      </c>
      <c r="F1993" s="14"/>
      <c r="G1993" s="11" t="s">
        <v>140</v>
      </c>
      <c r="H1993" s="11" t="s">
        <v>27</v>
      </c>
      <c r="I1993" s="15" t="s">
        <v>130</v>
      </c>
      <c r="J1993" s="15" t="s">
        <v>28</v>
      </c>
      <c r="K1993" s="16" t="s">
        <v>29</v>
      </c>
      <c r="L1993" s="83"/>
      <c r="M1993" s="15"/>
      <c r="N1993" s="15" t="s">
        <v>31</v>
      </c>
      <c r="O1993" s="15"/>
      <c r="P1993" s="16" t="s">
        <v>2860</v>
      </c>
      <c r="Q1993" s="17">
        <v>13999</v>
      </c>
      <c r="R1993" s="18">
        <v>45</v>
      </c>
      <c r="S1993" s="19">
        <v>8854.3674999999985</v>
      </c>
      <c r="T1993" s="20" t="s">
        <v>99</v>
      </c>
      <c r="U1993" s="21" t="s">
        <v>164</v>
      </c>
      <c r="V1993" s="22" t="s">
        <v>35</v>
      </c>
      <c r="W1993" s="23">
        <v>2</v>
      </c>
      <c r="X1993" s="24"/>
    </row>
    <row r="1994" spans="1:24" s="1" customFormat="1" ht="61.05" customHeight="1" x14ac:dyDescent="0.3">
      <c r="A1994" s="25" t="s">
        <v>2784</v>
      </c>
      <c r="B1994" s="25" t="s">
        <v>2862</v>
      </c>
      <c r="C1994" s="12" t="s">
        <v>2864</v>
      </c>
      <c r="D1994" s="82"/>
      <c r="E1994" s="67" t="str">
        <f>HYPERLINK("https://www.google.ru/search?q=101990065&amp;newwindow=1&amp;tbm=isch","Еще фото")</f>
        <v>Еще фото</v>
      </c>
      <c r="F1994" s="14"/>
      <c r="G1994" s="25" t="s">
        <v>140</v>
      </c>
      <c r="H1994" s="25" t="s">
        <v>27</v>
      </c>
      <c r="I1994" s="25" t="s">
        <v>130</v>
      </c>
      <c r="J1994" s="15" t="s">
        <v>28</v>
      </c>
      <c r="K1994" s="16" t="s">
        <v>29</v>
      </c>
      <c r="L1994" s="84"/>
      <c r="M1994" s="15"/>
      <c r="N1994" s="15" t="s">
        <v>31</v>
      </c>
      <c r="O1994" s="15"/>
      <c r="P1994" s="16" t="s">
        <v>2860</v>
      </c>
      <c r="Q1994" s="17">
        <v>13999</v>
      </c>
      <c r="R1994" s="18">
        <v>45</v>
      </c>
      <c r="S1994" s="19">
        <v>8854.3674999999985</v>
      </c>
      <c r="T1994" s="20" t="s">
        <v>99</v>
      </c>
      <c r="U1994" s="21" t="s">
        <v>149</v>
      </c>
      <c r="V1994" s="22" t="s">
        <v>43</v>
      </c>
      <c r="W1994" s="23">
        <v>2</v>
      </c>
      <c r="X1994" s="24"/>
    </row>
    <row r="1995" spans="1:24" s="1" customFormat="1" ht="108" customHeight="1" x14ac:dyDescent="0.3">
      <c r="A1995" s="11" t="s">
        <v>2826</v>
      </c>
      <c r="B1995" s="11" t="s">
        <v>2865</v>
      </c>
      <c r="C1995" s="12" t="s">
        <v>2866</v>
      </c>
      <c r="D1995" s="13"/>
      <c r="E1995" s="67" t="str">
        <f>HYPERLINK("https://www.google.ru/search?q=А004&amp;newwindow=1&amp;tbm=isch","Еще фото")</f>
        <v>Еще фото</v>
      </c>
      <c r="F1995" s="14"/>
      <c r="G1995" s="11" t="s">
        <v>2867</v>
      </c>
      <c r="H1995" s="11" t="s">
        <v>69</v>
      </c>
      <c r="I1995" s="15" t="s">
        <v>713</v>
      </c>
      <c r="J1995" s="15" t="s">
        <v>28</v>
      </c>
      <c r="K1995" s="16" t="s">
        <v>71</v>
      </c>
      <c r="L1995" s="15"/>
      <c r="M1995" s="15"/>
      <c r="N1995" s="15" t="s">
        <v>38</v>
      </c>
      <c r="O1995" s="15"/>
      <c r="P1995" s="16" t="s">
        <v>2868</v>
      </c>
      <c r="Q1995" s="53">
        <v>490</v>
      </c>
      <c r="R1995" s="18">
        <v>55.56</v>
      </c>
      <c r="S1995" s="26">
        <v>250.43549999999999</v>
      </c>
      <c r="T1995" s="20" t="s">
        <v>99</v>
      </c>
      <c r="U1995" s="21" t="s">
        <v>42</v>
      </c>
      <c r="V1995" s="22" t="s">
        <v>53</v>
      </c>
      <c r="W1995" s="23">
        <v>1</v>
      </c>
      <c r="X1995" s="24"/>
    </row>
    <row r="1996" spans="1:24" s="1" customFormat="1" ht="52.05" customHeight="1" x14ac:dyDescent="0.3">
      <c r="A1996" s="11" t="s">
        <v>2869</v>
      </c>
      <c r="B1996" s="11" t="s">
        <v>2870</v>
      </c>
      <c r="C1996" s="12" t="s">
        <v>2871</v>
      </c>
      <c r="D1996" s="81"/>
      <c r="E1996" s="67" t="str">
        <f>HYPERLINK("https://www.google.ru/search?q=DR101179508D0617&amp;newwindow=1&amp;tbm=isch","Еще фото")</f>
        <v>Еще фото</v>
      </c>
      <c r="F1996" s="14"/>
      <c r="G1996" s="11" t="s">
        <v>153</v>
      </c>
      <c r="H1996" s="11" t="s">
        <v>93</v>
      </c>
      <c r="I1996" s="15" t="s">
        <v>154</v>
      </c>
      <c r="J1996" s="15" t="s">
        <v>360</v>
      </c>
      <c r="K1996" s="16" t="s">
        <v>29</v>
      </c>
      <c r="L1996" s="83" t="s">
        <v>2872</v>
      </c>
      <c r="M1996" s="15"/>
      <c r="N1996" s="15" t="s">
        <v>173</v>
      </c>
      <c r="O1996" s="15"/>
      <c r="P1996" s="16" t="s">
        <v>2873</v>
      </c>
      <c r="Q1996" s="17">
        <v>28990</v>
      </c>
      <c r="R1996" s="18">
        <v>66.930000000000007</v>
      </c>
      <c r="S1996" s="19">
        <v>11025.9355</v>
      </c>
      <c r="T1996" s="20" t="s">
        <v>333</v>
      </c>
      <c r="U1996" s="21" t="s">
        <v>2874</v>
      </c>
      <c r="V1996" s="29">
        <v>37.5</v>
      </c>
      <c r="W1996" s="23">
        <v>1</v>
      </c>
      <c r="X1996" s="24"/>
    </row>
    <row r="1997" spans="1:24" s="1" customFormat="1" ht="61.05" customHeight="1" x14ac:dyDescent="0.3">
      <c r="A1997" s="25" t="s">
        <v>2869</v>
      </c>
      <c r="B1997" s="25" t="s">
        <v>2870</v>
      </c>
      <c r="C1997" s="12" t="s">
        <v>2871</v>
      </c>
      <c r="D1997" s="82"/>
      <c r="E1997" s="67" t="str">
        <f>HYPERLINK("https://www.google.ru/search?q=DR101179508D0617&amp;newwindow=1&amp;tbm=isch","Еще фото")</f>
        <v>Еще фото</v>
      </c>
      <c r="F1997" s="14"/>
      <c r="G1997" s="25" t="s">
        <v>153</v>
      </c>
      <c r="H1997" s="25" t="s">
        <v>93</v>
      </c>
      <c r="I1997" s="25" t="s">
        <v>154</v>
      </c>
      <c r="J1997" s="15" t="s">
        <v>360</v>
      </c>
      <c r="K1997" s="16" t="s">
        <v>29</v>
      </c>
      <c r="L1997" s="84"/>
      <c r="M1997" s="15"/>
      <c r="N1997" s="15" t="s">
        <v>173</v>
      </c>
      <c r="O1997" s="15"/>
      <c r="P1997" s="16" t="s">
        <v>2873</v>
      </c>
      <c r="Q1997" s="17">
        <v>28990</v>
      </c>
      <c r="R1997" s="18">
        <v>66.930000000000007</v>
      </c>
      <c r="S1997" s="19">
        <v>11025.9355</v>
      </c>
      <c r="T1997" s="20" t="s">
        <v>333</v>
      </c>
      <c r="U1997" s="21" t="s">
        <v>335</v>
      </c>
      <c r="V1997" s="23">
        <v>38</v>
      </c>
      <c r="W1997" s="23">
        <v>1</v>
      </c>
      <c r="X1997" s="24"/>
    </row>
    <row r="1998" spans="1:24" s="1" customFormat="1" ht="17" customHeight="1" x14ac:dyDescent="0.3">
      <c r="A1998" s="11" t="s">
        <v>2869</v>
      </c>
      <c r="B1998" s="11" t="s">
        <v>2875</v>
      </c>
      <c r="C1998" s="12" t="s">
        <v>2876</v>
      </c>
      <c r="D1998" s="85"/>
      <c r="E1998" s="67" t="str">
        <f t="shared" ref="E1998:E2003" si="30">HYPERLINK("https://www.google.ru/search?q=DR101179107D0267&amp;newwindow=1&amp;tbm=isch","Еще фото")</f>
        <v>Еще фото</v>
      </c>
      <c r="F1998" s="14"/>
      <c r="G1998" s="11" t="s">
        <v>153</v>
      </c>
      <c r="H1998" s="11" t="s">
        <v>93</v>
      </c>
      <c r="I1998" s="15" t="s">
        <v>154</v>
      </c>
      <c r="J1998" s="15" t="s">
        <v>360</v>
      </c>
      <c r="K1998" s="16" t="s">
        <v>29</v>
      </c>
      <c r="L1998" s="83" t="s">
        <v>2877</v>
      </c>
      <c r="M1998" s="15"/>
      <c r="N1998" s="15" t="s">
        <v>122</v>
      </c>
      <c r="O1998" s="15"/>
      <c r="P1998" s="16" t="s">
        <v>2878</v>
      </c>
      <c r="Q1998" s="17">
        <v>29990</v>
      </c>
      <c r="R1998" s="18">
        <v>64.400000000000006</v>
      </c>
      <c r="S1998" s="19">
        <v>12279.4355</v>
      </c>
      <c r="T1998" s="20" t="s">
        <v>333</v>
      </c>
      <c r="U1998" s="21" t="s">
        <v>354</v>
      </c>
      <c r="V1998" s="22" t="s">
        <v>2879</v>
      </c>
      <c r="W1998" s="23">
        <v>1</v>
      </c>
      <c r="X1998" s="24"/>
    </row>
    <row r="1999" spans="1:24" s="1" customFormat="1" ht="17" customHeight="1" x14ac:dyDescent="0.3">
      <c r="A1999" s="25" t="s">
        <v>2869</v>
      </c>
      <c r="B1999" s="25" t="s">
        <v>2875</v>
      </c>
      <c r="C1999" s="12" t="s">
        <v>2876</v>
      </c>
      <c r="D1999" s="86"/>
      <c r="E1999" s="67" t="str">
        <f t="shared" si="30"/>
        <v>Еще фото</v>
      </c>
      <c r="F1999" s="14"/>
      <c r="G1999" s="25" t="s">
        <v>153</v>
      </c>
      <c r="H1999" s="25" t="s">
        <v>93</v>
      </c>
      <c r="I1999" s="25" t="s">
        <v>154</v>
      </c>
      <c r="J1999" s="15" t="s">
        <v>360</v>
      </c>
      <c r="K1999" s="16" t="s">
        <v>29</v>
      </c>
      <c r="L1999" s="88"/>
      <c r="M1999" s="15"/>
      <c r="N1999" s="15" t="s">
        <v>122</v>
      </c>
      <c r="O1999" s="15"/>
      <c r="P1999" s="16" t="s">
        <v>2878</v>
      </c>
      <c r="Q1999" s="17">
        <v>29990</v>
      </c>
      <c r="R1999" s="18">
        <v>64.400000000000006</v>
      </c>
      <c r="S1999" s="19">
        <v>12279.4355</v>
      </c>
      <c r="T1999" s="20" t="s">
        <v>333</v>
      </c>
      <c r="U1999" s="21" t="s">
        <v>356</v>
      </c>
      <c r="V1999" s="22" t="s">
        <v>2880</v>
      </c>
      <c r="W1999" s="23">
        <v>1</v>
      </c>
      <c r="X1999" s="24"/>
    </row>
    <row r="2000" spans="1:24" s="1" customFormat="1" ht="17" customHeight="1" x14ac:dyDescent="0.3">
      <c r="A2000" s="25" t="s">
        <v>2869</v>
      </c>
      <c r="B2000" s="25" t="s">
        <v>2875</v>
      </c>
      <c r="C2000" s="12" t="s">
        <v>2876</v>
      </c>
      <c r="D2000" s="86"/>
      <c r="E2000" s="67" t="str">
        <f t="shared" si="30"/>
        <v>Еще фото</v>
      </c>
      <c r="F2000" s="14"/>
      <c r="G2000" s="25" t="s">
        <v>153</v>
      </c>
      <c r="H2000" s="25" t="s">
        <v>93</v>
      </c>
      <c r="I2000" s="25" t="s">
        <v>154</v>
      </c>
      <c r="J2000" s="15" t="s">
        <v>360</v>
      </c>
      <c r="K2000" s="16" t="s">
        <v>29</v>
      </c>
      <c r="L2000" s="88"/>
      <c r="M2000" s="15"/>
      <c r="N2000" s="15" t="s">
        <v>122</v>
      </c>
      <c r="O2000" s="15"/>
      <c r="P2000" s="16" t="s">
        <v>2878</v>
      </c>
      <c r="Q2000" s="17">
        <v>29990</v>
      </c>
      <c r="R2000" s="18">
        <v>64.400000000000006</v>
      </c>
      <c r="S2000" s="19">
        <v>12279.4355</v>
      </c>
      <c r="T2000" s="20" t="s">
        <v>333</v>
      </c>
      <c r="U2000" s="21" t="s">
        <v>2881</v>
      </c>
      <c r="V2000" s="23">
        <v>40</v>
      </c>
      <c r="W2000" s="23">
        <v>2</v>
      </c>
      <c r="X2000" s="24"/>
    </row>
    <row r="2001" spans="1:24" s="1" customFormat="1" ht="17" customHeight="1" x14ac:dyDescent="0.3">
      <c r="A2001" s="25" t="s">
        <v>2869</v>
      </c>
      <c r="B2001" s="25" t="s">
        <v>2875</v>
      </c>
      <c r="C2001" s="12" t="s">
        <v>2876</v>
      </c>
      <c r="D2001" s="86"/>
      <c r="E2001" s="67" t="str">
        <f t="shared" si="30"/>
        <v>Еще фото</v>
      </c>
      <c r="F2001" s="14"/>
      <c r="G2001" s="25" t="s">
        <v>153</v>
      </c>
      <c r="H2001" s="25" t="s">
        <v>93</v>
      </c>
      <c r="I2001" s="25" t="s">
        <v>154</v>
      </c>
      <c r="J2001" s="15" t="s">
        <v>360</v>
      </c>
      <c r="K2001" s="16" t="s">
        <v>29</v>
      </c>
      <c r="L2001" s="88"/>
      <c r="M2001" s="15"/>
      <c r="N2001" s="15" t="s">
        <v>122</v>
      </c>
      <c r="O2001" s="15"/>
      <c r="P2001" s="16" t="s">
        <v>2878</v>
      </c>
      <c r="Q2001" s="17">
        <v>29990</v>
      </c>
      <c r="R2001" s="18">
        <v>64.400000000000006</v>
      </c>
      <c r="S2001" s="19">
        <v>12279.4355</v>
      </c>
      <c r="T2001" s="20" t="s">
        <v>333</v>
      </c>
      <c r="U2001" s="21" t="s">
        <v>343</v>
      </c>
      <c r="V2001" s="23">
        <v>41</v>
      </c>
      <c r="W2001" s="23">
        <v>5</v>
      </c>
      <c r="X2001" s="24"/>
    </row>
    <row r="2002" spans="1:24" s="1" customFormat="1" ht="17" customHeight="1" x14ac:dyDescent="0.3">
      <c r="A2002" s="25" t="s">
        <v>2869</v>
      </c>
      <c r="B2002" s="25" t="s">
        <v>2875</v>
      </c>
      <c r="C2002" s="12" t="s">
        <v>2876</v>
      </c>
      <c r="D2002" s="86"/>
      <c r="E2002" s="67" t="str">
        <f t="shared" si="30"/>
        <v>Еще фото</v>
      </c>
      <c r="F2002" s="14"/>
      <c r="G2002" s="25" t="s">
        <v>153</v>
      </c>
      <c r="H2002" s="25" t="s">
        <v>93</v>
      </c>
      <c r="I2002" s="25" t="s">
        <v>154</v>
      </c>
      <c r="J2002" s="15" t="s">
        <v>360</v>
      </c>
      <c r="K2002" s="16" t="s">
        <v>29</v>
      </c>
      <c r="L2002" s="88"/>
      <c r="M2002" s="15"/>
      <c r="N2002" s="15" t="s">
        <v>122</v>
      </c>
      <c r="O2002" s="15"/>
      <c r="P2002" s="16" t="s">
        <v>2878</v>
      </c>
      <c r="Q2002" s="17">
        <v>29990</v>
      </c>
      <c r="R2002" s="18">
        <v>64.400000000000006</v>
      </c>
      <c r="S2002" s="19">
        <v>12279.4355</v>
      </c>
      <c r="T2002" s="20" t="s">
        <v>333</v>
      </c>
      <c r="U2002" s="21" t="s">
        <v>2882</v>
      </c>
      <c r="V2002" s="29">
        <v>41.5</v>
      </c>
      <c r="W2002" s="23">
        <v>4</v>
      </c>
      <c r="X2002" s="24"/>
    </row>
    <row r="2003" spans="1:24" s="1" customFormat="1" ht="22.05" customHeight="1" x14ac:dyDescent="0.3">
      <c r="A2003" s="25" t="s">
        <v>2869</v>
      </c>
      <c r="B2003" s="25" t="s">
        <v>2875</v>
      </c>
      <c r="C2003" s="12" t="s">
        <v>2876</v>
      </c>
      <c r="D2003" s="87"/>
      <c r="E2003" s="67" t="str">
        <f t="shared" si="30"/>
        <v>Еще фото</v>
      </c>
      <c r="F2003" s="14"/>
      <c r="G2003" s="25" t="s">
        <v>153</v>
      </c>
      <c r="H2003" s="25" t="s">
        <v>93</v>
      </c>
      <c r="I2003" s="25" t="s">
        <v>154</v>
      </c>
      <c r="J2003" s="15" t="s">
        <v>360</v>
      </c>
      <c r="K2003" s="16" t="s">
        <v>29</v>
      </c>
      <c r="L2003" s="84"/>
      <c r="M2003" s="15"/>
      <c r="N2003" s="15" t="s">
        <v>122</v>
      </c>
      <c r="O2003" s="15"/>
      <c r="P2003" s="16" t="s">
        <v>2878</v>
      </c>
      <c r="Q2003" s="17">
        <v>29990</v>
      </c>
      <c r="R2003" s="18">
        <v>64.400000000000006</v>
      </c>
      <c r="S2003" s="19">
        <v>12279.4355</v>
      </c>
      <c r="T2003" s="20" t="s">
        <v>333</v>
      </c>
      <c r="U2003" s="21" t="s">
        <v>345</v>
      </c>
      <c r="V2003" s="23">
        <v>42</v>
      </c>
      <c r="W2003" s="23">
        <v>5</v>
      </c>
      <c r="X2003" s="24"/>
    </row>
    <row r="2004" spans="1:24" s="1" customFormat="1" ht="52.05" customHeight="1" x14ac:dyDescent="0.3">
      <c r="A2004" s="11" t="s">
        <v>2869</v>
      </c>
      <c r="B2004" s="11" t="s">
        <v>2883</v>
      </c>
      <c r="C2004" s="12" t="s">
        <v>2884</v>
      </c>
      <c r="D2004" s="81"/>
      <c r="E2004" s="67" t="str">
        <f>HYPERLINK("https://www.google.ru/search?q=DR101179502C1512&amp;newwindow=1&amp;tbm=isch","Еще фото")</f>
        <v>Еще фото</v>
      </c>
      <c r="F2004" s="14"/>
      <c r="G2004" s="11" t="s">
        <v>153</v>
      </c>
      <c r="H2004" s="11" t="s">
        <v>93</v>
      </c>
      <c r="I2004" s="15" t="s">
        <v>154</v>
      </c>
      <c r="J2004" s="15" t="s">
        <v>360</v>
      </c>
      <c r="K2004" s="16" t="s">
        <v>45</v>
      </c>
      <c r="L2004" s="83" t="s">
        <v>2885</v>
      </c>
      <c r="M2004" s="15"/>
      <c r="N2004" s="15" t="s">
        <v>31</v>
      </c>
      <c r="O2004" s="15"/>
      <c r="P2004" s="16" t="s">
        <v>2886</v>
      </c>
      <c r="Q2004" s="17">
        <v>29990</v>
      </c>
      <c r="R2004" s="18">
        <v>64.400000000000006</v>
      </c>
      <c r="S2004" s="19">
        <v>12279.4355</v>
      </c>
      <c r="T2004" s="20" t="s">
        <v>333</v>
      </c>
      <c r="U2004" s="21" t="s">
        <v>823</v>
      </c>
      <c r="V2004" s="22" t="s">
        <v>2887</v>
      </c>
      <c r="W2004" s="23">
        <v>1</v>
      </c>
      <c r="X2004" s="24"/>
    </row>
    <row r="2005" spans="1:24" s="1" customFormat="1" ht="61.05" customHeight="1" x14ac:dyDescent="0.3">
      <c r="A2005" s="25" t="s">
        <v>2869</v>
      </c>
      <c r="B2005" s="25" t="s">
        <v>2883</v>
      </c>
      <c r="C2005" s="12" t="s">
        <v>2884</v>
      </c>
      <c r="D2005" s="82"/>
      <c r="E2005" s="67" t="str">
        <f>HYPERLINK("https://www.google.ru/search?q=DR101179502C1512&amp;newwindow=1&amp;tbm=isch","Еще фото")</f>
        <v>Еще фото</v>
      </c>
      <c r="F2005" s="14"/>
      <c r="G2005" s="25" t="s">
        <v>153</v>
      </c>
      <c r="H2005" s="25" t="s">
        <v>93</v>
      </c>
      <c r="I2005" s="25" t="s">
        <v>154</v>
      </c>
      <c r="J2005" s="15" t="s">
        <v>360</v>
      </c>
      <c r="K2005" s="16" t="s">
        <v>45</v>
      </c>
      <c r="L2005" s="84"/>
      <c r="M2005" s="15"/>
      <c r="N2005" s="15" t="s">
        <v>31</v>
      </c>
      <c r="O2005" s="15"/>
      <c r="P2005" s="16" t="s">
        <v>2886</v>
      </c>
      <c r="Q2005" s="17">
        <v>29990</v>
      </c>
      <c r="R2005" s="18">
        <v>64.400000000000006</v>
      </c>
      <c r="S2005" s="19">
        <v>12279.4355</v>
      </c>
      <c r="T2005" s="20" t="s">
        <v>333</v>
      </c>
      <c r="U2005" s="21" t="s">
        <v>824</v>
      </c>
      <c r="V2005" s="29">
        <v>45.5</v>
      </c>
      <c r="W2005" s="23">
        <v>1</v>
      </c>
      <c r="X2005" s="24"/>
    </row>
    <row r="2006" spans="1:24" s="1" customFormat="1" ht="21" customHeight="1" x14ac:dyDescent="0.3">
      <c r="A2006" s="11" t="s">
        <v>2869</v>
      </c>
      <c r="B2006" s="11" t="s">
        <v>2888</v>
      </c>
      <c r="C2006" s="27" t="s">
        <v>2889</v>
      </c>
      <c r="D2006" s="85"/>
      <c r="E2006" s="67" t="str">
        <f>HYPERLINK("https://www.google.ru/search?q=DR101179076C0200&amp;newwindow=1&amp;tbm=isch","Еще фото")</f>
        <v>Еще фото</v>
      </c>
      <c r="F2006" s="14"/>
      <c r="G2006" s="11" t="s">
        <v>153</v>
      </c>
      <c r="H2006" s="11" t="s">
        <v>93</v>
      </c>
      <c r="I2006" s="15" t="s">
        <v>154</v>
      </c>
      <c r="J2006" s="15" t="s">
        <v>162</v>
      </c>
      <c r="K2006" s="16" t="s">
        <v>45</v>
      </c>
      <c r="L2006" s="83" t="s">
        <v>2890</v>
      </c>
      <c r="M2006" s="15"/>
      <c r="N2006" s="15" t="s">
        <v>38</v>
      </c>
      <c r="O2006" s="15"/>
      <c r="P2006" s="16" t="s">
        <v>2891</v>
      </c>
      <c r="Q2006" s="17">
        <v>7499</v>
      </c>
      <c r="R2006" s="18">
        <v>55.76</v>
      </c>
      <c r="S2006" s="19">
        <v>3815.4354999999996</v>
      </c>
      <c r="T2006" s="20" t="s">
        <v>333</v>
      </c>
      <c r="U2006" s="21" t="s">
        <v>2882</v>
      </c>
      <c r="V2006" s="22" t="s">
        <v>2892</v>
      </c>
      <c r="W2006" s="23">
        <v>1</v>
      </c>
      <c r="X2006" s="24"/>
    </row>
    <row r="2007" spans="1:24" s="1" customFormat="1" ht="21" customHeight="1" x14ac:dyDescent="0.3">
      <c r="A2007" s="25" t="s">
        <v>2869</v>
      </c>
      <c r="B2007" s="25" t="s">
        <v>2888</v>
      </c>
      <c r="C2007" s="28" t="s">
        <v>2889</v>
      </c>
      <c r="D2007" s="86"/>
      <c r="E2007" s="67" t="str">
        <f>HYPERLINK("https://www.google.ru/search?q=DR101179076C0200&amp;newwindow=1&amp;tbm=isch","Еще фото")</f>
        <v>Еще фото</v>
      </c>
      <c r="F2007" s="14"/>
      <c r="G2007" s="25" t="s">
        <v>153</v>
      </c>
      <c r="H2007" s="25" t="s">
        <v>93</v>
      </c>
      <c r="I2007" s="25" t="s">
        <v>154</v>
      </c>
      <c r="J2007" s="15" t="s">
        <v>162</v>
      </c>
      <c r="K2007" s="16" t="s">
        <v>45</v>
      </c>
      <c r="L2007" s="88"/>
      <c r="M2007" s="15"/>
      <c r="N2007" s="15" t="s">
        <v>38</v>
      </c>
      <c r="O2007" s="15"/>
      <c r="P2007" s="16" t="s">
        <v>2891</v>
      </c>
      <c r="Q2007" s="17">
        <v>7499</v>
      </c>
      <c r="R2007" s="18">
        <v>55.76</v>
      </c>
      <c r="S2007" s="19">
        <v>3815.4354999999996</v>
      </c>
      <c r="T2007" s="20" t="s">
        <v>333</v>
      </c>
      <c r="U2007" s="21" t="s">
        <v>345</v>
      </c>
      <c r="V2007" s="23">
        <v>42</v>
      </c>
      <c r="W2007" s="23">
        <v>1</v>
      </c>
      <c r="X2007" s="24"/>
    </row>
    <row r="2008" spans="1:24" s="1" customFormat="1" ht="21" customHeight="1" x14ac:dyDescent="0.3">
      <c r="A2008" s="25" t="s">
        <v>2869</v>
      </c>
      <c r="B2008" s="25" t="s">
        <v>2888</v>
      </c>
      <c r="C2008" s="28" t="s">
        <v>2889</v>
      </c>
      <c r="D2008" s="86"/>
      <c r="E2008" s="67" t="str">
        <f>HYPERLINK("https://www.google.ru/search?q=DR101179076C0200&amp;newwindow=1&amp;tbm=isch","Еще фото")</f>
        <v>Еще фото</v>
      </c>
      <c r="F2008" s="14"/>
      <c r="G2008" s="25" t="s">
        <v>153</v>
      </c>
      <c r="H2008" s="25" t="s">
        <v>93</v>
      </c>
      <c r="I2008" s="25" t="s">
        <v>154</v>
      </c>
      <c r="J2008" s="15" t="s">
        <v>162</v>
      </c>
      <c r="K2008" s="16" t="s">
        <v>45</v>
      </c>
      <c r="L2008" s="88"/>
      <c r="M2008" s="15"/>
      <c r="N2008" s="15" t="s">
        <v>38</v>
      </c>
      <c r="O2008" s="15"/>
      <c r="P2008" s="16" t="s">
        <v>2891</v>
      </c>
      <c r="Q2008" s="17">
        <v>7499</v>
      </c>
      <c r="R2008" s="18">
        <v>55.76</v>
      </c>
      <c r="S2008" s="19">
        <v>3815.4354999999996</v>
      </c>
      <c r="T2008" s="20" t="s">
        <v>333</v>
      </c>
      <c r="U2008" s="21" t="s">
        <v>2893</v>
      </c>
      <c r="V2008" s="23">
        <v>43</v>
      </c>
      <c r="W2008" s="23">
        <v>1</v>
      </c>
      <c r="X2008" s="24"/>
    </row>
    <row r="2009" spans="1:24" s="1" customFormat="1" ht="21" customHeight="1" x14ac:dyDescent="0.3">
      <c r="A2009" s="25" t="s">
        <v>2869</v>
      </c>
      <c r="B2009" s="25" t="s">
        <v>2888</v>
      </c>
      <c r="C2009" s="28" t="s">
        <v>2889</v>
      </c>
      <c r="D2009" s="86"/>
      <c r="E2009" s="67" t="str">
        <f>HYPERLINK("https://www.google.ru/search?q=DR101179076C0200&amp;newwindow=1&amp;tbm=isch","Еще фото")</f>
        <v>Еще фото</v>
      </c>
      <c r="F2009" s="14"/>
      <c r="G2009" s="25" t="s">
        <v>153</v>
      </c>
      <c r="H2009" s="25" t="s">
        <v>93</v>
      </c>
      <c r="I2009" s="25" t="s">
        <v>154</v>
      </c>
      <c r="J2009" s="15" t="s">
        <v>162</v>
      </c>
      <c r="K2009" s="16" t="s">
        <v>45</v>
      </c>
      <c r="L2009" s="88"/>
      <c r="M2009" s="15"/>
      <c r="N2009" s="15" t="s">
        <v>38</v>
      </c>
      <c r="O2009" s="15"/>
      <c r="P2009" s="16" t="s">
        <v>2891</v>
      </c>
      <c r="Q2009" s="17">
        <v>7499</v>
      </c>
      <c r="R2009" s="18">
        <v>55.76</v>
      </c>
      <c r="S2009" s="19">
        <v>3815.4354999999996</v>
      </c>
      <c r="T2009" s="20" t="s">
        <v>333</v>
      </c>
      <c r="U2009" s="21" t="s">
        <v>366</v>
      </c>
      <c r="V2009" s="22" t="s">
        <v>2894</v>
      </c>
      <c r="W2009" s="23">
        <v>1</v>
      </c>
      <c r="X2009" s="24"/>
    </row>
    <row r="2010" spans="1:24" s="1" customFormat="1" ht="32" customHeight="1" x14ac:dyDescent="0.3">
      <c r="A2010" s="25" t="s">
        <v>2869</v>
      </c>
      <c r="B2010" s="25" t="s">
        <v>2888</v>
      </c>
      <c r="C2010" s="28" t="s">
        <v>2889</v>
      </c>
      <c r="D2010" s="87"/>
      <c r="E2010" s="67" t="str">
        <f>HYPERLINK("https://www.google.ru/search?q=DR101179076C0200&amp;newwindow=1&amp;tbm=isch","Еще фото")</f>
        <v>Еще фото</v>
      </c>
      <c r="F2010" s="14"/>
      <c r="G2010" s="25" t="s">
        <v>153</v>
      </c>
      <c r="H2010" s="25" t="s">
        <v>93</v>
      </c>
      <c r="I2010" s="25" t="s">
        <v>154</v>
      </c>
      <c r="J2010" s="15" t="s">
        <v>162</v>
      </c>
      <c r="K2010" s="16" t="s">
        <v>45</v>
      </c>
      <c r="L2010" s="84"/>
      <c r="M2010" s="15"/>
      <c r="N2010" s="15" t="s">
        <v>38</v>
      </c>
      <c r="O2010" s="15"/>
      <c r="P2010" s="16" t="s">
        <v>2891</v>
      </c>
      <c r="Q2010" s="17">
        <v>7499</v>
      </c>
      <c r="R2010" s="18">
        <v>55.76</v>
      </c>
      <c r="S2010" s="19">
        <v>3815.4354999999996</v>
      </c>
      <c r="T2010" s="20" t="s">
        <v>333</v>
      </c>
      <c r="U2010" s="21" t="s">
        <v>2895</v>
      </c>
      <c r="V2010" s="23">
        <v>44</v>
      </c>
      <c r="W2010" s="23">
        <v>1</v>
      </c>
      <c r="X2010" s="24"/>
    </row>
    <row r="2011" spans="1:24" s="1" customFormat="1" ht="108" customHeight="1" x14ac:dyDescent="0.3">
      <c r="A2011" s="11" t="s">
        <v>2869</v>
      </c>
      <c r="B2011" s="11" t="s">
        <v>2896</v>
      </c>
      <c r="C2011" s="12" t="s">
        <v>2897</v>
      </c>
      <c r="D2011" s="13"/>
      <c r="E2011" s="67" t="str">
        <f>HYPERLINK("https://www.google.ru/search?q=DR101179101C0516&amp;newwindow=1&amp;tbm=isch","Еще фото")</f>
        <v>Еще фото</v>
      </c>
      <c r="F2011" s="14"/>
      <c r="G2011" s="11" t="s">
        <v>153</v>
      </c>
      <c r="H2011" s="11" t="s">
        <v>93</v>
      </c>
      <c r="I2011" s="15" t="s">
        <v>154</v>
      </c>
      <c r="J2011" s="15" t="s">
        <v>360</v>
      </c>
      <c r="K2011" s="16" t="s">
        <v>29</v>
      </c>
      <c r="L2011" s="15" t="s">
        <v>2898</v>
      </c>
      <c r="M2011" s="15"/>
      <c r="N2011" s="15" t="s">
        <v>173</v>
      </c>
      <c r="O2011" s="15"/>
      <c r="P2011" s="16" t="s">
        <v>2899</v>
      </c>
      <c r="Q2011" s="17">
        <v>11990</v>
      </c>
      <c r="R2011" s="18">
        <v>45.79</v>
      </c>
      <c r="S2011" s="19">
        <v>7474.9884999999995</v>
      </c>
      <c r="T2011" s="20" t="s">
        <v>333</v>
      </c>
      <c r="U2011" s="21" t="s">
        <v>335</v>
      </c>
      <c r="V2011" s="23">
        <v>38</v>
      </c>
      <c r="W2011" s="23">
        <v>1</v>
      </c>
      <c r="X2011" s="24"/>
    </row>
    <row r="2012" spans="1:24" s="1" customFormat="1" ht="108" customHeight="1" x14ac:dyDescent="0.3">
      <c r="A2012" s="11" t="s">
        <v>2869</v>
      </c>
      <c r="B2012" s="11" t="s">
        <v>2900</v>
      </c>
      <c r="C2012" s="12" t="s">
        <v>2901</v>
      </c>
      <c r="D2012" s="13"/>
      <c r="E2012" s="67" t="str">
        <f>HYPERLINK("https://www.google.ru/search?q=DR101179099D0273&amp;newwindow=1&amp;tbm=isch","Еще фото")</f>
        <v>Еще фото</v>
      </c>
      <c r="F2012" s="14"/>
      <c r="G2012" s="11" t="s">
        <v>153</v>
      </c>
      <c r="H2012" s="11" t="s">
        <v>93</v>
      </c>
      <c r="I2012" s="15" t="s">
        <v>154</v>
      </c>
      <c r="J2012" s="15" t="s">
        <v>360</v>
      </c>
      <c r="K2012" s="16" t="s">
        <v>45</v>
      </c>
      <c r="L2012" s="15" t="s">
        <v>2902</v>
      </c>
      <c r="M2012" s="15"/>
      <c r="N2012" s="15" t="s">
        <v>225</v>
      </c>
      <c r="O2012" s="15"/>
      <c r="P2012" s="16" t="s">
        <v>2878</v>
      </c>
      <c r="Q2012" s="17">
        <v>29990</v>
      </c>
      <c r="R2012" s="18">
        <v>45.32</v>
      </c>
      <c r="S2012" s="19">
        <v>18859.988499999999</v>
      </c>
      <c r="T2012" s="20" t="s">
        <v>333</v>
      </c>
      <c r="U2012" s="21" t="s">
        <v>2895</v>
      </c>
      <c r="V2012" s="23">
        <v>44</v>
      </c>
      <c r="W2012" s="23">
        <v>1</v>
      </c>
      <c r="X2012" s="24"/>
    </row>
    <row r="2013" spans="1:24" s="1" customFormat="1" ht="52.05" customHeight="1" x14ac:dyDescent="0.3">
      <c r="A2013" s="11" t="s">
        <v>2869</v>
      </c>
      <c r="B2013" s="11" t="s">
        <v>2903</v>
      </c>
      <c r="C2013" s="12" t="s">
        <v>2904</v>
      </c>
      <c r="D2013" s="81"/>
      <c r="E2013" s="67" t="str">
        <f>HYPERLINK("https://www.google.ru/search?q=DR101179103D0267&amp;newwindow=1&amp;tbm=isch","Еще фото")</f>
        <v>Еще фото</v>
      </c>
      <c r="F2013" s="14"/>
      <c r="G2013" s="11" t="s">
        <v>153</v>
      </c>
      <c r="H2013" s="11" t="s">
        <v>93</v>
      </c>
      <c r="I2013" s="15" t="s">
        <v>154</v>
      </c>
      <c r="J2013" s="15" t="s">
        <v>360</v>
      </c>
      <c r="K2013" s="16" t="s">
        <v>29</v>
      </c>
      <c r="L2013" s="83" t="s">
        <v>2902</v>
      </c>
      <c r="M2013" s="15"/>
      <c r="N2013" s="15" t="s">
        <v>122</v>
      </c>
      <c r="O2013" s="15"/>
      <c r="P2013" s="16" t="s">
        <v>2878</v>
      </c>
      <c r="Q2013" s="17">
        <v>29990</v>
      </c>
      <c r="R2013" s="18">
        <v>45.32</v>
      </c>
      <c r="S2013" s="19">
        <v>18859.988499999999</v>
      </c>
      <c r="T2013" s="20" t="s">
        <v>333</v>
      </c>
      <c r="U2013" s="21" t="s">
        <v>343</v>
      </c>
      <c r="V2013" s="23">
        <v>41</v>
      </c>
      <c r="W2013" s="23">
        <v>2</v>
      </c>
      <c r="X2013" s="24"/>
    </row>
    <row r="2014" spans="1:24" s="1" customFormat="1" ht="61.05" customHeight="1" x14ac:dyDescent="0.3">
      <c r="A2014" s="25" t="s">
        <v>2869</v>
      </c>
      <c r="B2014" s="25" t="s">
        <v>2903</v>
      </c>
      <c r="C2014" s="12" t="s">
        <v>2904</v>
      </c>
      <c r="D2014" s="82"/>
      <c r="E2014" s="67" t="str">
        <f>HYPERLINK("https://www.google.ru/search?q=DR101179103D0267&amp;newwindow=1&amp;tbm=isch","Еще фото")</f>
        <v>Еще фото</v>
      </c>
      <c r="F2014" s="14"/>
      <c r="G2014" s="25" t="s">
        <v>153</v>
      </c>
      <c r="H2014" s="25" t="s">
        <v>93</v>
      </c>
      <c r="I2014" s="25" t="s">
        <v>154</v>
      </c>
      <c r="J2014" s="15" t="s">
        <v>360</v>
      </c>
      <c r="K2014" s="16" t="s">
        <v>29</v>
      </c>
      <c r="L2014" s="84"/>
      <c r="M2014" s="15"/>
      <c r="N2014" s="15" t="s">
        <v>122</v>
      </c>
      <c r="O2014" s="15"/>
      <c r="P2014" s="16" t="s">
        <v>2878</v>
      </c>
      <c r="Q2014" s="17">
        <v>29990</v>
      </c>
      <c r="R2014" s="18">
        <v>45.32</v>
      </c>
      <c r="S2014" s="19">
        <v>18859.988499999999</v>
      </c>
      <c r="T2014" s="20" t="s">
        <v>333</v>
      </c>
      <c r="U2014" s="21" t="s">
        <v>2882</v>
      </c>
      <c r="V2014" s="29">
        <v>41.5</v>
      </c>
      <c r="W2014" s="23">
        <v>2</v>
      </c>
      <c r="X2014" s="24"/>
    </row>
    <row r="2015" spans="1:24" s="1" customFormat="1" ht="108" customHeight="1" x14ac:dyDescent="0.3">
      <c r="A2015" s="11" t="s">
        <v>2869</v>
      </c>
      <c r="B2015" s="11" t="s">
        <v>2905</v>
      </c>
      <c r="C2015" s="12" t="s">
        <v>2906</v>
      </c>
      <c r="D2015" s="13"/>
      <c r="E2015" s="67" t="str">
        <f>HYPERLINK("https://www.google.ru/search?q=DR101179106D0619&amp;newwindow=1&amp;tbm=isch","Еще фото")</f>
        <v>Еще фото</v>
      </c>
      <c r="F2015" s="14"/>
      <c r="G2015" s="11" t="s">
        <v>153</v>
      </c>
      <c r="H2015" s="11" t="s">
        <v>93</v>
      </c>
      <c r="I2015" s="15" t="s">
        <v>154</v>
      </c>
      <c r="J2015" s="15" t="s">
        <v>360</v>
      </c>
      <c r="K2015" s="16" t="s">
        <v>45</v>
      </c>
      <c r="L2015" s="15" t="s">
        <v>2907</v>
      </c>
      <c r="M2015" s="15"/>
      <c r="N2015" s="15" t="s">
        <v>173</v>
      </c>
      <c r="O2015" s="15"/>
      <c r="P2015" s="16" t="s">
        <v>2878</v>
      </c>
      <c r="Q2015" s="17">
        <v>29990</v>
      </c>
      <c r="R2015" s="18">
        <v>45.32</v>
      </c>
      <c r="S2015" s="19">
        <v>18859.988499999999</v>
      </c>
      <c r="T2015" s="20" t="s">
        <v>333</v>
      </c>
      <c r="U2015" s="21" t="s">
        <v>2893</v>
      </c>
      <c r="V2015" s="23">
        <v>43</v>
      </c>
      <c r="W2015" s="23">
        <v>1</v>
      </c>
      <c r="X2015" s="24"/>
    </row>
    <row r="2016" spans="1:24" s="1" customFormat="1" ht="52.05" customHeight="1" x14ac:dyDescent="0.3">
      <c r="A2016" s="11" t="s">
        <v>2869</v>
      </c>
      <c r="B2016" s="11" t="s">
        <v>2908</v>
      </c>
      <c r="C2016" s="12" t="s">
        <v>2909</v>
      </c>
      <c r="D2016" s="81"/>
      <c r="E2016" s="67" t="str">
        <f>HYPERLINK("https://www.google.ru/search?q=DR101179504D0620&amp;newwindow=1&amp;tbm=isch","Еще фото")</f>
        <v>Еще фото</v>
      </c>
      <c r="F2016" s="14"/>
      <c r="G2016" s="11" t="s">
        <v>153</v>
      </c>
      <c r="H2016" s="11" t="s">
        <v>93</v>
      </c>
      <c r="I2016" s="15" t="s">
        <v>154</v>
      </c>
      <c r="J2016" s="15" t="s">
        <v>360</v>
      </c>
      <c r="K2016" s="16" t="s">
        <v>45</v>
      </c>
      <c r="L2016" s="83" t="s">
        <v>2910</v>
      </c>
      <c r="M2016" s="15"/>
      <c r="N2016" s="15" t="s">
        <v>436</v>
      </c>
      <c r="O2016" s="15"/>
      <c r="P2016" s="16" t="s">
        <v>2911</v>
      </c>
      <c r="Q2016" s="17">
        <v>29990</v>
      </c>
      <c r="R2016" s="18">
        <v>45.32</v>
      </c>
      <c r="S2016" s="19">
        <v>18859.988499999999</v>
      </c>
      <c r="T2016" s="20" t="s">
        <v>333</v>
      </c>
      <c r="U2016" s="21" t="s">
        <v>2881</v>
      </c>
      <c r="V2016" s="23">
        <v>40</v>
      </c>
      <c r="W2016" s="23">
        <v>1</v>
      </c>
      <c r="X2016" s="24"/>
    </row>
    <row r="2017" spans="1:24" s="1" customFormat="1" ht="61.05" customHeight="1" x14ac:dyDescent="0.3">
      <c r="A2017" s="25" t="s">
        <v>2869</v>
      </c>
      <c r="B2017" s="25" t="s">
        <v>2908</v>
      </c>
      <c r="C2017" s="12" t="s">
        <v>2909</v>
      </c>
      <c r="D2017" s="82"/>
      <c r="E2017" s="67" t="str">
        <f>HYPERLINK("https://www.google.ru/search?q=DR101179504D0620&amp;newwindow=1&amp;tbm=isch","Еще фото")</f>
        <v>Еще фото</v>
      </c>
      <c r="F2017" s="14"/>
      <c r="G2017" s="25" t="s">
        <v>153</v>
      </c>
      <c r="H2017" s="25" t="s">
        <v>93</v>
      </c>
      <c r="I2017" s="25" t="s">
        <v>154</v>
      </c>
      <c r="J2017" s="15" t="s">
        <v>360</v>
      </c>
      <c r="K2017" s="16" t="s">
        <v>45</v>
      </c>
      <c r="L2017" s="84"/>
      <c r="M2017" s="15"/>
      <c r="N2017" s="15" t="s">
        <v>436</v>
      </c>
      <c r="O2017" s="15"/>
      <c r="P2017" s="16" t="s">
        <v>2911</v>
      </c>
      <c r="Q2017" s="17">
        <v>29990</v>
      </c>
      <c r="R2017" s="18">
        <v>45.32</v>
      </c>
      <c r="S2017" s="19">
        <v>18859.988499999999</v>
      </c>
      <c r="T2017" s="20" t="s">
        <v>333</v>
      </c>
      <c r="U2017" s="21" t="s">
        <v>343</v>
      </c>
      <c r="V2017" s="23">
        <v>41</v>
      </c>
      <c r="W2017" s="23">
        <v>1</v>
      </c>
      <c r="X2017" s="24"/>
    </row>
    <row r="2018" spans="1:24" s="1" customFormat="1" ht="108" customHeight="1" x14ac:dyDescent="0.3">
      <c r="A2018" s="11" t="s">
        <v>2869</v>
      </c>
      <c r="B2018" s="11" t="s">
        <v>2912</v>
      </c>
      <c r="C2018" s="12" t="s">
        <v>2913</v>
      </c>
      <c r="D2018" s="13"/>
      <c r="E2018" s="67" t="str">
        <f>HYPERLINK("https://www.google.ru/search?q=DR101179100D0622&amp;newwindow=1&amp;tbm=isch","Еще фото")</f>
        <v>Еще фото</v>
      </c>
      <c r="F2018" s="14"/>
      <c r="G2018" s="11" t="s">
        <v>153</v>
      </c>
      <c r="H2018" s="11" t="s">
        <v>93</v>
      </c>
      <c r="I2018" s="15" t="s">
        <v>154</v>
      </c>
      <c r="J2018" s="15" t="s">
        <v>360</v>
      </c>
      <c r="K2018" s="16" t="s">
        <v>45</v>
      </c>
      <c r="L2018" s="15" t="s">
        <v>2914</v>
      </c>
      <c r="M2018" s="15"/>
      <c r="N2018" s="15" t="s">
        <v>173</v>
      </c>
      <c r="O2018" s="15"/>
      <c r="P2018" s="16" t="s">
        <v>2915</v>
      </c>
      <c r="Q2018" s="17">
        <v>7490</v>
      </c>
      <c r="R2018" s="18">
        <v>45.26</v>
      </c>
      <c r="S2018" s="19">
        <v>4714.9884999999995</v>
      </c>
      <c r="T2018" s="20" t="s">
        <v>333</v>
      </c>
      <c r="U2018" s="21" t="s">
        <v>2882</v>
      </c>
      <c r="V2018" s="22" t="s">
        <v>2892</v>
      </c>
      <c r="W2018" s="23">
        <v>1</v>
      </c>
      <c r="X2018" s="24"/>
    </row>
    <row r="2019" spans="1:24" s="1" customFormat="1" ht="108" customHeight="1" x14ac:dyDescent="0.3">
      <c r="A2019" s="11" t="s">
        <v>2869</v>
      </c>
      <c r="B2019" s="11" t="s">
        <v>2916</v>
      </c>
      <c r="C2019" s="12" t="s">
        <v>2917</v>
      </c>
      <c r="D2019" s="13"/>
      <c r="E2019" s="67" t="str">
        <f>HYPERLINK("https://www.google.ru/search?q=DR101179551D0490&amp;newwindow=1&amp;tbm=isch","Еще фото")</f>
        <v>Еще фото</v>
      </c>
      <c r="F2019" s="14"/>
      <c r="G2019" s="11" t="s">
        <v>153</v>
      </c>
      <c r="H2019" s="11" t="s">
        <v>93</v>
      </c>
      <c r="I2019" s="15" t="s">
        <v>154</v>
      </c>
      <c r="J2019" s="15" t="s">
        <v>162</v>
      </c>
      <c r="K2019" s="16" t="s">
        <v>45</v>
      </c>
      <c r="L2019" s="15" t="s">
        <v>2918</v>
      </c>
      <c r="M2019" s="15"/>
      <c r="N2019" s="15" t="s">
        <v>2919</v>
      </c>
      <c r="O2019" s="15"/>
      <c r="P2019" s="16" t="s">
        <v>2920</v>
      </c>
      <c r="Q2019" s="17">
        <v>22990</v>
      </c>
      <c r="R2019" s="18">
        <v>45.19</v>
      </c>
      <c r="S2019" s="19">
        <v>14489.988499999999</v>
      </c>
      <c r="T2019" s="20" t="s">
        <v>333</v>
      </c>
      <c r="U2019" s="21" t="s">
        <v>2882</v>
      </c>
      <c r="V2019" s="22" t="s">
        <v>2892</v>
      </c>
      <c r="W2019" s="23">
        <v>1</v>
      </c>
      <c r="X2019" s="24"/>
    </row>
    <row r="2020" spans="1:24" s="1" customFormat="1" ht="108" customHeight="1" x14ac:dyDescent="0.3">
      <c r="A2020" s="11" t="s">
        <v>2869</v>
      </c>
      <c r="B2020" s="11" t="s">
        <v>2921</v>
      </c>
      <c r="C2020" s="12" t="s">
        <v>2922</v>
      </c>
      <c r="D2020" s="13"/>
      <c r="E2020" s="67" t="str">
        <f>HYPERLINK("https://www.google.ru/search?q=DR101179507D0274&amp;newwindow=1&amp;tbm=isch","Еще фото")</f>
        <v>Еще фото</v>
      </c>
      <c r="F2020" s="14"/>
      <c r="G2020" s="11" t="s">
        <v>153</v>
      </c>
      <c r="H2020" s="11" t="s">
        <v>93</v>
      </c>
      <c r="I2020" s="15" t="s">
        <v>154</v>
      </c>
      <c r="J2020" s="15" t="s">
        <v>360</v>
      </c>
      <c r="K2020" s="16" t="s">
        <v>45</v>
      </c>
      <c r="L2020" s="15" t="s">
        <v>2923</v>
      </c>
      <c r="M2020" s="15"/>
      <c r="N2020" s="15" t="s">
        <v>173</v>
      </c>
      <c r="O2020" s="15"/>
      <c r="P2020" s="16" t="s">
        <v>2873</v>
      </c>
      <c r="Q2020" s="17">
        <v>28990</v>
      </c>
      <c r="R2020" s="18">
        <v>45.15</v>
      </c>
      <c r="S2020" s="19">
        <v>18284.988499999999</v>
      </c>
      <c r="T2020" s="20" t="s">
        <v>333</v>
      </c>
      <c r="U2020" s="21" t="s">
        <v>2895</v>
      </c>
      <c r="V2020" s="23">
        <v>44</v>
      </c>
      <c r="W2020" s="23">
        <v>1</v>
      </c>
      <c r="X2020" s="24"/>
    </row>
    <row r="2021" spans="1:24" s="1" customFormat="1" ht="108" customHeight="1" x14ac:dyDescent="0.3">
      <c r="A2021" s="11" t="s">
        <v>2869</v>
      </c>
      <c r="B2021" s="11" t="s">
        <v>2870</v>
      </c>
      <c r="C2021" s="12" t="s">
        <v>2924</v>
      </c>
      <c r="D2021" s="13"/>
      <c r="E2021" s="67" t="str">
        <f>HYPERLINK("https://www.google.ru/search?q=DR101179508D0257&amp;newwindow=1&amp;tbm=isch","Еще фото")</f>
        <v>Еще фото</v>
      </c>
      <c r="F2021" s="14"/>
      <c r="G2021" s="11" t="s">
        <v>153</v>
      </c>
      <c r="H2021" s="11" t="s">
        <v>93</v>
      </c>
      <c r="I2021" s="15" t="s">
        <v>154</v>
      </c>
      <c r="J2021" s="15" t="s">
        <v>360</v>
      </c>
      <c r="K2021" s="16" t="s">
        <v>29</v>
      </c>
      <c r="L2021" s="15" t="s">
        <v>2925</v>
      </c>
      <c r="M2021" s="15"/>
      <c r="N2021" s="15" t="s">
        <v>2926</v>
      </c>
      <c r="O2021" s="15"/>
      <c r="P2021" s="16" t="s">
        <v>2927</v>
      </c>
      <c r="Q2021" s="17">
        <v>28990</v>
      </c>
      <c r="R2021" s="18">
        <v>45.15</v>
      </c>
      <c r="S2021" s="19">
        <v>18284.988499999999</v>
      </c>
      <c r="T2021" s="20" t="s">
        <v>333</v>
      </c>
      <c r="U2021" s="21" t="s">
        <v>2882</v>
      </c>
      <c r="V2021" s="29">
        <v>41.5</v>
      </c>
      <c r="W2021" s="23">
        <v>1</v>
      </c>
      <c r="X2021" s="24"/>
    </row>
    <row r="2022" spans="1:24" s="1" customFormat="1" ht="26" customHeight="1" x14ac:dyDescent="0.3">
      <c r="A2022" s="11" t="s">
        <v>2784</v>
      </c>
      <c r="B2022" s="11" t="s">
        <v>2928</v>
      </c>
      <c r="C2022" s="12" t="s">
        <v>2929</v>
      </c>
      <c r="D2022" s="85"/>
      <c r="E2022" s="67" t="str">
        <f>HYPERLINK("https://www.google.ru/search?q=101188126&amp;newwindow=1&amp;tbm=isch","Еще фото")</f>
        <v>Еще фото</v>
      </c>
      <c r="F2022" s="14"/>
      <c r="G2022" s="11" t="s">
        <v>92</v>
      </c>
      <c r="H2022" s="11" t="s">
        <v>93</v>
      </c>
      <c r="I2022" s="15" t="s">
        <v>154</v>
      </c>
      <c r="J2022" s="15" t="s">
        <v>2930</v>
      </c>
      <c r="K2022" s="16" t="s">
        <v>45</v>
      </c>
      <c r="L2022" s="83"/>
      <c r="M2022" s="15"/>
      <c r="N2022" s="15" t="s">
        <v>38</v>
      </c>
      <c r="O2022" s="15"/>
      <c r="P2022" s="16" t="s">
        <v>2823</v>
      </c>
      <c r="Q2022" s="17">
        <v>9999</v>
      </c>
      <c r="R2022" s="18">
        <v>45</v>
      </c>
      <c r="S2022" s="19">
        <v>6324.3674999999994</v>
      </c>
      <c r="T2022" s="20" t="s">
        <v>99</v>
      </c>
      <c r="U2022" s="21" t="s">
        <v>100</v>
      </c>
      <c r="V2022" s="23">
        <v>39</v>
      </c>
      <c r="W2022" s="23">
        <v>3</v>
      </c>
      <c r="X2022" s="24"/>
    </row>
    <row r="2023" spans="1:24" s="1" customFormat="1" ht="26" customHeight="1" x14ac:dyDescent="0.3">
      <c r="A2023" s="25" t="s">
        <v>2784</v>
      </c>
      <c r="B2023" s="25" t="s">
        <v>2928</v>
      </c>
      <c r="C2023" s="12" t="s">
        <v>2929</v>
      </c>
      <c r="D2023" s="86"/>
      <c r="E2023" s="67" t="str">
        <f>HYPERLINK("https://www.google.ru/search?q=101188126&amp;newwindow=1&amp;tbm=isch","Еще фото")</f>
        <v>Еще фото</v>
      </c>
      <c r="F2023" s="14"/>
      <c r="G2023" s="25" t="s">
        <v>92</v>
      </c>
      <c r="H2023" s="25" t="s">
        <v>93</v>
      </c>
      <c r="I2023" s="25" t="s">
        <v>154</v>
      </c>
      <c r="J2023" s="15" t="s">
        <v>2930</v>
      </c>
      <c r="K2023" s="16" t="s">
        <v>45</v>
      </c>
      <c r="L2023" s="88"/>
      <c r="M2023" s="15"/>
      <c r="N2023" s="15" t="s">
        <v>38</v>
      </c>
      <c r="O2023" s="15"/>
      <c r="P2023" s="16" t="s">
        <v>2823</v>
      </c>
      <c r="Q2023" s="17">
        <v>9999</v>
      </c>
      <c r="R2023" s="18">
        <v>45</v>
      </c>
      <c r="S2023" s="19">
        <v>6324.3674999999994</v>
      </c>
      <c r="T2023" s="20" t="s">
        <v>99</v>
      </c>
      <c r="U2023" s="21" t="s">
        <v>235</v>
      </c>
      <c r="V2023" s="23">
        <v>40</v>
      </c>
      <c r="W2023" s="23">
        <v>2</v>
      </c>
      <c r="X2023" s="24"/>
    </row>
    <row r="2024" spans="1:24" s="1" customFormat="1" ht="26" customHeight="1" x14ac:dyDescent="0.3">
      <c r="A2024" s="25" t="s">
        <v>2784</v>
      </c>
      <c r="B2024" s="25" t="s">
        <v>2928</v>
      </c>
      <c r="C2024" s="12" t="s">
        <v>2929</v>
      </c>
      <c r="D2024" s="86"/>
      <c r="E2024" s="67" t="str">
        <f>HYPERLINK("https://www.google.ru/search?q=101188126&amp;newwindow=1&amp;tbm=isch","Еще фото")</f>
        <v>Еще фото</v>
      </c>
      <c r="F2024" s="14"/>
      <c r="G2024" s="25" t="s">
        <v>92</v>
      </c>
      <c r="H2024" s="25" t="s">
        <v>93</v>
      </c>
      <c r="I2024" s="25" t="s">
        <v>154</v>
      </c>
      <c r="J2024" s="15" t="s">
        <v>2930</v>
      </c>
      <c r="K2024" s="16" t="s">
        <v>45</v>
      </c>
      <c r="L2024" s="88"/>
      <c r="M2024" s="15"/>
      <c r="N2024" s="15" t="s">
        <v>38</v>
      </c>
      <c r="O2024" s="15"/>
      <c r="P2024" s="16" t="s">
        <v>2823</v>
      </c>
      <c r="Q2024" s="17">
        <v>9999</v>
      </c>
      <c r="R2024" s="18">
        <v>45</v>
      </c>
      <c r="S2024" s="19">
        <v>6324.3674999999994</v>
      </c>
      <c r="T2024" s="20" t="s">
        <v>99</v>
      </c>
      <c r="U2024" s="21" t="s">
        <v>164</v>
      </c>
      <c r="V2024" s="23">
        <v>41</v>
      </c>
      <c r="W2024" s="23">
        <v>1</v>
      </c>
      <c r="X2024" s="24"/>
    </row>
    <row r="2025" spans="1:24" s="1" customFormat="1" ht="26" customHeight="1" x14ac:dyDescent="0.3">
      <c r="A2025" s="25" t="s">
        <v>2784</v>
      </c>
      <c r="B2025" s="25" t="s">
        <v>2928</v>
      </c>
      <c r="C2025" s="12" t="s">
        <v>2929</v>
      </c>
      <c r="D2025" s="87"/>
      <c r="E2025" s="67" t="str">
        <f>HYPERLINK("https://www.google.ru/search?q=101188126&amp;newwindow=1&amp;tbm=isch","Еще фото")</f>
        <v>Еще фото</v>
      </c>
      <c r="F2025" s="14"/>
      <c r="G2025" s="25" t="s">
        <v>92</v>
      </c>
      <c r="H2025" s="25" t="s">
        <v>93</v>
      </c>
      <c r="I2025" s="25" t="s">
        <v>154</v>
      </c>
      <c r="J2025" s="15" t="s">
        <v>2930</v>
      </c>
      <c r="K2025" s="16" t="s">
        <v>45</v>
      </c>
      <c r="L2025" s="84"/>
      <c r="M2025" s="15"/>
      <c r="N2025" s="15" t="s">
        <v>38</v>
      </c>
      <c r="O2025" s="15"/>
      <c r="P2025" s="16" t="s">
        <v>2823</v>
      </c>
      <c r="Q2025" s="17">
        <v>9999</v>
      </c>
      <c r="R2025" s="18">
        <v>45</v>
      </c>
      <c r="S2025" s="19">
        <v>6324.3674999999994</v>
      </c>
      <c r="T2025" s="20" t="s">
        <v>99</v>
      </c>
      <c r="U2025" s="21" t="s">
        <v>165</v>
      </c>
      <c r="V2025" s="23">
        <v>42</v>
      </c>
      <c r="W2025" s="23">
        <v>2</v>
      </c>
      <c r="X2025" s="24"/>
    </row>
    <row r="2026" spans="1:24" s="1" customFormat="1" ht="108" customHeight="1" x14ac:dyDescent="0.3">
      <c r="A2026" s="11" t="s">
        <v>2784</v>
      </c>
      <c r="B2026" s="11" t="s">
        <v>2928</v>
      </c>
      <c r="C2026" s="12" t="s">
        <v>2931</v>
      </c>
      <c r="D2026" s="13"/>
      <c r="E2026" s="67" t="str">
        <f>HYPERLINK("https://www.google.ru/search?q=101188128&amp;newwindow=1&amp;tbm=isch","Еще фото")</f>
        <v>Еще фото</v>
      </c>
      <c r="F2026" s="14"/>
      <c r="G2026" s="11" t="s">
        <v>92</v>
      </c>
      <c r="H2026" s="11" t="s">
        <v>93</v>
      </c>
      <c r="I2026" s="15" t="s">
        <v>154</v>
      </c>
      <c r="J2026" s="15" t="s">
        <v>2930</v>
      </c>
      <c r="K2026" s="16" t="s">
        <v>45</v>
      </c>
      <c r="L2026" s="15"/>
      <c r="M2026" s="15"/>
      <c r="N2026" s="15" t="s">
        <v>38</v>
      </c>
      <c r="O2026" s="15"/>
      <c r="P2026" s="16" t="s">
        <v>2823</v>
      </c>
      <c r="Q2026" s="17">
        <v>9999</v>
      </c>
      <c r="R2026" s="18">
        <v>45</v>
      </c>
      <c r="S2026" s="19">
        <v>6324.3674999999994</v>
      </c>
      <c r="T2026" s="20" t="s">
        <v>99</v>
      </c>
      <c r="U2026" s="21" t="s">
        <v>164</v>
      </c>
      <c r="V2026" s="23">
        <v>41</v>
      </c>
      <c r="W2026" s="23">
        <v>4</v>
      </c>
      <c r="X2026" s="24"/>
    </row>
    <row r="2027" spans="1:24" s="1" customFormat="1" ht="35" customHeight="1" x14ac:dyDescent="0.3">
      <c r="A2027" s="11" t="s">
        <v>2784</v>
      </c>
      <c r="B2027" s="11" t="s">
        <v>2928</v>
      </c>
      <c r="C2027" s="12" t="s">
        <v>2932</v>
      </c>
      <c r="D2027" s="85"/>
      <c r="E2027" s="67" t="str">
        <f>HYPERLINK("https://www.google.ru/search?q=101188130&amp;newwindow=1&amp;tbm=isch","Еще фото")</f>
        <v>Еще фото</v>
      </c>
      <c r="F2027" s="14"/>
      <c r="G2027" s="11" t="s">
        <v>92</v>
      </c>
      <c r="H2027" s="11" t="s">
        <v>93</v>
      </c>
      <c r="I2027" s="15" t="s">
        <v>154</v>
      </c>
      <c r="J2027" s="15" t="s">
        <v>2930</v>
      </c>
      <c r="K2027" s="16" t="s">
        <v>45</v>
      </c>
      <c r="L2027" s="83"/>
      <c r="M2027" s="15"/>
      <c r="N2027" s="15" t="s">
        <v>265</v>
      </c>
      <c r="O2027" s="15"/>
      <c r="P2027" s="16" t="s">
        <v>2823</v>
      </c>
      <c r="Q2027" s="17">
        <v>9999</v>
      </c>
      <c r="R2027" s="18">
        <v>45</v>
      </c>
      <c r="S2027" s="19">
        <v>6324.3674999999994</v>
      </c>
      <c r="T2027" s="20" t="s">
        <v>99</v>
      </c>
      <c r="U2027" s="21" t="s">
        <v>235</v>
      </c>
      <c r="V2027" s="23">
        <v>40</v>
      </c>
      <c r="W2027" s="23">
        <v>6</v>
      </c>
      <c r="X2027" s="24"/>
    </row>
    <row r="2028" spans="1:24" s="1" customFormat="1" ht="35" customHeight="1" x14ac:dyDescent="0.3">
      <c r="A2028" s="25" t="s">
        <v>2784</v>
      </c>
      <c r="B2028" s="25" t="s">
        <v>2928</v>
      </c>
      <c r="C2028" s="12" t="s">
        <v>2932</v>
      </c>
      <c r="D2028" s="86"/>
      <c r="E2028" s="67" t="str">
        <f>HYPERLINK("https://www.google.ru/search?q=101188130&amp;newwindow=1&amp;tbm=isch","Еще фото")</f>
        <v>Еще фото</v>
      </c>
      <c r="F2028" s="14"/>
      <c r="G2028" s="25" t="s">
        <v>92</v>
      </c>
      <c r="H2028" s="25" t="s">
        <v>93</v>
      </c>
      <c r="I2028" s="25" t="s">
        <v>154</v>
      </c>
      <c r="J2028" s="15" t="s">
        <v>2930</v>
      </c>
      <c r="K2028" s="16" t="s">
        <v>45</v>
      </c>
      <c r="L2028" s="88"/>
      <c r="M2028" s="15"/>
      <c r="N2028" s="15" t="s">
        <v>265</v>
      </c>
      <c r="O2028" s="15"/>
      <c r="P2028" s="16" t="s">
        <v>2823</v>
      </c>
      <c r="Q2028" s="17">
        <v>9999</v>
      </c>
      <c r="R2028" s="18">
        <v>45</v>
      </c>
      <c r="S2028" s="19">
        <v>6324.3674999999994</v>
      </c>
      <c r="T2028" s="20" t="s">
        <v>99</v>
      </c>
      <c r="U2028" s="21" t="s">
        <v>164</v>
      </c>
      <c r="V2028" s="23">
        <v>41</v>
      </c>
      <c r="W2028" s="23">
        <v>12</v>
      </c>
      <c r="X2028" s="24"/>
    </row>
    <row r="2029" spans="1:24" s="1" customFormat="1" ht="37.049999999999997" customHeight="1" x14ac:dyDescent="0.3">
      <c r="A2029" s="25" t="s">
        <v>2784</v>
      </c>
      <c r="B2029" s="25" t="s">
        <v>2928</v>
      </c>
      <c r="C2029" s="12" t="s">
        <v>2932</v>
      </c>
      <c r="D2029" s="87"/>
      <c r="E2029" s="67" t="str">
        <f>HYPERLINK("https://www.google.ru/search?q=101188130&amp;newwindow=1&amp;tbm=isch","Еще фото")</f>
        <v>Еще фото</v>
      </c>
      <c r="F2029" s="14"/>
      <c r="G2029" s="25" t="s">
        <v>92</v>
      </c>
      <c r="H2029" s="25" t="s">
        <v>93</v>
      </c>
      <c r="I2029" s="25" t="s">
        <v>154</v>
      </c>
      <c r="J2029" s="15" t="s">
        <v>2930</v>
      </c>
      <c r="K2029" s="16" t="s">
        <v>45</v>
      </c>
      <c r="L2029" s="84"/>
      <c r="M2029" s="15"/>
      <c r="N2029" s="15" t="s">
        <v>265</v>
      </c>
      <c r="O2029" s="15"/>
      <c r="P2029" s="16" t="s">
        <v>2823</v>
      </c>
      <c r="Q2029" s="17">
        <v>9999</v>
      </c>
      <c r="R2029" s="18">
        <v>45</v>
      </c>
      <c r="S2029" s="19">
        <v>6324.3674999999994</v>
      </c>
      <c r="T2029" s="20" t="s">
        <v>99</v>
      </c>
      <c r="U2029" s="21" t="s">
        <v>165</v>
      </c>
      <c r="V2029" s="23">
        <v>42</v>
      </c>
      <c r="W2029" s="23">
        <v>2</v>
      </c>
      <c r="X2029" s="24"/>
    </row>
    <row r="2030" spans="1:24" s="1" customFormat="1" ht="108" customHeight="1" x14ac:dyDescent="0.3">
      <c r="A2030" s="11" t="s">
        <v>2784</v>
      </c>
      <c r="B2030" s="11" t="s">
        <v>2933</v>
      </c>
      <c r="C2030" s="12" t="s">
        <v>2934</v>
      </c>
      <c r="D2030" s="13"/>
      <c r="E2030" s="67" t="str">
        <f>HYPERLINK("https://www.google.ru/search?q=101681901&amp;newwindow=1&amp;tbm=isch","Еще фото")</f>
        <v>Еще фото</v>
      </c>
      <c r="F2030" s="14"/>
      <c r="G2030" s="11" t="s">
        <v>92</v>
      </c>
      <c r="H2030" s="11" t="s">
        <v>93</v>
      </c>
      <c r="I2030" s="15" t="s">
        <v>154</v>
      </c>
      <c r="J2030" s="15" t="s">
        <v>2930</v>
      </c>
      <c r="K2030" s="16" t="s">
        <v>45</v>
      </c>
      <c r="L2030" s="15"/>
      <c r="M2030" s="15"/>
      <c r="N2030" s="15" t="s">
        <v>38</v>
      </c>
      <c r="O2030" s="15"/>
      <c r="P2030" s="16" t="s">
        <v>2935</v>
      </c>
      <c r="Q2030" s="17">
        <v>9999</v>
      </c>
      <c r="R2030" s="18">
        <v>45</v>
      </c>
      <c r="S2030" s="19">
        <v>6324.3674999999994</v>
      </c>
      <c r="T2030" s="20" t="s">
        <v>99</v>
      </c>
      <c r="U2030" s="21" t="s">
        <v>164</v>
      </c>
      <c r="V2030" s="23">
        <v>41</v>
      </c>
      <c r="W2030" s="23">
        <v>8</v>
      </c>
      <c r="X2030" s="24"/>
    </row>
    <row r="2031" spans="1:24" s="1" customFormat="1" ht="26" customHeight="1" x14ac:dyDescent="0.3">
      <c r="A2031" s="11" t="s">
        <v>2784</v>
      </c>
      <c r="B2031" s="11" t="s">
        <v>2936</v>
      </c>
      <c r="C2031" s="12" t="s">
        <v>2937</v>
      </c>
      <c r="D2031" s="85"/>
      <c r="E2031" s="67" t="str">
        <f>HYPERLINK("https://www.google.ru/search?q=101681964&amp;newwindow=1&amp;tbm=isch","Еще фото")</f>
        <v>Еще фото</v>
      </c>
      <c r="F2031" s="14"/>
      <c r="G2031" s="11" t="s">
        <v>92</v>
      </c>
      <c r="H2031" s="11" t="s">
        <v>93</v>
      </c>
      <c r="I2031" s="15" t="s">
        <v>154</v>
      </c>
      <c r="J2031" s="15" t="s">
        <v>2930</v>
      </c>
      <c r="K2031" s="16" t="s">
        <v>45</v>
      </c>
      <c r="L2031" s="83"/>
      <c r="M2031" s="15"/>
      <c r="N2031" s="15" t="s">
        <v>265</v>
      </c>
      <c r="O2031" s="15"/>
      <c r="P2031" s="16" t="s">
        <v>2935</v>
      </c>
      <c r="Q2031" s="17">
        <v>9999</v>
      </c>
      <c r="R2031" s="18">
        <v>45</v>
      </c>
      <c r="S2031" s="19">
        <v>6324.3674999999994</v>
      </c>
      <c r="T2031" s="20" t="s">
        <v>99</v>
      </c>
      <c r="U2031" s="21" t="s">
        <v>100</v>
      </c>
      <c r="V2031" s="23">
        <v>39</v>
      </c>
      <c r="W2031" s="23">
        <v>2</v>
      </c>
      <c r="X2031" s="24"/>
    </row>
    <row r="2032" spans="1:24" s="1" customFormat="1" ht="26" customHeight="1" x14ac:dyDescent="0.3">
      <c r="A2032" s="25" t="s">
        <v>2784</v>
      </c>
      <c r="B2032" s="25" t="s">
        <v>2936</v>
      </c>
      <c r="C2032" s="12" t="s">
        <v>2937</v>
      </c>
      <c r="D2032" s="86"/>
      <c r="E2032" s="67" t="str">
        <f>HYPERLINK("https://www.google.ru/search?q=101681964&amp;newwindow=1&amp;tbm=isch","Еще фото")</f>
        <v>Еще фото</v>
      </c>
      <c r="F2032" s="14"/>
      <c r="G2032" s="25" t="s">
        <v>92</v>
      </c>
      <c r="H2032" s="25" t="s">
        <v>93</v>
      </c>
      <c r="I2032" s="25" t="s">
        <v>154</v>
      </c>
      <c r="J2032" s="15" t="s">
        <v>2930</v>
      </c>
      <c r="K2032" s="16" t="s">
        <v>45</v>
      </c>
      <c r="L2032" s="88"/>
      <c r="M2032" s="15"/>
      <c r="N2032" s="15" t="s">
        <v>265</v>
      </c>
      <c r="O2032" s="15"/>
      <c r="P2032" s="16" t="s">
        <v>2935</v>
      </c>
      <c r="Q2032" s="17">
        <v>9999</v>
      </c>
      <c r="R2032" s="18">
        <v>45</v>
      </c>
      <c r="S2032" s="19">
        <v>6324.3674999999994</v>
      </c>
      <c r="T2032" s="20" t="s">
        <v>99</v>
      </c>
      <c r="U2032" s="21" t="s">
        <v>235</v>
      </c>
      <c r="V2032" s="23">
        <v>40</v>
      </c>
      <c r="W2032" s="23">
        <v>10</v>
      </c>
      <c r="X2032" s="24"/>
    </row>
    <row r="2033" spans="1:24" s="1" customFormat="1" ht="26" customHeight="1" x14ac:dyDescent="0.3">
      <c r="A2033" s="25" t="s">
        <v>2784</v>
      </c>
      <c r="B2033" s="25" t="s">
        <v>2936</v>
      </c>
      <c r="C2033" s="12" t="s">
        <v>2937</v>
      </c>
      <c r="D2033" s="86"/>
      <c r="E2033" s="67" t="str">
        <f>HYPERLINK("https://www.google.ru/search?q=101681964&amp;newwindow=1&amp;tbm=isch","Еще фото")</f>
        <v>Еще фото</v>
      </c>
      <c r="F2033" s="14"/>
      <c r="G2033" s="25" t="s">
        <v>92</v>
      </c>
      <c r="H2033" s="25" t="s">
        <v>93</v>
      </c>
      <c r="I2033" s="25" t="s">
        <v>154</v>
      </c>
      <c r="J2033" s="15" t="s">
        <v>2930</v>
      </c>
      <c r="K2033" s="16" t="s">
        <v>45</v>
      </c>
      <c r="L2033" s="88"/>
      <c r="M2033" s="15"/>
      <c r="N2033" s="15" t="s">
        <v>265</v>
      </c>
      <c r="O2033" s="15"/>
      <c r="P2033" s="16" t="s">
        <v>2935</v>
      </c>
      <c r="Q2033" s="17">
        <v>9999</v>
      </c>
      <c r="R2033" s="18">
        <v>45</v>
      </c>
      <c r="S2033" s="19">
        <v>6324.3674999999994</v>
      </c>
      <c r="T2033" s="20" t="s">
        <v>99</v>
      </c>
      <c r="U2033" s="21" t="s">
        <v>164</v>
      </c>
      <c r="V2033" s="23">
        <v>41</v>
      </c>
      <c r="W2033" s="23">
        <v>11</v>
      </c>
      <c r="X2033" s="24"/>
    </row>
    <row r="2034" spans="1:24" s="1" customFormat="1" ht="26" customHeight="1" x14ac:dyDescent="0.3">
      <c r="A2034" s="25" t="s">
        <v>2784</v>
      </c>
      <c r="B2034" s="25" t="s">
        <v>2936</v>
      </c>
      <c r="C2034" s="12" t="s">
        <v>2937</v>
      </c>
      <c r="D2034" s="87"/>
      <c r="E2034" s="67" t="str">
        <f>HYPERLINK("https://www.google.ru/search?q=101681964&amp;newwindow=1&amp;tbm=isch","Еще фото")</f>
        <v>Еще фото</v>
      </c>
      <c r="F2034" s="14"/>
      <c r="G2034" s="25" t="s">
        <v>92</v>
      </c>
      <c r="H2034" s="25" t="s">
        <v>93</v>
      </c>
      <c r="I2034" s="25" t="s">
        <v>154</v>
      </c>
      <c r="J2034" s="15" t="s">
        <v>2930</v>
      </c>
      <c r="K2034" s="16" t="s">
        <v>45</v>
      </c>
      <c r="L2034" s="84"/>
      <c r="M2034" s="15"/>
      <c r="N2034" s="15" t="s">
        <v>265</v>
      </c>
      <c r="O2034" s="15"/>
      <c r="P2034" s="16" t="s">
        <v>2935</v>
      </c>
      <c r="Q2034" s="17">
        <v>9999</v>
      </c>
      <c r="R2034" s="18">
        <v>45</v>
      </c>
      <c r="S2034" s="19">
        <v>6324.3674999999994</v>
      </c>
      <c r="T2034" s="20" t="s">
        <v>99</v>
      </c>
      <c r="U2034" s="21" t="s">
        <v>165</v>
      </c>
      <c r="V2034" s="23">
        <v>42</v>
      </c>
      <c r="W2034" s="23">
        <v>8</v>
      </c>
      <c r="X2034" s="24"/>
    </row>
    <row r="2035" spans="1:24" s="1" customFormat="1" ht="17" customHeight="1" x14ac:dyDescent="0.3">
      <c r="A2035" s="11" t="s">
        <v>2784</v>
      </c>
      <c r="B2035" s="11" t="s">
        <v>2938</v>
      </c>
      <c r="C2035" s="12" t="s">
        <v>2939</v>
      </c>
      <c r="D2035" s="85"/>
      <c r="E2035" s="67" t="str">
        <f t="shared" ref="E2035:E2040" si="31">HYPERLINK("https://www.google.ru/search?q=101988031&amp;newwindow=1&amp;tbm=isch","Еще фото")</f>
        <v>Еще фото</v>
      </c>
      <c r="F2035" s="14"/>
      <c r="G2035" s="11" t="s">
        <v>153</v>
      </c>
      <c r="H2035" s="11" t="s">
        <v>93</v>
      </c>
      <c r="I2035" s="15" t="s">
        <v>154</v>
      </c>
      <c r="J2035" s="15" t="s">
        <v>2930</v>
      </c>
      <c r="K2035" s="16" t="s">
        <v>45</v>
      </c>
      <c r="L2035" s="83"/>
      <c r="M2035" s="15"/>
      <c r="N2035" s="15" t="s">
        <v>38</v>
      </c>
      <c r="O2035" s="15"/>
      <c r="P2035" s="16" t="s">
        <v>2940</v>
      </c>
      <c r="Q2035" s="17">
        <v>13999</v>
      </c>
      <c r="R2035" s="18">
        <v>45</v>
      </c>
      <c r="S2035" s="19">
        <v>8854.3674999999985</v>
      </c>
      <c r="T2035" s="20" t="s">
        <v>99</v>
      </c>
      <c r="U2035" s="21" t="s">
        <v>100</v>
      </c>
      <c r="V2035" s="23">
        <v>39</v>
      </c>
      <c r="W2035" s="23">
        <v>5</v>
      </c>
      <c r="X2035" s="24"/>
    </row>
    <row r="2036" spans="1:24" s="1" customFormat="1" ht="17" customHeight="1" x14ac:dyDescent="0.3">
      <c r="A2036" s="25" t="s">
        <v>2784</v>
      </c>
      <c r="B2036" s="25" t="s">
        <v>2938</v>
      </c>
      <c r="C2036" s="12" t="s">
        <v>2939</v>
      </c>
      <c r="D2036" s="86"/>
      <c r="E2036" s="67" t="str">
        <f t="shared" si="31"/>
        <v>Еще фото</v>
      </c>
      <c r="F2036" s="14"/>
      <c r="G2036" s="25" t="s">
        <v>153</v>
      </c>
      <c r="H2036" s="25" t="s">
        <v>93</v>
      </c>
      <c r="I2036" s="25" t="s">
        <v>154</v>
      </c>
      <c r="J2036" s="15" t="s">
        <v>2930</v>
      </c>
      <c r="K2036" s="16" t="s">
        <v>45</v>
      </c>
      <c r="L2036" s="88"/>
      <c r="M2036" s="15"/>
      <c r="N2036" s="15" t="s">
        <v>38</v>
      </c>
      <c r="O2036" s="15"/>
      <c r="P2036" s="16" t="s">
        <v>2940</v>
      </c>
      <c r="Q2036" s="17">
        <v>13999</v>
      </c>
      <c r="R2036" s="18">
        <v>45</v>
      </c>
      <c r="S2036" s="19">
        <v>8854.3674999999985</v>
      </c>
      <c r="T2036" s="20" t="s">
        <v>99</v>
      </c>
      <c r="U2036" s="21" t="s">
        <v>235</v>
      </c>
      <c r="V2036" s="23">
        <v>40</v>
      </c>
      <c r="W2036" s="23">
        <v>9</v>
      </c>
      <c r="X2036" s="24"/>
    </row>
    <row r="2037" spans="1:24" s="1" customFormat="1" ht="17" customHeight="1" x14ac:dyDescent="0.3">
      <c r="A2037" s="25" t="s">
        <v>2784</v>
      </c>
      <c r="B2037" s="25" t="s">
        <v>2938</v>
      </c>
      <c r="C2037" s="12" t="s">
        <v>2939</v>
      </c>
      <c r="D2037" s="86"/>
      <c r="E2037" s="67" t="str">
        <f t="shared" si="31"/>
        <v>Еще фото</v>
      </c>
      <c r="F2037" s="14"/>
      <c r="G2037" s="25" t="s">
        <v>153</v>
      </c>
      <c r="H2037" s="25" t="s">
        <v>93</v>
      </c>
      <c r="I2037" s="25" t="s">
        <v>154</v>
      </c>
      <c r="J2037" s="15" t="s">
        <v>2930</v>
      </c>
      <c r="K2037" s="16" t="s">
        <v>45</v>
      </c>
      <c r="L2037" s="88"/>
      <c r="M2037" s="15"/>
      <c r="N2037" s="15" t="s">
        <v>38</v>
      </c>
      <c r="O2037" s="15"/>
      <c r="P2037" s="16" t="s">
        <v>2940</v>
      </c>
      <c r="Q2037" s="17">
        <v>13999</v>
      </c>
      <c r="R2037" s="18">
        <v>45</v>
      </c>
      <c r="S2037" s="19">
        <v>8854.3674999999985</v>
      </c>
      <c r="T2037" s="20" t="s">
        <v>99</v>
      </c>
      <c r="U2037" s="21" t="s">
        <v>164</v>
      </c>
      <c r="V2037" s="23">
        <v>41</v>
      </c>
      <c r="W2037" s="23">
        <v>12</v>
      </c>
      <c r="X2037" s="24"/>
    </row>
    <row r="2038" spans="1:24" s="1" customFormat="1" ht="17" customHeight="1" x14ac:dyDescent="0.3">
      <c r="A2038" s="25" t="s">
        <v>2784</v>
      </c>
      <c r="B2038" s="25" t="s">
        <v>2938</v>
      </c>
      <c r="C2038" s="12" t="s">
        <v>2939</v>
      </c>
      <c r="D2038" s="86"/>
      <c r="E2038" s="67" t="str">
        <f t="shared" si="31"/>
        <v>Еще фото</v>
      </c>
      <c r="F2038" s="14"/>
      <c r="G2038" s="25" t="s">
        <v>153</v>
      </c>
      <c r="H2038" s="25" t="s">
        <v>93</v>
      </c>
      <c r="I2038" s="25" t="s">
        <v>154</v>
      </c>
      <c r="J2038" s="15" t="s">
        <v>2930</v>
      </c>
      <c r="K2038" s="16" t="s">
        <v>45</v>
      </c>
      <c r="L2038" s="88"/>
      <c r="M2038" s="15"/>
      <c r="N2038" s="15" t="s">
        <v>38</v>
      </c>
      <c r="O2038" s="15"/>
      <c r="P2038" s="16" t="s">
        <v>2940</v>
      </c>
      <c r="Q2038" s="17">
        <v>13999</v>
      </c>
      <c r="R2038" s="18">
        <v>45</v>
      </c>
      <c r="S2038" s="19">
        <v>8854.3674999999985</v>
      </c>
      <c r="T2038" s="20" t="s">
        <v>99</v>
      </c>
      <c r="U2038" s="21" t="s">
        <v>165</v>
      </c>
      <c r="V2038" s="23">
        <v>42</v>
      </c>
      <c r="W2038" s="23">
        <v>12</v>
      </c>
      <c r="X2038" s="24"/>
    </row>
    <row r="2039" spans="1:24" s="1" customFormat="1" ht="17" customHeight="1" x14ac:dyDescent="0.3">
      <c r="A2039" s="25" t="s">
        <v>2784</v>
      </c>
      <c r="B2039" s="25" t="s">
        <v>2938</v>
      </c>
      <c r="C2039" s="12" t="s">
        <v>2939</v>
      </c>
      <c r="D2039" s="86"/>
      <c r="E2039" s="67" t="str">
        <f t="shared" si="31"/>
        <v>Еще фото</v>
      </c>
      <c r="F2039" s="14"/>
      <c r="G2039" s="25" t="s">
        <v>153</v>
      </c>
      <c r="H2039" s="25" t="s">
        <v>93</v>
      </c>
      <c r="I2039" s="25" t="s">
        <v>154</v>
      </c>
      <c r="J2039" s="15" t="s">
        <v>2930</v>
      </c>
      <c r="K2039" s="16" t="s">
        <v>45</v>
      </c>
      <c r="L2039" s="88"/>
      <c r="M2039" s="15"/>
      <c r="N2039" s="15" t="s">
        <v>38</v>
      </c>
      <c r="O2039" s="15"/>
      <c r="P2039" s="16" t="s">
        <v>2940</v>
      </c>
      <c r="Q2039" s="17">
        <v>13999</v>
      </c>
      <c r="R2039" s="18">
        <v>45</v>
      </c>
      <c r="S2039" s="19">
        <v>8854.3674999999985</v>
      </c>
      <c r="T2039" s="20" t="s">
        <v>99</v>
      </c>
      <c r="U2039" s="21" t="s">
        <v>158</v>
      </c>
      <c r="V2039" s="23">
        <v>43</v>
      </c>
      <c r="W2039" s="23">
        <v>3</v>
      </c>
      <c r="X2039" s="24"/>
    </row>
    <row r="2040" spans="1:24" s="1" customFormat="1" ht="22.05" customHeight="1" x14ac:dyDescent="0.3">
      <c r="A2040" s="25" t="s">
        <v>2784</v>
      </c>
      <c r="B2040" s="25" t="s">
        <v>2938</v>
      </c>
      <c r="C2040" s="12" t="s">
        <v>2939</v>
      </c>
      <c r="D2040" s="87"/>
      <c r="E2040" s="67" t="str">
        <f t="shared" si="31"/>
        <v>Еще фото</v>
      </c>
      <c r="F2040" s="14"/>
      <c r="G2040" s="25" t="s">
        <v>153</v>
      </c>
      <c r="H2040" s="25" t="s">
        <v>93</v>
      </c>
      <c r="I2040" s="25" t="s">
        <v>154</v>
      </c>
      <c r="J2040" s="15" t="s">
        <v>2930</v>
      </c>
      <c r="K2040" s="16" t="s">
        <v>45</v>
      </c>
      <c r="L2040" s="84"/>
      <c r="M2040" s="15"/>
      <c r="N2040" s="15" t="s">
        <v>38</v>
      </c>
      <c r="O2040" s="15"/>
      <c r="P2040" s="16" t="s">
        <v>2940</v>
      </c>
      <c r="Q2040" s="17">
        <v>13999</v>
      </c>
      <c r="R2040" s="18">
        <v>45</v>
      </c>
      <c r="S2040" s="19">
        <v>8854.3674999999985</v>
      </c>
      <c r="T2040" s="20" t="s">
        <v>99</v>
      </c>
      <c r="U2040" s="21" t="s">
        <v>159</v>
      </c>
      <c r="V2040" s="23">
        <v>44</v>
      </c>
      <c r="W2040" s="23">
        <v>2</v>
      </c>
      <c r="X2040" s="24"/>
    </row>
    <row r="2041" spans="1:24" s="1" customFormat="1" ht="17" customHeight="1" x14ac:dyDescent="0.3">
      <c r="A2041" s="11" t="s">
        <v>2869</v>
      </c>
      <c r="B2041" s="11" t="s">
        <v>2900</v>
      </c>
      <c r="C2041" s="12" t="s">
        <v>2941</v>
      </c>
      <c r="D2041" s="85"/>
      <c r="E2041" s="67" t="str">
        <f t="shared" ref="E2041:E2046" si="32">HYPERLINK("https://www.google.ru/search?q=DR101179099D0261&amp;newwindow=1&amp;tbm=isch","Еще фото")</f>
        <v>Еще фото</v>
      </c>
      <c r="F2041" s="14"/>
      <c r="G2041" s="11" t="s">
        <v>153</v>
      </c>
      <c r="H2041" s="11" t="s">
        <v>93</v>
      </c>
      <c r="I2041" s="15" t="s">
        <v>154</v>
      </c>
      <c r="J2041" s="15" t="s">
        <v>360</v>
      </c>
      <c r="K2041" s="16" t="s">
        <v>45</v>
      </c>
      <c r="L2041" s="83" t="s">
        <v>2942</v>
      </c>
      <c r="M2041" s="15"/>
      <c r="N2041" s="15" t="s">
        <v>2943</v>
      </c>
      <c r="O2041" s="15"/>
      <c r="P2041" s="16" t="s">
        <v>2878</v>
      </c>
      <c r="Q2041" s="17">
        <v>29990</v>
      </c>
      <c r="R2041" s="18">
        <v>45</v>
      </c>
      <c r="S2041" s="19">
        <v>18968.674999999999</v>
      </c>
      <c r="T2041" s="20" t="s">
        <v>333</v>
      </c>
      <c r="U2041" s="21" t="s">
        <v>345</v>
      </c>
      <c r="V2041" s="23">
        <v>42</v>
      </c>
      <c r="W2041" s="23">
        <v>1</v>
      </c>
      <c r="X2041" s="24"/>
    </row>
    <row r="2042" spans="1:24" s="1" customFormat="1" ht="17" customHeight="1" x14ac:dyDescent="0.3">
      <c r="A2042" s="25" t="s">
        <v>2869</v>
      </c>
      <c r="B2042" s="25" t="s">
        <v>2900</v>
      </c>
      <c r="C2042" s="12" t="s">
        <v>2941</v>
      </c>
      <c r="D2042" s="86"/>
      <c r="E2042" s="67" t="str">
        <f t="shared" si="32"/>
        <v>Еще фото</v>
      </c>
      <c r="F2042" s="14"/>
      <c r="G2042" s="25" t="s">
        <v>153</v>
      </c>
      <c r="H2042" s="25" t="s">
        <v>93</v>
      </c>
      <c r="I2042" s="25" t="s">
        <v>154</v>
      </c>
      <c r="J2042" s="15" t="s">
        <v>360</v>
      </c>
      <c r="K2042" s="16" t="s">
        <v>45</v>
      </c>
      <c r="L2042" s="88"/>
      <c r="M2042" s="15"/>
      <c r="N2042" s="15" t="s">
        <v>2943</v>
      </c>
      <c r="O2042" s="15"/>
      <c r="P2042" s="16" t="s">
        <v>2878</v>
      </c>
      <c r="Q2042" s="17">
        <v>29990</v>
      </c>
      <c r="R2042" s="18">
        <v>45</v>
      </c>
      <c r="S2042" s="19">
        <v>18968.674999999999</v>
      </c>
      <c r="T2042" s="20" t="s">
        <v>333</v>
      </c>
      <c r="U2042" s="21" t="s">
        <v>2893</v>
      </c>
      <c r="V2042" s="23">
        <v>43</v>
      </c>
      <c r="W2042" s="23">
        <v>1</v>
      </c>
      <c r="X2042" s="24"/>
    </row>
    <row r="2043" spans="1:24" s="1" customFormat="1" ht="17" customHeight="1" x14ac:dyDescent="0.3">
      <c r="A2043" s="25" t="s">
        <v>2869</v>
      </c>
      <c r="B2043" s="25" t="s">
        <v>2900</v>
      </c>
      <c r="C2043" s="12" t="s">
        <v>2941</v>
      </c>
      <c r="D2043" s="86"/>
      <c r="E2043" s="67" t="str">
        <f t="shared" si="32"/>
        <v>Еще фото</v>
      </c>
      <c r="F2043" s="14"/>
      <c r="G2043" s="25" t="s">
        <v>153</v>
      </c>
      <c r="H2043" s="25" t="s">
        <v>93</v>
      </c>
      <c r="I2043" s="25" t="s">
        <v>154</v>
      </c>
      <c r="J2043" s="15" t="s">
        <v>360</v>
      </c>
      <c r="K2043" s="16" t="s">
        <v>45</v>
      </c>
      <c r="L2043" s="88"/>
      <c r="M2043" s="15"/>
      <c r="N2043" s="15" t="s">
        <v>2943</v>
      </c>
      <c r="O2043" s="15"/>
      <c r="P2043" s="16" t="s">
        <v>2878</v>
      </c>
      <c r="Q2043" s="17">
        <v>29990</v>
      </c>
      <c r="R2043" s="18">
        <v>45</v>
      </c>
      <c r="S2043" s="19">
        <v>18968.674999999999</v>
      </c>
      <c r="T2043" s="20" t="s">
        <v>333</v>
      </c>
      <c r="U2043" s="21" t="s">
        <v>366</v>
      </c>
      <c r="V2043" s="22" t="s">
        <v>2894</v>
      </c>
      <c r="W2043" s="23">
        <v>1</v>
      </c>
      <c r="X2043" s="24"/>
    </row>
    <row r="2044" spans="1:24" s="1" customFormat="1" ht="17" customHeight="1" x14ac:dyDescent="0.3">
      <c r="A2044" s="25" t="s">
        <v>2869</v>
      </c>
      <c r="B2044" s="25" t="s">
        <v>2900</v>
      </c>
      <c r="C2044" s="12" t="s">
        <v>2941</v>
      </c>
      <c r="D2044" s="86"/>
      <c r="E2044" s="67" t="str">
        <f t="shared" si="32"/>
        <v>Еще фото</v>
      </c>
      <c r="F2044" s="14"/>
      <c r="G2044" s="25" t="s">
        <v>153</v>
      </c>
      <c r="H2044" s="25" t="s">
        <v>93</v>
      </c>
      <c r="I2044" s="25" t="s">
        <v>154</v>
      </c>
      <c r="J2044" s="15" t="s">
        <v>360</v>
      </c>
      <c r="K2044" s="16" t="s">
        <v>45</v>
      </c>
      <c r="L2044" s="88"/>
      <c r="M2044" s="15"/>
      <c r="N2044" s="15" t="s">
        <v>2943</v>
      </c>
      <c r="O2044" s="15"/>
      <c r="P2044" s="16" t="s">
        <v>2878</v>
      </c>
      <c r="Q2044" s="17">
        <v>29990</v>
      </c>
      <c r="R2044" s="18">
        <v>45</v>
      </c>
      <c r="S2044" s="19">
        <v>18968.674999999999</v>
      </c>
      <c r="T2044" s="20" t="s">
        <v>333</v>
      </c>
      <c r="U2044" s="21" t="s">
        <v>2895</v>
      </c>
      <c r="V2044" s="23">
        <v>44</v>
      </c>
      <c r="W2044" s="23">
        <v>1</v>
      </c>
      <c r="X2044" s="24"/>
    </row>
    <row r="2045" spans="1:24" s="1" customFormat="1" ht="17" customHeight="1" x14ac:dyDescent="0.3">
      <c r="A2045" s="25" t="s">
        <v>2869</v>
      </c>
      <c r="B2045" s="25" t="s">
        <v>2900</v>
      </c>
      <c r="C2045" s="12" t="s">
        <v>2941</v>
      </c>
      <c r="D2045" s="86"/>
      <c r="E2045" s="67" t="str">
        <f t="shared" si="32"/>
        <v>Еще фото</v>
      </c>
      <c r="F2045" s="14"/>
      <c r="G2045" s="25" t="s">
        <v>153</v>
      </c>
      <c r="H2045" s="25" t="s">
        <v>93</v>
      </c>
      <c r="I2045" s="25" t="s">
        <v>154</v>
      </c>
      <c r="J2045" s="15" t="s">
        <v>360</v>
      </c>
      <c r="K2045" s="16" t="s">
        <v>45</v>
      </c>
      <c r="L2045" s="88"/>
      <c r="M2045" s="15"/>
      <c r="N2045" s="15" t="s">
        <v>2943</v>
      </c>
      <c r="O2045" s="15"/>
      <c r="P2045" s="16" t="s">
        <v>2878</v>
      </c>
      <c r="Q2045" s="17">
        <v>29990</v>
      </c>
      <c r="R2045" s="18">
        <v>45</v>
      </c>
      <c r="S2045" s="19">
        <v>18968.674999999999</v>
      </c>
      <c r="T2045" s="20" t="s">
        <v>333</v>
      </c>
      <c r="U2045" s="21" t="s">
        <v>823</v>
      </c>
      <c r="V2045" s="22" t="s">
        <v>2887</v>
      </c>
      <c r="W2045" s="23">
        <v>2</v>
      </c>
      <c r="X2045" s="24"/>
    </row>
    <row r="2046" spans="1:24" s="1" customFormat="1" ht="22.05" customHeight="1" x14ac:dyDescent="0.3">
      <c r="A2046" s="25" t="s">
        <v>2869</v>
      </c>
      <c r="B2046" s="25" t="s">
        <v>2900</v>
      </c>
      <c r="C2046" s="12" t="s">
        <v>2941</v>
      </c>
      <c r="D2046" s="87"/>
      <c r="E2046" s="67" t="str">
        <f t="shared" si="32"/>
        <v>Еще фото</v>
      </c>
      <c r="F2046" s="14"/>
      <c r="G2046" s="25" t="s">
        <v>153</v>
      </c>
      <c r="H2046" s="25" t="s">
        <v>93</v>
      </c>
      <c r="I2046" s="25" t="s">
        <v>154</v>
      </c>
      <c r="J2046" s="15" t="s">
        <v>360</v>
      </c>
      <c r="K2046" s="16" t="s">
        <v>45</v>
      </c>
      <c r="L2046" s="84"/>
      <c r="M2046" s="15"/>
      <c r="N2046" s="15" t="s">
        <v>2943</v>
      </c>
      <c r="O2046" s="15"/>
      <c r="P2046" s="16" t="s">
        <v>2878</v>
      </c>
      <c r="Q2046" s="17">
        <v>29990</v>
      </c>
      <c r="R2046" s="18">
        <v>45</v>
      </c>
      <c r="S2046" s="19">
        <v>18968.674999999999</v>
      </c>
      <c r="T2046" s="20" t="s">
        <v>333</v>
      </c>
      <c r="U2046" s="21" t="s">
        <v>2944</v>
      </c>
      <c r="V2046" s="23">
        <v>45</v>
      </c>
      <c r="W2046" s="23">
        <v>3</v>
      </c>
      <c r="X2046" s="24"/>
    </row>
    <row r="2047" spans="1:24" s="1" customFormat="1" ht="35" customHeight="1" x14ac:dyDescent="0.3">
      <c r="A2047" s="11" t="s">
        <v>2869</v>
      </c>
      <c r="B2047" s="11" t="s">
        <v>2900</v>
      </c>
      <c r="C2047" s="12" t="s">
        <v>2945</v>
      </c>
      <c r="D2047" s="85"/>
      <c r="E2047" s="67" t="str">
        <f>HYPERLINK("https://www.google.ru/search?q=DR101179099D0272&amp;newwindow=1&amp;tbm=isch","Еще фото")</f>
        <v>Еще фото</v>
      </c>
      <c r="F2047" s="14"/>
      <c r="G2047" s="11" t="s">
        <v>153</v>
      </c>
      <c r="H2047" s="11" t="s">
        <v>93</v>
      </c>
      <c r="I2047" s="15" t="s">
        <v>154</v>
      </c>
      <c r="J2047" s="15" t="s">
        <v>360</v>
      </c>
      <c r="K2047" s="16" t="s">
        <v>45</v>
      </c>
      <c r="L2047" s="83" t="s">
        <v>2942</v>
      </c>
      <c r="M2047" s="15"/>
      <c r="N2047" s="15" t="s">
        <v>2946</v>
      </c>
      <c r="O2047" s="15"/>
      <c r="P2047" s="16" t="s">
        <v>2878</v>
      </c>
      <c r="Q2047" s="17">
        <v>29990</v>
      </c>
      <c r="R2047" s="18">
        <v>45</v>
      </c>
      <c r="S2047" s="19">
        <v>18968.674999999999</v>
      </c>
      <c r="T2047" s="20" t="s">
        <v>333</v>
      </c>
      <c r="U2047" s="21" t="s">
        <v>366</v>
      </c>
      <c r="V2047" s="22" t="s">
        <v>2894</v>
      </c>
      <c r="W2047" s="23">
        <v>2</v>
      </c>
      <c r="X2047" s="24"/>
    </row>
    <row r="2048" spans="1:24" s="1" customFormat="1" ht="35" customHeight="1" x14ac:dyDescent="0.3">
      <c r="A2048" s="25" t="s">
        <v>2869</v>
      </c>
      <c r="B2048" s="25" t="s">
        <v>2900</v>
      </c>
      <c r="C2048" s="12" t="s">
        <v>2945</v>
      </c>
      <c r="D2048" s="86"/>
      <c r="E2048" s="67" t="str">
        <f>HYPERLINK("https://www.google.ru/search?q=DR101179099D0272&amp;newwindow=1&amp;tbm=isch","Еще фото")</f>
        <v>Еще фото</v>
      </c>
      <c r="F2048" s="14"/>
      <c r="G2048" s="25" t="s">
        <v>153</v>
      </c>
      <c r="H2048" s="25" t="s">
        <v>93</v>
      </c>
      <c r="I2048" s="25" t="s">
        <v>154</v>
      </c>
      <c r="J2048" s="15" t="s">
        <v>360</v>
      </c>
      <c r="K2048" s="16" t="s">
        <v>45</v>
      </c>
      <c r="L2048" s="88"/>
      <c r="M2048" s="15"/>
      <c r="N2048" s="15" t="s">
        <v>2946</v>
      </c>
      <c r="O2048" s="15"/>
      <c r="P2048" s="16" t="s">
        <v>2878</v>
      </c>
      <c r="Q2048" s="17">
        <v>29990</v>
      </c>
      <c r="R2048" s="18">
        <v>45</v>
      </c>
      <c r="S2048" s="19">
        <v>18968.674999999999</v>
      </c>
      <c r="T2048" s="20" t="s">
        <v>333</v>
      </c>
      <c r="U2048" s="21" t="s">
        <v>2895</v>
      </c>
      <c r="V2048" s="23">
        <v>44</v>
      </c>
      <c r="W2048" s="23">
        <v>1</v>
      </c>
      <c r="X2048" s="24"/>
    </row>
    <row r="2049" spans="1:24" s="1" customFormat="1" ht="37.049999999999997" customHeight="1" x14ac:dyDescent="0.3">
      <c r="A2049" s="25" t="s">
        <v>2869</v>
      </c>
      <c r="B2049" s="25" t="s">
        <v>2900</v>
      </c>
      <c r="C2049" s="12" t="s">
        <v>2945</v>
      </c>
      <c r="D2049" s="87"/>
      <c r="E2049" s="67" t="str">
        <f>HYPERLINK("https://www.google.ru/search?q=DR101179099D0272&amp;newwindow=1&amp;tbm=isch","Еще фото")</f>
        <v>Еще фото</v>
      </c>
      <c r="F2049" s="14"/>
      <c r="G2049" s="25" t="s">
        <v>153</v>
      </c>
      <c r="H2049" s="25" t="s">
        <v>93</v>
      </c>
      <c r="I2049" s="25" t="s">
        <v>154</v>
      </c>
      <c r="J2049" s="15" t="s">
        <v>360</v>
      </c>
      <c r="K2049" s="16" t="s">
        <v>45</v>
      </c>
      <c r="L2049" s="84"/>
      <c r="M2049" s="15"/>
      <c r="N2049" s="15" t="s">
        <v>2946</v>
      </c>
      <c r="O2049" s="15"/>
      <c r="P2049" s="16" t="s">
        <v>2878</v>
      </c>
      <c r="Q2049" s="17">
        <v>29990</v>
      </c>
      <c r="R2049" s="18">
        <v>45</v>
      </c>
      <c r="S2049" s="19">
        <v>18968.674999999999</v>
      </c>
      <c r="T2049" s="20" t="s">
        <v>333</v>
      </c>
      <c r="U2049" s="21" t="s">
        <v>823</v>
      </c>
      <c r="V2049" s="22" t="s">
        <v>2887</v>
      </c>
      <c r="W2049" s="23">
        <v>1</v>
      </c>
      <c r="X2049" s="24"/>
    </row>
    <row r="2050" spans="1:24" s="1" customFormat="1" ht="21" customHeight="1" x14ac:dyDescent="0.3">
      <c r="A2050" s="11" t="s">
        <v>2869</v>
      </c>
      <c r="B2050" s="11" t="s">
        <v>2905</v>
      </c>
      <c r="C2050" s="27" t="s">
        <v>2947</v>
      </c>
      <c r="D2050" s="85"/>
      <c r="E2050" s="67" t="str">
        <f>HYPERLINK("https://www.google.ru/search?q=DR101179106D0261&amp;newwindow=1&amp;tbm=isch","Еще фото")</f>
        <v>Еще фото</v>
      </c>
      <c r="F2050" s="14"/>
      <c r="G2050" s="11" t="s">
        <v>153</v>
      </c>
      <c r="H2050" s="11" t="s">
        <v>93</v>
      </c>
      <c r="I2050" s="15" t="s">
        <v>154</v>
      </c>
      <c r="J2050" s="15" t="s">
        <v>360</v>
      </c>
      <c r="K2050" s="16" t="s">
        <v>45</v>
      </c>
      <c r="L2050" s="83" t="s">
        <v>2877</v>
      </c>
      <c r="M2050" s="15"/>
      <c r="N2050" s="15" t="s">
        <v>2943</v>
      </c>
      <c r="O2050" s="15"/>
      <c r="P2050" s="16" t="s">
        <v>2878</v>
      </c>
      <c r="Q2050" s="17">
        <v>29990</v>
      </c>
      <c r="R2050" s="18">
        <v>45</v>
      </c>
      <c r="S2050" s="19">
        <v>18968.674999999999</v>
      </c>
      <c r="T2050" s="20" t="s">
        <v>333</v>
      </c>
      <c r="U2050" s="21" t="s">
        <v>2893</v>
      </c>
      <c r="V2050" s="23">
        <v>43</v>
      </c>
      <c r="W2050" s="23">
        <v>1</v>
      </c>
      <c r="X2050" s="24"/>
    </row>
    <row r="2051" spans="1:24" s="1" customFormat="1" ht="21" customHeight="1" x14ac:dyDescent="0.3">
      <c r="A2051" s="25" t="s">
        <v>2869</v>
      </c>
      <c r="B2051" s="25" t="s">
        <v>2905</v>
      </c>
      <c r="C2051" s="28" t="s">
        <v>2947</v>
      </c>
      <c r="D2051" s="86"/>
      <c r="E2051" s="67" t="str">
        <f>HYPERLINK("https://www.google.ru/search?q=DR101179106D0261&amp;newwindow=1&amp;tbm=isch","Еще фото")</f>
        <v>Еще фото</v>
      </c>
      <c r="F2051" s="14"/>
      <c r="G2051" s="25" t="s">
        <v>153</v>
      </c>
      <c r="H2051" s="25" t="s">
        <v>93</v>
      </c>
      <c r="I2051" s="25" t="s">
        <v>154</v>
      </c>
      <c r="J2051" s="15" t="s">
        <v>360</v>
      </c>
      <c r="K2051" s="16" t="s">
        <v>45</v>
      </c>
      <c r="L2051" s="88"/>
      <c r="M2051" s="15"/>
      <c r="N2051" s="15" t="s">
        <v>2943</v>
      </c>
      <c r="O2051" s="15"/>
      <c r="P2051" s="16" t="s">
        <v>2878</v>
      </c>
      <c r="Q2051" s="17">
        <v>29990</v>
      </c>
      <c r="R2051" s="18">
        <v>45</v>
      </c>
      <c r="S2051" s="19">
        <v>18968.674999999999</v>
      </c>
      <c r="T2051" s="20" t="s">
        <v>333</v>
      </c>
      <c r="U2051" s="21" t="s">
        <v>2895</v>
      </c>
      <c r="V2051" s="23">
        <v>44</v>
      </c>
      <c r="W2051" s="23">
        <v>3</v>
      </c>
      <c r="X2051" s="24"/>
    </row>
    <row r="2052" spans="1:24" s="1" customFormat="1" ht="21" customHeight="1" x14ac:dyDescent="0.3">
      <c r="A2052" s="25" t="s">
        <v>2869</v>
      </c>
      <c r="B2052" s="25" t="s">
        <v>2905</v>
      </c>
      <c r="C2052" s="28" t="s">
        <v>2947</v>
      </c>
      <c r="D2052" s="86"/>
      <c r="E2052" s="67" t="str">
        <f>HYPERLINK("https://www.google.ru/search?q=DR101179106D0261&amp;newwindow=1&amp;tbm=isch","Еще фото")</f>
        <v>Еще фото</v>
      </c>
      <c r="F2052" s="14"/>
      <c r="G2052" s="25" t="s">
        <v>153</v>
      </c>
      <c r="H2052" s="25" t="s">
        <v>93</v>
      </c>
      <c r="I2052" s="25" t="s">
        <v>154</v>
      </c>
      <c r="J2052" s="15" t="s">
        <v>360</v>
      </c>
      <c r="K2052" s="16" t="s">
        <v>45</v>
      </c>
      <c r="L2052" s="88"/>
      <c r="M2052" s="15"/>
      <c r="N2052" s="15" t="s">
        <v>2943</v>
      </c>
      <c r="O2052" s="15"/>
      <c r="P2052" s="16" t="s">
        <v>2878</v>
      </c>
      <c r="Q2052" s="17">
        <v>29990</v>
      </c>
      <c r="R2052" s="18">
        <v>45</v>
      </c>
      <c r="S2052" s="19">
        <v>18968.674999999999</v>
      </c>
      <c r="T2052" s="20" t="s">
        <v>333</v>
      </c>
      <c r="U2052" s="21" t="s">
        <v>823</v>
      </c>
      <c r="V2052" s="22" t="s">
        <v>2887</v>
      </c>
      <c r="W2052" s="23">
        <v>1</v>
      </c>
      <c r="X2052" s="24"/>
    </row>
    <row r="2053" spans="1:24" s="1" customFormat="1" ht="21" customHeight="1" x14ac:dyDescent="0.3">
      <c r="A2053" s="25" t="s">
        <v>2869</v>
      </c>
      <c r="B2053" s="25" t="s">
        <v>2905</v>
      </c>
      <c r="C2053" s="28" t="s">
        <v>2947</v>
      </c>
      <c r="D2053" s="86"/>
      <c r="E2053" s="67" t="str">
        <f>HYPERLINK("https://www.google.ru/search?q=DR101179106D0261&amp;newwindow=1&amp;tbm=isch","Еще фото")</f>
        <v>Еще фото</v>
      </c>
      <c r="F2053" s="14"/>
      <c r="G2053" s="25" t="s">
        <v>153</v>
      </c>
      <c r="H2053" s="25" t="s">
        <v>93</v>
      </c>
      <c r="I2053" s="25" t="s">
        <v>154</v>
      </c>
      <c r="J2053" s="15" t="s">
        <v>360</v>
      </c>
      <c r="K2053" s="16" t="s">
        <v>45</v>
      </c>
      <c r="L2053" s="88"/>
      <c r="M2053" s="15"/>
      <c r="N2053" s="15" t="s">
        <v>2943</v>
      </c>
      <c r="O2053" s="15"/>
      <c r="P2053" s="16" t="s">
        <v>2878</v>
      </c>
      <c r="Q2053" s="17">
        <v>29990</v>
      </c>
      <c r="R2053" s="18">
        <v>45</v>
      </c>
      <c r="S2053" s="19">
        <v>18968.674999999999</v>
      </c>
      <c r="T2053" s="20" t="s">
        <v>333</v>
      </c>
      <c r="U2053" s="21" t="s">
        <v>2944</v>
      </c>
      <c r="V2053" s="23">
        <v>45</v>
      </c>
      <c r="W2053" s="23">
        <v>1</v>
      </c>
      <c r="X2053" s="24"/>
    </row>
    <row r="2054" spans="1:24" s="1" customFormat="1" ht="32" customHeight="1" x14ac:dyDescent="0.3">
      <c r="A2054" s="25" t="s">
        <v>2869</v>
      </c>
      <c r="B2054" s="25" t="s">
        <v>2905</v>
      </c>
      <c r="C2054" s="28" t="s">
        <v>2947</v>
      </c>
      <c r="D2054" s="87"/>
      <c r="E2054" s="67" t="str">
        <f>HYPERLINK("https://www.google.ru/search?q=DR101179106D0261&amp;newwindow=1&amp;tbm=isch","Еще фото")</f>
        <v>Еще фото</v>
      </c>
      <c r="F2054" s="14"/>
      <c r="G2054" s="25" t="s">
        <v>153</v>
      </c>
      <c r="H2054" s="25" t="s">
        <v>93</v>
      </c>
      <c r="I2054" s="25" t="s">
        <v>154</v>
      </c>
      <c r="J2054" s="15" t="s">
        <v>360</v>
      </c>
      <c r="K2054" s="16" t="s">
        <v>45</v>
      </c>
      <c r="L2054" s="84"/>
      <c r="M2054" s="15"/>
      <c r="N2054" s="15" t="s">
        <v>2943</v>
      </c>
      <c r="O2054" s="15"/>
      <c r="P2054" s="16" t="s">
        <v>2878</v>
      </c>
      <c r="Q2054" s="17">
        <v>29990</v>
      </c>
      <c r="R2054" s="18">
        <v>45</v>
      </c>
      <c r="S2054" s="19">
        <v>18968.674999999999</v>
      </c>
      <c r="T2054" s="20" t="s">
        <v>333</v>
      </c>
      <c r="U2054" s="21" t="s">
        <v>824</v>
      </c>
      <c r="V2054" s="29">
        <v>45.5</v>
      </c>
      <c r="W2054" s="23">
        <v>1</v>
      </c>
      <c r="X2054" s="24"/>
    </row>
    <row r="2055" spans="1:24" s="1" customFormat="1" ht="21" customHeight="1" x14ac:dyDescent="0.3">
      <c r="A2055" s="11" t="s">
        <v>2869</v>
      </c>
      <c r="B2055" s="11" t="s">
        <v>2905</v>
      </c>
      <c r="C2055" s="27" t="s">
        <v>2948</v>
      </c>
      <c r="D2055" s="85"/>
      <c r="E2055" s="67" t="str">
        <f>HYPERLINK("https://www.google.ru/search?q=DR101179106D0272&amp;newwindow=1&amp;tbm=isch","Еще фото")</f>
        <v>Еще фото</v>
      </c>
      <c r="F2055" s="14" t="s">
        <v>253</v>
      </c>
      <c r="G2055" s="11" t="s">
        <v>153</v>
      </c>
      <c r="H2055" s="11" t="s">
        <v>93</v>
      </c>
      <c r="I2055" s="15" t="s">
        <v>154</v>
      </c>
      <c r="J2055" s="15" t="s">
        <v>360</v>
      </c>
      <c r="K2055" s="16" t="s">
        <v>45</v>
      </c>
      <c r="L2055" s="83" t="s">
        <v>2949</v>
      </c>
      <c r="M2055" s="15"/>
      <c r="N2055" s="15" t="s">
        <v>2946</v>
      </c>
      <c r="O2055" s="15"/>
      <c r="P2055" s="16" t="s">
        <v>2878</v>
      </c>
      <c r="Q2055" s="17">
        <v>29990</v>
      </c>
      <c r="R2055" s="18">
        <v>45</v>
      </c>
      <c r="S2055" s="19">
        <v>18968.674999999999</v>
      </c>
      <c r="T2055" s="20" t="s">
        <v>333</v>
      </c>
      <c r="U2055" s="21" t="s">
        <v>366</v>
      </c>
      <c r="V2055" s="22" t="s">
        <v>2894</v>
      </c>
      <c r="W2055" s="23">
        <v>4</v>
      </c>
      <c r="X2055" s="24"/>
    </row>
    <row r="2056" spans="1:24" s="1" customFormat="1" ht="21" customHeight="1" x14ac:dyDescent="0.3">
      <c r="A2056" s="25" t="s">
        <v>2869</v>
      </c>
      <c r="B2056" s="25" t="s">
        <v>2905</v>
      </c>
      <c r="C2056" s="28" t="s">
        <v>2948</v>
      </c>
      <c r="D2056" s="86"/>
      <c r="E2056" s="67" t="str">
        <f>HYPERLINK("https://www.google.ru/search?q=DR101179106D0272&amp;newwindow=1&amp;tbm=isch","Еще фото")</f>
        <v>Еще фото</v>
      </c>
      <c r="F2056" s="14" t="s">
        <v>253</v>
      </c>
      <c r="G2056" s="25" t="s">
        <v>153</v>
      </c>
      <c r="H2056" s="25" t="s">
        <v>93</v>
      </c>
      <c r="I2056" s="25" t="s">
        <v>154</v>
      </c>
      <c r="J2056" s="15" t="s">
        <v>360</v>
      </c>
      <c r="K2056" s="16" t="s">
        <v>45</v>
      </c>
      <c r="L2056" s="88"/>
      <c r="M2056" s="15"/>
      <c r="N2056" s="15" t="s">
        <v>2946</v>
      </c>
      <c r="O2056" s="15"/>
      <c r="P2056" s="16" t="s">
        <v>2878</v>
      </c>
      <c r="Q2056" s="17">
        <v>29990</v>
      </c>
      <c r="R2056" s="18">
        <v>45</v>
      </c>
      <c r="S2056" s="19">
        <v>18968.674999999999</v>
      </c>
      <c r="T2056" s="20" t="s">
        <v>333</v>
      </c>
      <c r="U2056" s="21" t="s">
        <v>2895</v>
      </c>
      <c r="V2056" s="23">
        <v>44</v>
      </c>
      <c r="W2056" s="23">
        <v>2</v>
      </c>
      <c r="X2056" s="24"/>
    </row>
    <row r="2057" spans="1:24" s="1" customFormat="1" ht="21" customHeight="1" x14ac:dyDescent="0.3">
      <c r="A2057" s="25" t="s">
        <v>2869</v>
      </c>
      <c r="B2057" s="25" t="s">
        <v>2905</v>
      </c>
      <c r="C2057" s="28" t="s">
        <v>2948</v>
      </c>
      <c r="D2057" s="86"/>
      <c r="E2057" s="67" t="str">
        <f>HYPERLINK("https://www.google.ru/search?q=DR101179106D0272&amp;newwindow=1&amp;tbm=isch","Еще фото")</f>
        <v>Еще фото</v>
      </c>
      <c r="F2057" s="14" t="s">
        <v>253</v>
      </c>
      <c r="G2057" s="25" t="s">
        <v>153</v>
      </c>
      <c r="H2057" s="25" t="s">
        <v>93</v>
      </c>
      <c r="I2057" s="25" t="s">
        <v>154</v>
      </c>
      <c r="J2057" s="15" t="s">
        <v>360</v>
      </c>
      <c r="K2057" s="16" t="s">
        <v>45</v>
      </c>
      <c r="L2057" s="88"/>
      <c r="M2057" s="15"/>
      <c r="N2057" s="15" t="s">
        <v>2946</v>
      </c>
      <c r="O2057" s="15"/>
      <c r="P2057" s="16" t="s">
        <v>2878</v>
      </c>
      <c r="Q2057" s="17">
        <v>29990</v>
      </c>
      <c r="R2057" s="18">
        <v>45</v>
      </c>
      <c r="S2057" s="19">
        <v>18968.674999999999</v>
      </c>
      <c r="T2057" s="20" t="s">
        <v>333</v>
      </c>
      <c r="U2057" s="21" t="s">
        <v>823</v>
      </c>
      <c r="V2057" s="22" t="s">
        <v>2887</v>
      </c>
      <c r="W2057" s="23">
        <v>5</v>
      </c>
      <c r="X2057" s="24"/>
    </row>
    <row r="2058" spans="1:24" s="1" customFormat="1" ht="21" customHeight="1" x14ac:dyDescent="0.3">
      <c r="A2058" s="25" t="s">
        <v>2869</v>
      </c>
      <c r="B2058" s="25" t="s">
        <v>2905</v>
      </c>
      <c r="C2058" s="28" t="s">
        <v>2948</v>
      </c>
      <c r="D2058" s="86"/>
      <c r="E2058" s="67" t="str">
        <f>HYPERLINK("https://www.google.ru/search?q=DR101179106D0272&amp;newwindow=1&amp;tbm=isch","Еще фото")</f>
        <v>Еще фото</v>
      </c>
      <c r="F2058" s="14" t="s">
        <v>253</v>
      </c>
      <c r="G2058" s="25" t="s">
        <v>153</v>
      </c>
      <c r="H2058" s="25" t="s">
        <v>93</v>
      </c>
      <c r="I2058" s="25" t="s">
        <v>154</v>
      </c>
      <c r="J2058" s="15" t="s">
        <v>360</v>
      </c>
      <c r="K2058" s="16" t="s">
        <v>45</v>
      </c>
      <c r="L2058" s="88"/>
      <c r="M2058" s="15"/>
      <c r="N2058" s="15" t="s">
        <v>2946</v>
      </c>
      <c r="O2058" s="15"/>
      <c r="P2058" s="16" t="s">
        <v>2878</v>
      </c>
      <c r="Q2058" s="17">
        <v>29990</v>
      </c>
      <c r="R2058" s="18">
        <v>45</v>
      </c>
      <c r="S2058" s="19">
        <v>18968.674999999999</v>
      </c>
      <c r="T2058" s="20" t="s">
        <v>333</v>
      </c>
      <c r="U2058" s="21" t="s">
        <v>2944</v>
      </c>
      <c r="V2058" s="23">
        <v>45</v>
      </c>
      <c r="W2058" s="23">
        <v>4</v>
      </c>
      <c r="X2058" s="24"/>
    </row>
    <row r="2059" spans="1:24" s="1" customFormat="1" ht="32" customHeight="1" x14ac:dyDescent="0.3">
      <c r="A2059" s="25" t="s">
        <v>2869</v>
      </c>
      <c r="B2059" s="25" t="s">
        <v>2905</v>
      </c>
      <c r="C2059" s="28" t="s">
        <v>2948</v>
      </c>
      <c r="D2059" s="87"/>
      <c r="E2059" s="67" t="str">
        <f>HYPERLINK("https://www.google.ru/search?q=DR101179106D0272&amp;newwindow=1&amp;tbm=isch","Еще фото")</f>
        <v>Еще фото</v>
      </c>
      <c r="F2059" s="14" t="s">
        <v>253</v>
      </c>
      <c r="G2059" s="25" t="s">
        <v>153</v>
      </c>
      <c r="H2059" s="25" t="s">
        <v>93</v>
      </c>
      <c r="I2059" s="25" t="s">
        <v>154</v>
      </c>
      <c r="J2059" s="15" t="s">
        <v>360</v>
      </c>
      <c r="K2059" s="16" t="s">
        <v>45</v>
      </c>
      <c r="L2059" s="84"/>
      <c r="M2059" s="15"/>
      <c r="N2059" s="15" t="s">
        <v>2946</v>
      </c>
      <c r="O2059" s="15"/>
      <c r="P2059" s="16" t="s">
        <v>2878</v>
      </c>
      <c r="Q2059" s="17">
        <v>29990</v>
      </c>
      <c r="R2059" s="18">
        <v>45</v>
      </c>
      <c r="S2059" s="19">
        <v>18968.674999999999</v>
      </c>
      <c r="T2059" s="20" t="s">
        <v>333</v>
      </c>
      <c r="U2059" s="21" t="s">
        <v>824</v>
      </c>
      <c r="V2059" s="29">
        <v>45.5</v>
      </c>
      <c r="W2059" s="23">
        <v>1</v>
      </c>
      <c r="X2059" s="24"/>
    </row>
    <row r="2060" spans="1:24" s="1" customFormat="1" ht="108" customHeight="1" x14ac:dyDescent="0.3">
      <c r="A2060" s="11" t="s">
        <v>2751</v>
      </c>
      <c r="B2060" s="11" t="s">
        <v>2950</v>
      </c>
      <c r="C2060" s="12" t="s">
        <v>2951</v>
      </c>
      <c r="D2060" s="13"/>
      <c r="E2060" s="67" t="str">
        <f>HYPERLINK("https://www.google.ru/search?q=S11447-KK002&amp;newwindow=1&amp;tbm=isch","Еще фото")</f>
        <v>Еще фото</v>
      </c>
      <c r="F2060" s="14"/>
      <c r="G2060" s="11" t="s">
        <v>153</v>
      </c>
      <c r="H2060" s="11" t="s">
        <v>93</v>
      </c>
      <c r="I2060" s="15" t="s">
        <v>196</v>
      </c>
      <c r="J2060" s="15" t="s">
        <v>28</v>
      </c>
      <c r="K2060" s="16" t="s">
        <v>29</v>
      </c>
      <c r="L2060" s="15" t="s">
        <v>2952</v>
      </c>
      <c r="M2060" s="15" t="s">
        <v>61</v>
      </c>
      <c r="N2060" s="15" t="s">
        <v>38</v>
      </c>
      <c r="O2060" s="15" t="s">
        <v>400</v>
      </c>
      <c r="P2060" s="16" t="s">
        <v>2953</v>
      </c>
      <c r="Q2060" s="17">
        <v>5499</v>
      </c>
      <c r="R2060" s="18">
        <v>52.76</v>
      </c>
      <c r="S2060" s="19">
        <v>2987.4354999999996</v>
      </c>
      <c r="T2060" s="20" t="s">
        <v>99</v>
      </c>
      <c r="U2060" s="21" t="s">
        <v>2954</v>
      </c>
      <c r="V2060" s="29">
        <v>36.5</v>
      </c>
      <c r="W2060" s="23">
        <v>2</v>
      </c>
      <c r="X2060" s="24"/>
    </row>
    <row r="2061" spans="1:24" s="1" customFormat="1" ht="108" customHeight="1" x14ac:dyDescent="0.3">
      <c r="A2061" s="11" t="s">
        <v>2784</v>
      </c>
      <c r="B2061" s="11" t="s">
        <v>2955</v>
      </c>
      <c r="C2061" s="12" t="s">
        <v>2956</v>
      </c>
      <c r="D2061" s="13"/>
      <c r="E2061" s="67" t="str">
        <f>HYPERLINK("https://www.google.ru/search?q=101385978&amp;newwindow=1&amp;tbm=isch","Еще фото")</f>
        <v>Еще фото</v>
      </c>
      <c r="F2061" s="14"/>
      <c r="G2061" s="11" t="s">
        <v>153</v>
      </c>
      <c r="H2061" s="11" t="s">
        <v>93</v>
      </c>
      <c r="I2061" s="15" t="s">
        <v>196</v>
      </c>
      <c r="J2061" s="15" t="s">
        <v>28</v>
      </c>
      <c r="K2061" s="16" t="s">
        <v>45</v>
      </c>
      <c r="L2061" s="15"/>
      <c r="M2061" s="15"/>
      <c r="N2061" s="15" t="s">
        <v>2473</v>
      </c>
      <c r="O2061" s="15"/>
      <c r="P2061" s="16" t="s">
        <v>2935</v>
      </c>
      <c r="Q2061" s="17">
        <v>7899</v>
      </c>
      <c r="R2061" s="18">
        <v>52.55</v>
      </c>
      <c r="S2061" s="19">
        <v>4309.9354999999996</v>
      </c>
      <c r="T2061" s="20" t="s">
        <v>99</v>
      </c>
      <c r="U2061" s="21" t="s">
        <v>100</v>
      </c>
      <c r="V2061" s="23">
        <v>39</v>
      </c>
      <c r="W2061" s="23">
        <v>1</v>
      </c>
      <c r="X2061" s="24"/>
    </row>
    <row r="2062" spans="1:24" s="1" customFormat="1" ht="35" customHeight="1" x14ac:dyDescent="0.3">
      <c r="A2062" s="11" t="s">
        <v>2869</v>
      </c>
      <c r="B2062" s="11" t="s">
        <v>2957</v>
      </c>
      <c r="C2062" s="12" t="s">
        <v>2958</v>
      </c>
      <c r="D2062" s="85"/>
      <c r="E2062" s="67" t="str">
        <f>HYPERLINK("https://www.google.ru/search?q=DR101177703C0657&amp;newwindow=1&amp;tbm=isch","Еще фото")</f>
        <v>Еще фото</v>
      </c>
      <c r="F2062" s="14"/>
      <c r="G2062" s="11" t="s">
        <v>153</v>
      </c>
      <c r="H2062" s="11" t="s">
        <v>93</v>
      </c>
      <c r="I2062" s="15" t="s">
        <v>196</v>
      </c>
      <c r="J2062" s="15" t="s">
        <v>28</v>
      </c>
      <c r="K2062" s="16" t="s">
        <v>71</v>
      </c>
      <c r="L2062" s="83" t="s">
        <v>2959</v>
      </c>
      <c r="M2062" s="15"/>
      <c r="N2062" s="15" t="s">
        <v>173</v>
      </c>
      <c r="O2062" s="15"/>
      <c r="P2062" s="16" t="s">
        <v>2960</v>
      </c>
      <c r="Q2062" s="17">
        <v>8990</v>
      </c>
      <c r="R2062" s="18">
        <v>49.3</v>
      </c>
      <c r="S2062" s="19">
        <v>5241.4355000000005</v>
      </c>
      <c r="T2062" s="20" t="s">
        <v>99</v>
      </c>
      <c r="U2062" s="21" t="s">
        <v>202</v>
      </c>
      <c r="V2062" s="23">
        <v>37</v>
      </c>
      <c r="W2062" s="23">
        <v>1</v>
      </c>
      <c r="X2062" s="24"/>
    </row>
    <row r="2063" spans="1:24" s="1" customFormat="1" ht="35" customHeight="1" x14ac:dyDescent="0.3">
      <c r="A2063" s="25" t="s">
        <v>2869</v>
      </c>
      <c r="B2063" s="25" t="s">
        <v>2957</v>
      </c>
      <c r="C2063" s="12" t="s">
        <v>2958</v>
      </c>
      <c r="D2063" s="86"/>
      <c r="E2063" s="67" t="str">
        <f>HYPERLINK("https://www.google.ru/search?q=DR101177703C0657&amp;newwindow=1&amp;tbm=isch","Еще фото")</f>
        <v>Еще фото</v>
      </c>
      <c r="F2063" s="14"/>
      <c r="G2063" s="25" t="s">
        <v>153</v>
      </c>
      <c r="H2063" s="25" t="s">
        <v>93</v>
      </c>
      <c r="I2063" s="25" t="s">
        <v>196</v>
      </c>
      <c r="J2063" s="15" t="s">
        <v>28</v>
      </c>
      <c r="K2063" s="16" t="s">
        <v>71</v>
      </c>
      <c r="L2063" s="88"/>
      <c r="M2063" s="15"/>
      <c r="N2063" s="15" t="s">
        <v>173</v>
      </c>
      <c r="O2063" s="15"/>
      <c r="P2063" s="16" t="s">
        <v>2960</v>
      </c>
      <c r="Q2063" s="17">
        <v>8990</v>
      </c>
      <c r="R2063" s="18">
        <v>49.3</v>
      </c>
      <c r="S2063" s="19">
        <v>5241.4355000000005</v>
      </c>
      <c r="T2063" s="20" t="s">
        <v>99</v>
      </c>
      <c r="U2063" s="21" t="s">
        <v>175</v>
      </c>
      <c r="V2063" s="23">
        <v>38</v>
      </c>
      <c r="W2063" s="23">
        <v>2</v>
      </c>
      <c r="X2063" s="24"/>
    </row>
    <row r="2064" spans="1:24" s="1" customFormat="1" ht="37.049999999999997" customHeight="1" x14ac:dyDescent="0.3">
      <c r="A2064" s="25" t="s">
        <v>2869</v>
      </c>
      <c r="B2064" s="25" t="s">
        <v>2957</v>
      </c>
      <c r="C2064" s="12" t="s">
        <v>2958</v>
      </c>
      <c r="D2064" s="87"/>
      <c r="E2064" s="67" t="str">
        <f>HYPERLINK("https://www.google.ru/search?q=DR101177703C0657&amp;newwindow=1&amp;tbm=isch","Еще фото")</f>
        <v>Еще фото</v>
      </c>
      <c r="F2064" s="14"/>
      <c r="G2064" s="25" t="s">
        <v>153</v>
      </c>
      <c r="H2064" s="25" t="s">
        <v>93</v>
      </c>
      <c r="I2064" s="25" t="s">
        <v>196</v>
      </c>
      <c r="J2064" s="15" t="s">
        <v>28</v>
      </c>
      <c r="K2064" s="16" t="s">
        <v>71</v>
      </c>
      <c r="L2064" s="84"/>
      <c r="M2064" s="15"/>
      <c r="N2064" s="15" t="s">
        <v>173</v>
      </c>
      <c r="O2064" s="15"/>
      <c r="P2064" s="16" t="s">
        <v>2960</v>
      </c>
      <c r="Q2064" s="17">
        <v>8990</v>
      </c>
      <c r="R2064" s="18">
        <v>49.3</v>
      </c>
      <c r="S2064" s="19">
        <v>5241.4355000000005</v>
      </c>
      <c r="T2064" s="20" t="s">
        <v>99</v>
      </c>
      <c r="U2064" s="21" t="s">
        <v>100</v>
      </c>
      <c r="V2064" s="23">
        <v>39</v>
      </c>
      <c r="W2064" s="23">
        <v>1</v>
      </c>
      <c r="X2064" s="24"/>
    </row>
    <row r="2065" spans="1:24" s="1" customFormat="1" ht="108" customHeight="1" x14ac:dyDescent="0.3">
      <c r="A2065" s="11" t="s">
        <v>2784</v>
      </c>
      <c r="B2065" s="11" t="s">
        <v>2961</v>
      </c>
      <c r="C2065" s="12" t="s">
        <v>2962</v>
      </c>
      <c r="D2065" s="13"/>
      <c r="E2065" s="67" t="str">
        <f>HYPERLINK("https://www.google.ru/search?q=101399653&amp;newwindow=1&amp;tbm=isch","Еще фото")</f>
        <v>Еще фото</v>
      </c>
      <c r="F2065" s="14"/>
      <c r="G2065" s="11" t="s">
        <v>153</v>
      </c>
      <c r="H2065" s="11" t="s">
        <v>93</v>
      </c>
      <c r="I2065" s="15" t="s">
        <v>196</v>
      </c>
      <c r="J2065" s="15" t="s">
        <v>28</v>
      </c>
      <c r="K2065" s="16" t="s">
        <v>45</v>
      </c>
      <c r="L2065" s="15"/>
      <c r="M2065" s="15"/>
      <c r="N2065" s="15" t="s">
        <v>265</v>
      </c>
      <c r="O2065" s="15"/>
      <c r="P2065" s="16" t="s">
        <v>2804</v>
      </c>
      <c r="Q2065" s="17">
        <v>9999</v>
      </c>
      <c r="R2065" s="18">
        <v>48</v>
      </c>
      <c r="S2065" s="19">
        <v>5979.4019999999991</v>
      </c>
      <c r="T2065" s="20" t="s">
        <v>99</v>
      </c>
      <c r="U2065" s="21" t="s">
        <v>100</v>
      </c>
      <c r="V2065" s="23">
        <v>39</v>
      </c>
      <c r="W2065" s="23">
        <v>1</v>
      </c>
      <c r="X2065" s="24"/>
    </row>
    <row r="2066" spans="1:24" s="1" customFormat="1" ht="17" customHeight="1" x14ac:dyDescent="0.3">
      <c r="A2066" s="11" t="s">
        <v>2784</v>
      </c>
      <c r="B2066" s="11" t="s">
        <v>2963</v>
      </c>
      <c r="C2066" s="12" t="s">
        <v>2964</v>
      </c>
      <c r="D2066" s="85"/>
      <c r="E2066" s="67" t="str">
        <f t="shared" ref="E2066:E2071" si="33">HYPERLINK("https://www.google.ru/search?q=101679481&amp;newwindow=1&amp;tbm=isch","Еще фото")</f>
        <v>Еще фото</v>
      </c>
      <c r="F2066" s="14"/>
      <c r="G2066" s="11" t="s">
        <v>153</v>
      </c>
      <c r="H2066" s="11" t="s">
        <v>93</v>
      </c>
      <c r="I2066" s="15" t="s">
        <v>196</v>
      </c>
      <c r="J2066" s="15" t="s">
        <v>82</v>
      </c>
      <c r="K2066" s="16" t="s">
        <v>29</v>
      </c>
      <c r="L2066" s="83"/>
      <c r="M2066" s="15"/>
      <c r="N2066" s="15" t="s">
        <v>38</v>
      </c>
      <c r="O2066" s="15"/>
      <c r="P2066" s="16" t="s">
        <v>2965</v>
      </c>
      <c r="Q2066" s="17">
        <v>6699</v>
      </c>
      <c r="R2066" s="18">
        <v>48</v>
      </c>
      <c r="S2066" s="19">
        <v>4006.0019999999995</v>
      </c>
      <c r="T2066" s="20" t="s">
        <v>99</v>
      </c>
      <c r="U2066" s="21" t="s">
        <v>894</v>
      </c>
      <c r="V2066" s="23">
        <v>35</v>
      </c>
      <c r="W2066" s="23">
        <v>9</v>
      </c>
      <c r="X2066" s="24"/>
    </row>
    <row r="2067" spans="1:24" s="1" customFormat="1" ht="17" customHeight="1" x14ac:dyDescent="0.3">
      <c r="A2067" s="25" t="s">
        <v>2784</v>
      </c>
      <c r="B2067" s="25" t="s">
        <v>2963</v>
      </c>
      <c r="C2067" s="12" t="s">
        <v>2964</v>
      </c>
      <c r="D2067" s="86"/>
      <c r="E2067" s="67" t="str">
        <f t="shared" si="33"/>
        <v>Еще фото</v>
      </c>
      <c r="F2067" s="14"/>
      <c r="G2067" s="25" t="s">
        <v>153</v>
      </c>
      <c r="H2067" s="25" t="s">
        <v>93</v>
      </c>
      <c r="I2067" s="25" t="s">
        <v>196</v>
      </c>
      <c r="J2067" s="15" t="s">
        <v>82</v>
      </c>
      <c r="K2067" s="16" t="s">
        <v>29</v>
      </c>
      <c r="L2067" s="88"/>
      <c r="M2067" s="15"/>
      <c r="N2067" s="15" t="s">
        <v>38</v>
      </c>
      <c r="O2067" s="15"/>
      <c r="P2067" s="16" t="s">
        <v>2965</v>
      </c>
      <c r="Q2067" s="17">
        <v>6699</v>
      </c>
      <c r="R2067" s="18">
        <v>48</v>
      </c>
      <c r="S2067" s="19">
        <v>4006.0019999999995</v>
      </c>
      <c r="T2067" s="20" t="s">
        <v>99</v>
      </c>
      <c r="U2067" s="21" t="s">
        <v>170</v>
      </c>
      <c r="V2067" s="23">
        <v>36</v>
      </c>
      <c r="W2067" s="23">
        <v>12</v>
      </c>
      <c r="X2067" s="24"/>
    </row>
    <row r="2068" spans="1:24" s="1" customFormat="1" ht="17" customHeight="1" x14ac:dyDescent="0.3">
      <c r="A2068" s="25" t="s">
        <v>2784</v>
      </c>
      <c r="B2068" s="25" t="s">
        <v>2963</v>
      </c>
      <c r="C2068" s="12" t="s">
        <v>2964</v>
      </c>
      <c r="D2068" s="86"/>
      <c r="E2068" s="67" t="str">
        <f t="shared" si="33"/>
        <v>Еще фото</v>
      </c>
      <c r="F2068" s="14"/>
      <c r="G2068" s="25" t="s">
        <v>153</v>
      </c>
      <c r="H2068" s="25" t="s">
        <v>93</v>
      </c>
      <c r="I2068" s="25" t="s">
        <v>196</v>
      </c>
      <c r="J2068" s="15" t="s">
        <v>82</v>
      </c>
      <c r="K2068" s="16" t="s">
        <v>29</v>
      </c>
      <c r="L2068" s="88"/>
      <c r="M2068" s="15"/>
      <c r="N2068" s="15" t="s">
        <v>38</v>
      </c>
      <c r="O2068" s="15"/>
      <c r="P2068" s="16" t="s">
        <v>2965</v>
      </c>
      <c r="Q2068" s="17">
        <v>6699</v>
      </c>
      <c r="R2068" s="18">
        <v>48</v>
      </c>
      <c r="S2068" s="19">
        <v>4006.0019999999995</v>
      </c>
      <c r="T2068" s="20" t="s">
        <v>99</v>
      </c>
      <c r="U2068" s="21" t="s">
        <v>202</v>
      </c>
      <c r="V2068" s="23">
        <v>37</v>
      </c>
      <c r="W2068" s="23">
        <v>16</v>
      </c>
      <c r="X2068" s="24"/>
    </row>
    <row r="2069" spans="1:24" s="1" customFormat="1" ht="17" customHeight="1" x14ac:dyDescent="0.3">
      <c r="A2069" s="25" t="s">
        <v>2784</v>
      </c>
      <c r="B2069" s="25" t="s">
        <v>2963</v>
      </c>
      <c r="C2069" s="12" t="s">
        <v>2964</v>
      </c>
      <c r="D2069" s="86"/>
      <c r="E2069" s="67" t="str">
        <f t="shared" si="33"/>
        <v>Еще фото</v>
      </c>
      <c r="F2069" s="14"/>
      <c r="G2069" s="25" t="s">
        <v>153</v>
      </c>
      <c r="H2069" s="25" t="s">
        <v>93</v>
      </c>
      <c r="I2069" s="25" t="s">
        <v>196</v>
      </c>
      <c r="J2069" s="15" t="s">
        <v>82</v>
      </c>
      <c r="K2069" s="16" t="s">
        <v>29</v>
      </c>
      <c r="L2069" s="88"/>
      <c r="M2069" s="15"/>
      <c r="N2069" s="15" t="s">
        <v>38</v>
      </c>
      <c r="O2069" s="15"/>
      <c r="P2069" s="16" t="s">
        <v>2965</v>
      </c>
      <c r="Q2069" s="17">
        <v>6699</v>
      </c>
      <c r="R2069" s="18">
        <v>48</v>
      </c>
      <c r="S2069" s="19">
        <v>4006.0019999999995</v>
      </c>
      <c r="T2069" s="20" t="s">
        <v>99</v>
      </c>
      <c r="U2069" s="21" t="s">
        <v>175</v>
      </c>
      <c r="V2069" s="23">
        <v>38</v>
      </c>
      <c r="W2069" s="23">
        <v>15</v>
      </c>
      <c r="X2069" s="24"/>
    </row>
    <row r="2070" spans="1:24" s="1" customFormat="1" ht="17" customHeight="1" x14ac:dyDescent="0.3">
      <c r="A2070" s="25" t="s">
        <v>2784</v>
      </c>
      <c r="B2070" s="25" t="s">
        <v>2963</v>
      </c>
      <c r="C2070" s="12" t="s">
        <v>2964</v>
      </c>
      <c r="D2070" s="86"/>
      <c r="E2070" s="67" t="str">
        <f t="shared" si="33"/>
        <v>Еще фото</v>
      </c>
      <c r="F2070" s="14"/>
      <c r="G2070" s="25" t="s">
        <v>153</v>
      </c>
      <c r="H2070" s="25" t="s">
        <v>93</v>
      </c>
      <c r="I2070" s="25" t="s">
        <v>196</v>
      </c>
      <c r="J2070" s="15" t="s">
        <v>82</v>
      </c>
      <c r="K2070" s="16" t="s">
        <v>29</v>
      </c>
      <c r="L2070" s="88"/>
      <c r="M2070" s="15"/>
      <c r="N2070" s="15" t="s">
        <v>38</v>
      </c>
      <c r="O2070" s="15"/>
      <c r="P2070" s="16" t="s">
        <v>2965</v>
      </c>
      <c r="Q2070" s="17">
        <v>6699</v>
      </c>
      <c r="R2070" s="18">
        <v>48</v>
      </c>
      <c r="S2070" s="19">
        <v>4006.0019999999995</v>
      </c>
      <c r="T2070" s="20" t="s">
        <v>99</v>
      </c>
      <c r="U2070" s="21" t="s">
        <v>100</v>
      </c>
      <c r="V2070" s="23">
        <v>39</v>
      </c>
      <c r="W2070" s="23">
        <v>5</v>
      </c>
      <c r="X2070" s="24"/>
    </row>
    <row r="2071" spans="1:24" s="1" customFormat="1" ht="22.05" customHeight="1" x14ac:dyDescent="0.3">
      <c r="A2071" s="25" t="s">
        <v>2784</v>
      </c>
      <c r="B2071" s="25" t="s">
        <v>2963</v>
      </c>
      <c r="C2071" s="12" t="s">
        <v>2964</v>
      </c>
      <c r="D2071" s="87"/>
      <c r="E2071" s="67" t="str">
        <f t="shared" si="33"/>
        <v>Еще фото</v>
      </c>
      <c r="F2071" s="14"/>
      <c r="G2071" s="25" t="s">
        <v>153</v>
      </c>
      <c r="H2071" s="25" t="s">
        <v>93</v>
      </c>
      <c r="I2071" s="25" t="s">
        <v>196</v>
      </c>
      <c r="J2071" s="15" t="s">
        <v>82</v>
      </c>
      <c r="K2071" s="16" t="s">
        <v>29</v>
      </c>
      <c r="L2071" s="84"/>
      <c r="M2071" s="15"/>
      <c r="N2071" s="15" t="s">
        <v>38</v>
      </c>
      <c r="O2071" s="15"/>
      <c r="P2071" s="16" t="s">
        <v>2965</v>
      </c>
      <c r="Q2071" s="17">
        <v>6699</v>
      </c>
      <c r="R2071" s="18">
        <v>48</v>
      </c>
      <c r="S2071" s="19">
        <v>4006.0019999999995</v>
      </c>
      <c r="T2071" s="20" t="s">
        <v>99</v>
      </c>
      <c r="U2071" s="21" t="s">
        <v>235</v>
      </c>
      <c r="V2071" s="23">
        <v>40</v>
      </c>
      <c r="W2071" s="23">
        <v>4</v>
      </c>
      <c r="X2071" s="24"/>
    </row>
    <row r="2072" spans="1:24" s="1" customFormat="1" ht="108" customHeight="1" x14ac:dyDescent="0.3">
      <c r="A2072" s="11" t="s">
        <v>2751</v>
      </c>
      <c r="B2072" s="11" t="s">
        <v>2966</v>
      </c>
      <c r="C2072" s="12" t="s">
        <v>2967</v>
      </c>
      <c r="D2072" s="13"/>
      <c r="E2072" s="67" t="str">
        <f>HYPERLINK("https://www.google.ru/search?q=S21790-BS501&amp;newwindow=1&amp;tbm=isch","Еще фото")</f>
        <v>Еще фото</v>
      </c>
      <c r="F2072" s="14"/>
      <c r="G2072" s="11" t="s">
        <v>153</v>
      </c>
      <c r="H2072" s="11" t="s">
        <v>93</v>
      </c>
      <c r="I2072" s="15" t="s">
        <v>196</v>
      </c>
      <c r="J2072" s="15" t="s">
        <v>28</v>
      </c>
      <c r="K2072" s="16" t="s">
        <v>71</v>
      </c>
      <c r="L2072" s="15" t="s">
        <v>2968</v>
      </c>
      <c r="M2072" s="15" t="s">
        <v>61</v>
      </c>
      <c r="N2072" s="15" t="s">
        <v>31</v>
      </c>
      <c r="O2072" s="15" t="s">
        <v>400</v>
      </c>
      <c r="P2072" s="16" t="s">
        <v>2969</v>
      </c>
      <c r="Q2072" s="17">
        <v>7399</v>
      </c>
      <c r="R2072" s="18">
        <v>45.94</v>
      </c>
      <c r="S2072" s="19">
        <v>4599.9884999999995</v>
      </c>
      <c r="T2072" s="20" t="s">
        <v>99</v>
      </c>
      <c r="U2072" s="21" t="s">
        <v>100</v>
      </c>
      <c r="V2072" s="23">
        <v>39</v>
      </c>
      <c r="W2072" s="23">
        <v>1</v>
      </c>
      <c r="X2072" s="24"/>
    </row>
    <row r="2073" spans="1:24" s="1" customFormat="1" ht="108" customHeight="1" x14ac:dyDescent="0.3">
      <c r="A2073" s="11" t="s">
        <v>2869</v>
      </c>
      <c r="B2073" s="11" t="s">
        <v>2970</v>
      </c>
      <c r="C2073" s="12" t="s">
        <v>2971</v>
      </c>
      <c r="D2073" s="13"/>
      <c r="E2073" s="67" t="str">
        <f>HYPERLINK("https://www.google.ru/search?q=DR101177704C1931&amp;newwindow=1&amp;tbm=isch","Еще фото")</f>
        <v>Еще фото</v>
      </c>
      <c r="F2073" s="14"/>
      <c r="G2073" s="11" t="s">
        <v>153</v>
      </c>
      <c r="H2073" s="11" t="s">
        <v>93</v>
      </c>
      <c r="I2073" s="15" t="s">
        <v>196</v>
      </c>
      <c r="J2073" s="15" t="s">
        <v>28</v>
      </c>
      <c r="K2073" s="16" t="s">
        <v>71</v>
      </c>
      <c r="L2073" s="15" t="s">
        <v>2972</v>
      </c>
      <c r="M2073" s="15"/>
      <c r="N2073" s="15" t="s">
        <v>2943</v>
      </c>
      <c r="O2073" s="15"/>
      <c r="P2073" s="16" t="s">
        <v>2973</v>
      </c>
      <c r="Q2073" s="17">
        <v>11999</v>
      </c>
      <c r="R2073" s="18">
        <v>45.83</v>
      </c>
      <c r="S2073" s="19">
        <v>7474.9884999999995</v>
      </c>
      <c r="T2073" s="20" t="s">
        <v>99</v>
      </c>
      <c r="U2073" s="21" t="s">
        <v>164</v>
      </c>
      <c r="V2073" s="23">
        <v>42</v>
      </c>
      <c r="W2073" s="23">
        <v>1</v>
      </c>
      <c r="X2073" s="24"/>
    </row>
    <row r="2074" spans="1:24" s="1" customFormat="1" ht="108" customHeight="1" x14ac:dyDescent="0.3">
      <c r="A2074" s="11" t="s">
        <v>2724</v>
      </c>
      <c r="B2074" s="11" t="s">
        <v>2974</v>
      </c>
      <c r="C2074" s="12" t="s">
        <v>2975</v>
      </c>
      <c r="D2074" s="13"/>
      <c r="E2074" s="67" t="str">
        <f>HYPERLINK("https://www.google.ru/search?q=747SMA003618C&amp;newwindow=1&amp;tbm=isch","Еще фото")</f>
        <v>Еще фото</v>
      </c>
      <c r="F2074" s="14"/>
      <c r="G2074" s="11" t="s">
        <v>2976</v>
      </c>
      <c r="H2074" s="11" t="s">
        <v>93</v>
      </c>
      <c r="I2074" s="15" t="s">
        <v>196</v>
      </c>
      <c r="J2074" s="15" t="s">
        <v>28</v>
      </c>
      <c r="K2074" s="16" t="s">
        <v>45</v>
      </c>
      <c r="L2074" s="15" t="s">
        <v>2977</v>
      </c>
      <c r="M2074" s="15"/>
      <c r="N2074" s="15" t="s">
        <v>2978</v>
      </c>
      <c r="O2074" s="15"/>
      <c r="P2074" s="16" t="s">
        <v>2979</v>
      </c>
      <c r="Q2074" s="17">
        <v>21999</v>
      </c>
      <c r="R2074" s="18">
        <v>45.45</v>
      </c>
      <c r="S2074" s="19">
        <v>13799.988499999999</v>
      </c>
      <c r="T2074" s="20" t="s">
        <v>333</v>
      </c>
      <c r="U2074" s="21" t="s">
        <v>2882</v>
      </c>
      <c r="V2074" s="29">
        <v>42.5</v>
      </c>
      <c r="W2074" s="23">
        <v>1</v>
      </c>
      <c r="X2074" s="24"/>
    </row>
    <row r="2075" spans="1:24" s="1" customFormat="1" ht="52.05" customHeight="1" x14ac:dyDescent="0.3">
      <c r="A2075" s="11" t="s">
        <v>2869</v>
      </c>
      <c r="B2075" s="11" t="s">
        <v>2980</v>
      </c>
      <c r="C2075" s="12" t="s">
        <v>2981</v>
      </c>
      <c r="D2075" s="81"/>
      <c r="E2075" s="67" t="str">
        <f>HYPERLINK("https://www.google.ru/search?q=DR101173744C0200&amp;newwindow=1&amp;tbm=isch","Еще фото")</f>
        <v>Еще фото</v>
      </c>
      <c r="F2075" s="14"/>
      <c r="G2075" s="11" t="s">
        <v>153</v>
      </c>
      <c r="H2075" s="11" t="s">
        <v>93</v>
      </c>
      <c r="I2075" s="15" t="s">
        <v>196</v>
      </c>
      <c r="J2075" s="15" t="s">
        <v>28</v>
      </c>
      <c r="K2075" s="16" t="s">
        <v>71</v>
      </c>
      <c r="L2075" s="83" t="s">
        <v>2982</v>
      </c>
      <c r="M2075" s="15"/>
      <c r="N2075" s="15" t="s">
        <v>38</v>
      </c>
      <c r="O2075" s="15"/>
      <c r="P2075" s="16" t="s">
        <v>2973</v>
      </c>
      <c r="Q2075" s="17">
        <v>10999</v>
      </c>
      <c r="R2075" s="18">
        <v>45.45</v>
      </c>
      <c r="S2075" s="19">
        <v>6899.9884999999995</v>
      </c>
      <c r="T2075" s="20" t="s">
        <v>333</v>
      </c>
      <c r="U2075" s="21" t="s">
        <v>335</v>
      </c>
      <c r="V2075" s="23">
        <v>38</v>
      </c>
      <c r="W2075" s="23">
        <v>1</v>
      </c>
      <c r="X2075" s="24"/>
    </row>
    <row r="2076" spans="1:24" s="1" customFormat="1" ht="61.05" customHeight="1" x14ac:dyDescent="0.3">
      <c r="A2076" s="25" t="s">
        <v>2869</v>
      </c>
      <c r="B2076" s="25" t="s">
        <v>2980</v>
      </c>
      <c r="C2076" s="12" t="s">
        <v>2981</v>
      </c>
      <c r="D2076" s="82"/>
      <c r="E2076" s="67" t="str">
        <f>HYPERLINK("https://www.google.ru/search?q=DR101173744C0200&amp;newwindow=1&amp;tbm=isch","Еще фото")</f>
        <v>Еще фото</v>
      </c>
      <c r="F2076" s="14"/>
      <c r="G2076" s="25" t="s">
        <v>153</v>
      </c>
      <c r="H2076" s="25" t="s">
        <v>93</v>
      </c>
      <c r="I2076" s="25" t="s">
        <v>196</v>
      </c>
      <c r="J2076" s="15" t="s">
        <v>28</v>
      </c>
      <c r="K2076" s="16" t="s">
        <v>71</v>
      </c>
      <c r="L2076" s="84"/>
      <c r="M2076" s="15"/>
      <c r="N2076" s="15" t="s">
        <v>38</v>
      </c>
      <c r="O2076" s="15"/>
      <c r="P2076" s="16" t="s">
        <v>2973</v>
      </c>
      <c r="Q2076" s="17">
        <v>10999</v>
      </c>
      <c r="R2076" s="18">
        <v>45.45</v>
      </c>
      <c r="S2076" s="19">
        <v>6899.9884999999995</v>
      </c>
      <c r="T2076" s="20" t="s">
        <v>333</v>
      </c>
      <c r="U2076" s="21" t="s">
        <v>2882</v>
      </c>
      <c r="V2076" s="22" t="s">
        <v>2892</v>
      </c>
      <c r="W2076" s="23">
        <v>1</v>
      </c>
      <c r="X2076" s="24"/>
    </row>
    <row r="2077" spans="1:24" s="1" customFormat="1" ht="52.05" customHeight="1" x14ac:dyDescent="0.3">
      <c r="A2077" s="11" t="s">
        <v>2869</v>
      </c>
      <c r="B2077" s="11" t="s">
        <v>2980</v>
      </c>
      <c r="C2077" s="12" t="s">
        <v>2983</v>
      </c>
      <c r="D2077" s="81"/>
      <c r="E2077" s="67" t="str">
        <f>HYPERLINK("https://www.google.ru/search?q=DR101173744C0657&amp;newwindow=1&amp;tbm=isch","Еще фото")</f>
        <v>Еще фото</v>
      </c>
      <c r="F2077" s="14"/>
      <c r="G2077" s="11" t="s">
        <v>153</v>
      </c>
      <c r="H2077" s="11" t="s">
        <v>93</v>
      </c>
      <c r="I2077" s="15" t="s">
        <v>196</v>
      </c>
      <c r="J2077" s="15" t="s">
        <v>28</v>
      </c>
      <c r="K2077" s="16" t="s">
        <v>71</v>
      </c>
      <c r="L2077" s="83" t="s">
        <v>2984</v>
      </c>
      <c r="M2077" s="15"/>
      <c r="N2077" s="15" t="s">
        <v>173</v>
      </c>
      <c r="O2077" s="15"/>
      <c r="P2077" s="16" t="s">
        <v>2973</v>
      </c>
      <c r="Q2077" s="17">
        <v>10999</v>
      </c>
      <c r="R2077" s="18">
        <v>45.45</v>
      </c>
      <c r="S2077" s="19">
        <v>6899.9884999999995</v>
      </c>
      <c r="T2077" s="20" t="s">
        <v>333</v>
      </c>
      <c r="U2077" s="21" t="s">
        <v>159</v>
      </c>
      <c r="V2077" s="23">
        <v>36</v>
      </c>
      <c r="W2077" s="23">
        <v>1</v>
      </c>
      <c r="X2077" s="24"/>
    </row>
    <row r="2078" spans="1:24" s="1" customFormat="1" ht="61.05" customHeight="1" x14ac:dyDescent="0.3">
      <c r="A2078" s="25" t="s">
        <v>2869</v>
      </c>
      <c r="B2078" s="25" t="s">
        <v>2980</v>
      </c>
      <c r="C2078" s="12" t="s">
        <v>2983</v>
      </c>
      <c r="D2078" s="82"/>
      <c r="E2078" s="67" t="str">
        <f>HYPERLINK("https://www.google.ru/search?q=DR101173744C0657&amp;newwindow=1&amp;tbm=isch","Еще фото")</f>
        <v>Еще фото</v>
      </c>
      <c r="F2078" s="14"/>
      <c r="G2078" s="25" t="s">
        <v>153</v>
      </c>
      <c r="H2078" s="25" t="s">
        <v>93</v>
      </c>
      <c r="I2078" s="25" t="s">
        <v>196</v>
      </c>
      <c r="J2078" s="15" t="s">
        <v>28</v>
      </c>
      <c r="K2078" s="16" t="s">
        <v>71</v>
      </c>
      <c r="L2078" s="84"/>
      <c r="M2078" s="15"/>
      <c r="N2078" s="15" t="s">
        <v>173</v>
      </c>
      <c r="O2078" s="15"/>
      <c r="P2078" s="16" t="s">
        <v>2973</v>
      </c>
      <c r="Q2078" s="17">
        <v>10999</v>
      </c>
      <c r="R2078" s="18">
        <v>45.45</v>
      </c>
      <c r="S2078" s="19">
        <v>6899.9884999999995</v>
      </c>
      <c r="T2078" s="20" t="s">
        <v>333</v>
      </c>
      <c r="U2078" s="21" t="s">
        <v>345</v>
      </c>
      <c r="V2078" s="23">
        <v>42</v>
      </c>
      <c r="W2078" s="23">
        <v>1</v>
      </c>
      <c r="X2078" s="24"/>
    </row>
    <row r="2079" spans="1:24" s="1" customFormat="1" ht="108" customHeight="1" x14ac:dyDescent="0.3">
      <c r="A2079" s="11" t="s">
        <v>2869</v>
      </c>
      <c r="B2079" s="11" t="s">
        <v>2985</v>
      </c>
      <c r="C2079" s="12" t="s">
        <v>2986</v>
      </c>
      <c r="D2079" s="13"/>
      <c r="E2079" s="67" t="str">
        <f>HYPERLINK("https://www.google.ru/search?q=DR101179360D0252&amp;newwindow=1&amp;tbm=isch","Еще фото")</f>
        <v>Еще фото</v>
      </c>
      <c r="F2079" s="14"/>
      <c r="G2079" s="11" t="s">
        <v>153</v>
      </c>
      <c r="H2079" s="11" t="s">
        <v>93</v>
      </c>
      <c r="I2079" s="15" t="s">
        <v>196</v>
      </c>
      <c r="J2079" s="15" t="s">
        <v>360</v>
      </c>
      <c r="K2079" s="16" t="s">
        <v>29</v>
      </c>
      <c r="L2079" s="15" t="s">
        <v>2987</v>
      </c>
      <c r="M2079" s="15"/>
      <c r="N2079" s="15" t="s">
        <v>212</v>
      </c>
      <c r="O2079" s="15"/>
      <c r="P2079" s="16" t="s">
        <v>2988</v>
      </c>
      <c r="Q2079" s="17">
        <v>21990</v>
      </c>
      <c r="R2079" s="18">
        <v>45.43</v>
      </c>
      <c r="S2079" s="19">
        <v>13799.988499999999</v>
      </c>
      <c r="T2079" s="20" t="s">
        <v>333</v>
      </c>
      <c r="U2079" s="21" t="s">
        <v>349</v>
      </c>
      <c r="V2079" s="23">
        <v>37</v>
      </c>
      <c r="W2079" s="23">
        <v>1</v>
      </c>
      <c r="X2079" s="24"/>
    </row>
    <row r="2080" spans="1:24" s="1" customFormat="1" ht="52.05" customHeight="1" x14ac:dyDescent="0.3">
      <c r="A2080" s="11" t="s">
        <v>2869</v>
      </c>
      <c r="B2080" s="11" t="s">
        <v>2989</v>
      </c>
      <c r="C2080" s="12" t="s">
        <v>2990</v>
      </c>
      <c r="D2080" s="81"/>
      <c r="E2080" s="67" t="str">
        <f>HYPERLINK("https://www.google.ru/search?q=DR101178324D0314&amp;newwindow=1&amp;tbm=isch","Еще фото")</f>
        <v>Еще фото</v>
      </c>
      <c r="F2080" s="14"/>
      <c r="G2080" s="11" t="s">
        <v>153</v>
      </c>
      <c r="H2080" s="11" t="s">
        <v>93</v>
      </c>
      <c r="I2080" s="15" t="s">
        <v>196</v>
      </c>
      <c r="J2080" s="15" t="s">
        <v>28</v>
      </c>
      <c r="K2080" s="16" t="s">
        <v>45</v>
      </c>
      <c r="L2080" s="83" t="s">
        <v>2991</v>
      </c>
      <c r="M2080" s="15"/>
      <c r="N2080" s="15" t="s">
        <v>173</v>
      </c>
      <c r="O2080" s="15"/>
      <c r="P2080" s="16" t="s">
        <v>2992</v>
      </c>
      <c r="Q2080" s="17">
        <v>10790</v>
      </c>
      <c r="R2080" s="18">
        <v>45.32</v>
      </c>
      <c r="S2080" s="19">
        <v>6784.9884999999995</v>
      </c>
      <c r="T2080" s="20" t="s">
        <v>99</v>
      </c>
      <c r="U2080" s="21" t="s">
        <v>175</v>
      </c>
      <c r="V2080" s="23">
        <v>38</v>
      </c>
      <c r="W2080" s="23">
        <v>2</v>
      </c>
      <c r="X2080" s="24"/>
    </row>
    <row r="2081" spans="1:24" s="1" customFormat="1" ht="61.05" customHeight="1" x14ac:dyDescent="0.3">
      <c r="A2081" s="25" t="s">
        <v>2869</v>
      </c>
      <c r="B2081" s="25" t="s">
        <v>2989</v>
      </c>
      <c r="C2081" s="12" t="s">
        <v>2990</v>
      </c>
      <c r="D2081" s="82"/>
      <c r="E2081" s="67" t="str">
        <f>HYPERLINK("https://www.google.ru/search?q=DR101178324D0314&amp;newwindow=1&amp;tbm=isch","Еще фото")</f>
        <v>Еще фото</v>
      </c>
      <c r="F2081" s="14"/>
      <c r="G2081" s="25" t="s">
        <v>153</v>
      </c>
      <c r="H2081" s="25" t="s">
        <v>93</v>
      </c>
      <c r="I2081" s="25" t="s">
        <v>196</v>
      </c>
      <c r="J2081" s="15" t="s">
        <v>28</v>
      </c>
      <c r="K2081" s="16" t="s">
        <v>45</v>
      </c>
      <c r="L2081" s="84"/>
      <c r="M2081" s="15"/>
      <c r="N2081" s="15" t="s">
        <v>173</v>
      </c>
      <c r="O2081" s="15"/>
      <c r="P2081" s="16" t="s">
        <v>2992</v>
      </c>
      <c r="Q2081" s="17">
        <v>10790</v>
      </c>
      <c r="R2081" s="18">
        <v>45.32</v>
      </c>
      <c r="S2081" s="19">
        <v>6784.9884999999995</v>
      </c>
      <c r="T2081" s="20" t="s">
        <v>99</v>
      </c>
      <c r="U2081" s="21" t="s">
        <v>100</v>
      </c>
      <c r="V2081" s="23">
        <v>39</v>
      </c>
      <c r="W2081" s="23">
        <v>3</v>
      </c>
      <c r="X2081" s="24"/>
    </row>
    <row r="2082" spans="1:24" s="1" customFormat="1" ht="108" customHeight="1" x14ac:dyDescent="0.3">
      <c r="A2082" s="11" t="s">
        <v>2724</v>
      </c>
      <c r="B2082" s="11" t="s">
        <v>2993</v>
      </c>
      <c r="C2082" s="12" t="s">
        <v>2994</v>
      </c>
      <c r="D2082" s="13"/>
      <c r="E2082" s="67" t="str">
        <f>HYPERLINK("https://www.google.ru/search?q=747SMA01112R2&amp;newwindow=1&amp;tbm=isch","Еще фото")</f>
        <v>Еще фото</v>
      </c>
      <c r="F2082" s="14"/>
      <c r="G2082" s="11" t="s">
        <v>2976</v>
      </c>
      <c r="H2082" s="11" t="s">
        <v>93</v>
      </c>
      <c r="I2082" s="15" t="s">
        <v>196</v>
      </c>
      <c r="J2082" s="15" t="s">
        <v>28</v>
      </c>
      <c r="K2082" s="16" t="s">
        <v>45</v>
      </c>
      <c r="L2082" s="15" t="s">
        <v>2995</v>
      </c>
      <c r="M2082" s="15"/>
      <c r="N2082" s="15" t="s">
        <v>2996</v>
      </c>
      <c r="O2082" s="15"/>
      <c r="P2082" s="16" t="s">
        <v>2997</v>
      </c>
      <c r="Q2082" s="17">
        <v>22599</v>
      </c>
      <c r="R2082" s="18">
        <v>45.13</v>
      </c>
      <c r="S2082" s="19">
        <v>14259.988499999999</v>
      </c>
      <c r="T2082" s="20" t="s">
        <v>333</v>
      </c>
      <c r="U2082" s="21" t="s">
        <v>343</v>
      </c>
      <c r="V2082" s="23">
        <v>42</v>
      </c>
      <c r="W2082" s="23">
        <v>1</v>
      </c>
      <c r="X2082" s="24"/>
    </row>
    <row r="2083" spans="1:24" s="1" customFormat="1" ht="21" customHeight="1" x14ac:dyDescent="0.3">
      <c r="A2083" s="11" t="s">
        <v>2784</v>
      </c>
      <c r="B2083" s="11" t="s">
        <v>2998</v>
      </c>
      <c r="C2083" s="27" t="s">
        <v>2999</v>
      </c>
      <c r="D2083" s="85"/>
      <c r="E2083" s="67" t="str">
        <f>HYPERLINK("https://www.google.ru/search?q=101188182&amp;newwindow=1&amp;tbm=isch","Еще фото")</f>
        <v>Еще фото</v>
      </c>
      <c r="F2083" s="14"/>
      <c r="G2083" s="11" t="s">
        <v>92</v>
      </c>
      <c r="H2083" s="11" t="s">
        <v>93</v>
      </c>
      <c r="I2083" s="15" t="s">
        <v>196</v>
      </c>
      <c r="J2083" s="15" t="s">
        <v>82</v>
      </c>
      <c r="K2083" s="16" t="s">
        <v>29</v>
      </c>
      <c r="L2083" s="83"/>
      <c r="M2083" s="15"/>
      <c r="N2083" s="15" t="s">
        <v>38</v>
      </c>
      <c r="O2083" s="15"/>
      <c r="P2083" s="16" t="s">
        <v>3000</v>
      </c>
      <c r="Q2083" s="17">
        <v>6699</v>
      </c>
      <c r="R2083" s="18">
        <v>45</v>
      </c>
      <c r="S2083" s="19">
        <v>4237.1174999999994</v>
      </c>
      <c r="T2083" s="20" t="s">
        <v>99</v>
      </c>
      <c r="U2083" s="21" t="s">
        <v>894</v>
      </c>
      <c r="V2083" s="23">
        <v>35</v>
      </c>
      <c r="W2083" s="23">
        <v>4</v>
      </c>
      <c r="X2083" s="24"/>
    </row>
    <row r="2084" spans="1:24" s="1" customFormat="1" ht="21" customHeight="1" x14ac:dyDescent="0.3">
      <c r="A2084" s="25" t="s">
        <v>2784</v>
      </c>
      <c r="B2084" s="25" t="s">
        <v>2998</v>
      </c>
      <c r="C2084" s="28" t="s">
        <v>2999</v>
      </c>
      <c r="D2084" s="86"/>
      <c r="E2084" s="67" t="str">
        <f>HYPERLINK("https://www.google.ru/search?q=101188182&amp;newwindow=1&amp;tbm=isch","Еще фото")</f>
        <v>Еще фото</v>
      </c>
      <c r="F2084" s="14"/>
      <c r="G2084" s="25" t="s">
        <v>92</v>
      </c>
      <c r="H2084" s="25" t="s">
        <v>93</v>
      </c>
      <c r="I2084" s="25" t="s">
        <v>196</v>
      </c>
      <c r="J2084" s="15" t="s">
        <v>82</v>
      </c>
      <c r="K2084" s="16" t="s">
        <v>29</v>
      </c>
      <c r="L2084" s="88"/>
      <c r="M2084" s="15"/>
      <c r="N2084" s="15" t="s">
        <v>38</v>
      </c>
      <c r="O2084" s="15"/>
      <c r="P2084" s="16" t="s">
        <v>3000</v>
      </c>
      <c r="Q2084" s="17">
        <v>6699</v>
      </c>
      <c r="R2084" s="18">
        <v>45</v>
      </c>
      <c r="S2084" s="19">
        <v>4237.1174999999994</v>
      </c>
      <c r="T2084" s="20" t="s">
        <v>99</v>
      </c>
      <c r="U2084" s="21" t="s">
        <v>170</v>
      </c>
      <c r="V2084" s="23">
        <v>36</v>
      </c>
      <c r="W2084" s="23">
        <v>8</v>
      </c>
      <c r="X2084" s="24"/>
    </row>
    <row r="2085" spans="1:24" s="1" customFormat="1" ht="21" customHeight="1" x14ac:dyDescent="0.3">
      <c r="A2085" s="25" t="s">
        <v>2784</v>
      </c>
      <c r="B2085" s="25" t="s">
        <v>2998</v>
      </c>
      <c r="C2085" s="28" t="s">
        <v>2999</v>
      </c>
      <c r="D2085" s="86"/>
      <c r="E2085" s="67" t="str">
        <f>HYPERLINK("https://www.google.ru/search?q=101188182&amp;newwindow=1&amp;tbm=isch","Еще фото")</f>
        <v>Еще фото</v>
      </c>
      <c r="F2085" s="14"/>
      <c r="G2085" s="25" t="s">
        <v>92</v>
      </c>
      <c r="H2085" s="25" t="s">
        <v>93</v>
      </c>
      <c r="I2085" s="25" t="s">
        <v>196</v>
      </c>
      <c r="J2085" s="15" t="s">
        <v>82</v>
      </c>
      <c r="K2085" s="16" t="s">
        <v>29</v>
      </c>
      <c r="L2085" s="88"/>
      <c r="M2085" s="15"/>
      <c r="N2085" s="15" t="s">
        <v>38</v>
      </c>
      <c r="O2085" s="15"/>
      <c r="P2085" s="16" t="s">
        <v>3000</v>
      </c>
      <c r="Q2085" s="17">
        <v>6699</v>
      </c>
      <c r="R2085" s="18">
        <v>45</v>
      </c>
      <c r="S2085" s="19">
        <v>4237.1174999999994</v>
      </c>
      <c r="T2085" s="20" t="s">
        <v>99</v>
      </c>
      <c r="U2085" s="21" t="s">
        <v>202</v>
      </c>
      <c r="V2085" s="23">
        <v>37</v>
      </c>
      <c r="W2085" s="23">
        <v>9</v>
      </c>
      <c r="X2085" s="24"/>
    </row>
    <row r="2086" spans="1:24" s="1" customFormat="1" ht="21" customHeight="1" x14ac:dyDescent="0.3">
      <c r="A2086" s="25" t="s">
        <v>2784</v>
      </c>
      <c r="B2086" s="25" t="s">
        <v>2998</v>
      </c>
      <c r="C2086" s="28" t="s">
        <v>2999</v>
      </c>
      <c r="D2086" s="86"/>
      <c r="E2086" s="67" t="str">
        <f>HYPERLINK("https://www.google.ru/search?q=101188182&amp;newwindow=1&amp;tbm=isch","Еще фото")</f>
        <v>Еще фото</v>
      </c>
      <c r="F2086" s="14"/>
      <c r="G2086" s="25" t="s">
        <v>92</v>
      </c>
      <c r="H2086" s="25" t="s">
        <v>93</v>
      </c>
      <c r="I2086" s="25" t="s">
        <v>196</v>
      </c>
      <c r="J2086" s="15" t="s">
        <v>82</v>
      </c>
      <c r="K2086" s="16" t="s">
        <v>29</v>
      </c>
      <c r="L2086" s="88"/>
      <c r="M2086" s="15"/>
      <c r="N2086" s="15" t="s">
        <v>38</v>
      </c>
      <c r="O2086" s="15"/>
      <c r="P2086" s="16" t="s">
        <v>3000</v>
      </c>
      <c r="Q2086" s="17">
        <v>6699</v>
      </c>
      <c r="R2086" s="18">
        <v>45</v>
      </c>
      <c r="S2086" s="19">
        <v>4237.1174999999994</v>
      </c>
      <c r="T2086" s="20" t="s">
        <v>99</v>
      </c>
      <c r="U2086" s="21" t="s">
        <v>175</v>
      </c>
      <c r="V2086" s="23">
        <v>38</v>
      </c>
      <c r="W2086" s="23">
        <v>8</v>
      </c>
      <c r="X2086" s="24"/>
    </row>
    <row r="2087" spans="1:24" s="1" customFormat="1" ht="32" customHeight="1" x14ac:dyDescent="0.3">
      <c r="A2087" s="25" t="s">
        <v>2784</v>
      </c>
      <c r="B2087" s="25" t="s">
        <v>2998</v>
      </c>
      <c r="C2087" s="28" t="s">
        <v>2999</v>
      </c>
      <c r="D2087" s="87"/>
      <c r="E2087" s="67" t="str">
        <f>HYPERLINK("https://www.google.ru/search?q=101188182&amp;newwindow=1&amp;tbm=isch","Еще фото")</f>
        <v>Еще фото</v>
      </c>
      <c r="F2087" s="14"/>
      <c r="G2087" s="25" t="s">
        <v>92</v>
      </c>
      <c r="H2087" s="25" t="s">
        <v>93</v>
      </c>
      <c r="I2087" s="25" t="s">
        <v>196</v>
      </c>
      <c r="J2087" s="15" t="s">
        <v>82</v>
      </c>
      <c r="K2087" s="16" t="s">
        <v>29</v>
      </c>
      <c r="L2087" s="84"/>
      <c r="M2087" s="15"/>
      <c r="N2087" s="15" t="s">
        <v>38</v>
      </c>
      <c r="O2087" s="15"/>
      <c r="P2087" s="16" t="s">
        <v>3000</v>
      </c>
      <c r="Q2087" s="17">
        <v>6699</v>
      </c>
      <c r="R2087" s="18">
        <v>45</v>
      </c>
      <c r="S2087" s="19">
        <v>4237.1174999999994</v>
      </c>
      <c r="T2087" s="20" t="s">
        <v>99</v>
      </c>
      <c r="U2087" s="21" t="s">
        <v>235</v>
      </c>
      <c r="V2087" s="23">
        <v>40</v>
      </c>
      <c r="W2087" s="23">
        <v>1</v>
      </c>
      <c r="X2087" s="24"/>
    </row>
    <row r="2088" spans="1:24" s="1" customFormat="1" ht="108" customHeight="1" x14ac:dyDescent="0.3">
      <c r="A2088" s="11" t="s">
        <v>2784</v>
      </c>
      <c r="B2088" s="11" t="s">
        <v>3001</v>
      </c>
      <c r="C2088" s="12" t="s">
        <v>3002</v>
      </c>
      <c r="D2088" s="13"/>
      <c r="E2088" s="67" t="str">
        <f>HYPERLINK("https://www.google.ru/search?q=101190043&amp;newwindow=1&amp;tbm=isch","Еще фото")</f>
        <v>Еще фото</v>
      </c>
      <c r="F2088" s="14"/>
      <c r="G2088" s="11" t="s">
        <v>92</v>
      </c>
      <c r="H2088" s="11" t="s">
        <v>93</v>
      </c>
      <c r="I2088" s="15" t="s">
        <v>196</v>
      </c>
      <c r="J2088" s="15" t="s">
        <v>28</v>
      </c>
      <c r="K2088" s="16" t="s">
        <v>59</v>
      </c>
      <c r="L2088" s="15"/>
      <c r="M2088" s="15"/>
      <c r="N2088" s="15" t="s">
        <v>38</v>
      </c>
      <c r="O2088" s="15"/>
      <c r="P2088" s="16" t="s">
        <v>3003</v>
      </c>
      <c r="Q2088" s="17">
        <v>3699</v>
      </c>
      <c r="R2088" s="18">
        <v>45</v>
      </c>
      <c r="S2088" s="19">
        <v>2339.6174999999998</v>
      </c>
      <c r="T2088" s="20" t="s">
        <v>63</v>
      </c>
      <c r="U2088" s="21" t="s">
        <v>801</v>
      </c>
      <c r="V2088" s="23">
        <v>32</v>
      </c>
      <c r="W2088" s="23">
        <v>2</v>
      </c>
      <c r="X2088" s="24"/>
    </row>
    <row r="2089" spans="1:24" s="1" customFormat="1" ht="108" customHeight="1" x14ac:dyDescent="0.3">
      <c r="A2089" s="11" t="s">
        <v>2784</v>
      </c>
      <c r="B2089" s="11" t="s">
        <v>3004</v>
      </c>
      <c r="C2089" s="12" t="s">
        <v>3005</v>
      </c>
      <c r="D2089" s="13"/>
      <c r="E2089" s="67" t="str">
        <f>HYPERLINK("https://www.google.ru/search?q=101232861&amp;newwindow=1&amp;tbm=isch","Еще фото")</f>
        <v>Еще фото</v>
      </c>
      <c r="F2089" s="14"/>
      <c r="G2089" s="11" t="s">
        <v>153</v>
      </c>
      <c r="H2089" s="11" t="s">
        <v>93</v>
      </c>
      <c r="I2089" s="15" t="s">
        <v>196</v>
      </c>
      <c r="J2089" s="15" t="s">
        <v>28</v>
      </c>
      <c r="K2089" s="16" t="s">
        <v>29</v>
      </c>
      <c r="L2089" s="15"/>
      <c r="M2089" s="15"/>
      <c r="N2089" s="15" t="s">
        <v>38</v>
      </c>
      <c r="O2089" s="15"/>
      <c r="P2089" s="16" t="s">
        <v>239</v>
      </c>
      <c r="Q2089" s="17">
        <v>5199</v>
      </c>
      <c r="R2089" s="18">
        <v>45</v>
      </c>
      <c r="S2089" s="19">
        <v>3288.3674999999994</v>
      </c>
      <c r="T2089" s="20" t="s">
        <v>99</v>
      </c>
      <c r="U2089" s="21" t="s">
        <v>214</v>
      </c>
      <c r="V2089" s="23">
        <v>34</v>
      </c>
      <c r="W2089" s="23">
        <v>1</v>
      </c>
      <c r="X2089" s="24"/>
    </row>
    <row r="2090" spans="1:24" s="1" customFormat="1" ht="108" customHeight="1" x14ac:dyDescent="0.3">
      <c r="A2090" s="11" t="s">
        <v>2784</v>
      </c>
      <c r="B2090" s="11" t="s">
        <v>3006</v>
      </c>
      <c r="C2090" s="12" t="s">
        <v>3007</v>
      </c>
      <c r="D2090" s="13"/>
      <c r="E2090" s="67" t="str">
        <f>HYPERLINK("https://www.google.ru/search?q=101385943&amp;newwindow=1&amp;tbm=isch","Еще фото")</f>
        <v>Еще фото</v>
      </c>
      <c r="F2090" s="14"/>
      <c r="G2090" s="11" t="s">
        <v>92</v>
      </c>
      <c r="H2090" s="11" t="s">
        <v>93</v>
      </c>
      <c r="I2090" s="15" t="s">
        <v>196</v>
      </c>
      <c r="J2090" s="15" t="s">
        <v>82</v>
      </c>
      <c r="K2090" s="16" t="s">
        <v>45</v>
      </c>
      <c r="L2090" s="15"/>
      <c r="M2090" s="15"/>
      <c r="N2090" s="15" t="s">
        <v>38</v>
      </c>
      <c r="O2090" s="15"/>
      <c r="P2090" s="16" t="s">
        <v>2798</v>
      </c>
      <c r="Q2090" s="17">
        <v>13999</v>
      </c>
      <c r="R2090" s="18">
        <v>45</v>
      </c>
      <c r="S2090" s="19">
        <v>8854.3674999999985</v>
      </c>
      <c r="T2090" s="20" t="s">
        <v>99</v>
      </c>
      <c r="U2090" s="21" t="s">
        <v>164</v>
      </c>
      <c r="V2090" s="23">
        <v>41</v>
      </c>
      <c r="W2090" s="23">
        <v>4</v>
      </c>
      <c r="X2090" s="24"/>
    </row>
    <row r="2091" spans="1:24" s="1" customFormat="1" ht="52.05" customHeight="1" x14ac:dyDescent="0.3">
      <c r="A2091" s="11" t="s">
        <v>2784</v>
      </c>
      <c r="B2091" s="11" t="s">
        <v>2998</v>
      </c>
      <c r="C2091" s="12" t="s">
        <v>3008</v>
      </c>
      <c r="D2091" s="81"/>
      <c r="E2091" s="67" t="str">
        <f>HYPERLINK("https://www.google.ru/search?q=101385991&amp;newwindow=1&amp;tbm=isch","Еще фото")</f>
        <v>Еще фото</v>
      </c>
      <c r="F2091" s="14"/>
      <c r="G2091" s="11" t="s">
        <v>92</v>
      </c>
      <c r="H2091" s="11" t="s">
        <v>93</v>
      </c>
      <c r="I2091" s="15" t="s">
        <v>196</v>
      </c>
      <c r="J2091" s="15" t="s">
        <v>82</v>
      </c>
      <c r="K2091" s="16" t="s">
        <v>45</v>
      </c>
      <c r="L2091" s="83"/>
      <c r="M2091" s="15"/>
      <c r="N2091" s="15" t="s">
        <v>38</v>
      </c>
      <c r="O2091" s="15"/>
      <c r="P2091" s="16" t="s">
        <v>2965</v>
      </c>
      <c r="Q2091" s="17">
        <v>7399</v>
      </c>
      <c r="R2091" s="18">
        <v>45</v>
      </c>
      <c r="S2091" s="19">
        <v>4679.8674999999994</v>
      </c>
      <c r="T2091" s="20" t="s">
        <v>99</v>
      </c>
      <c r="U2091" s="21" t="s">
        <v>235</v>
      </c>
      <c r="V2091" s="23">
        <v>40</v>
      </c>
      <c r="W2091" s="23">
        <v>4</v>
      </c>
      <c r="X2091" s="24"/>
    </row>
    <row r="2092" spans="1:24" s="1" customFormat="1" ht="61.05" customHeight="1" x14ac:dyDescent="0.3">
      <c r="A2092" s="25" t="s">
        <v>2784</v>
      </c>
      <c r="B2092" s="25" t="s">
        <v>2998</v>
      </c>
      <c r="C2092" s="12" t="s">
        <v>3008</v>
      </c>
      <c r="D2092" s="82"/>
      <c r="E2092" s="67" t="str">
        <f>HYPERLINK("https://www.google.ru/search?q=101385991&amp;newwindow=1&amp;tbm=isch","Еще фото")</f>
        <v>Еще фото</v>
      </c>
      <c r="F2092" s="14"/>
      <c r="G2092" s="25" t="s">
        <v>92</v>
      </c>
      <c r="H2092" s="25" t="s">
        <v>93</v>
      </c>
      <c r="I2092" s="25" t="s">
        <v>196</v>
      </c>
      <c r="J2092" s="15" t="s">
        <v>82</v>
      </c>
      <c r="K2092" s="16" t="s">
        <v>45</v>
      </c>
      <c r="L2092" s="84"/>
      <c r="M2092" s="15"/>
      <c r="N2092" s="15" t="s">
        <v>38</v>
      </c>
      <c r="O2092" s="15"/>
      <c r="P2092" s="16" t="s">
        <v>2965</v>
      </c>
      <c r="Q2092" s="17">
        <v>7399</v>
      </c>
      <c r="R2092" s="18">
        <v>45</v>
      </c>
      <c r="S2092" s="19">
        <v>4679.8674999999994</v>
      </c>
      <c r="T2092" s="20" t="s">
        <v>99</v>
      </c>
      <c r="U2092" s="21" t="s">
        <v>164</v>
      </c>
      <c r="V2092" s="23">
        <v>41</v>
      </c>
      <c r="W2092" s="23">
        <v>9</v>
      </c>
      <c r="X2092" s="24"/>
    </row>
    <row r="2093" spans="1:24" s="1" customFormat="1" ht="52.05" customHeight="1" x14ac:dyDescent="0.3">
      <c r="A2093" s="11" t="s">
        <v>2784</v>
      </c>
      <c r="B2093" s="11" t="s">
        <v>3009</v>
      </c>
      <c r="C2093" s="12" t="s">
        <v>3010</v>
      </c>
      <c r="D2093" s="81"/>
      <c r="E2093" s="67" t="str">
        <f>HYPERLINK("https://www.google.ru/search?q=101386047&amp;newwindow=1&amp;tbm=isch","Еще фото")</f>
        <v>Еще фото</v>
      </c>
      <c r="F2093" s="14"/>
      <c r="G2093" s="11" t="s">
        <v>153</v>
      </c>
      <c r="H2093" s="11" t="s">
        <v>93</v>
      </c>
      <c r="I2093" s="15" t="s">
        <v>196</v>
      </c>
      <c r="J2093" s="15" t="s">
        <v>28</v>
      </c>
      <c r="K2093" s="16" t="s">
        <v>29</v>
      </c>
      <c r="L2093" s="83"/>
      <c r="M2093" s="15"/>
      <c r="N2093" s="15" t="s">
        <v>38</v>
      </c>
      <c r="O2093" s="15"/>
      <c r="P2093" s="16" t="s">
        <v>2823</v>
      </c>
      <c r="Q2093" s="17">
        <v>7299</v>
      </c>
      <c r="R2093" s="18">
        <v>45</v>
      </c>
      <c r="S2093" s="19">
        <v>4616.6174999999994</v>
      </c>
      <c r="T2093" s="20" t="s">
        <v>99</v>
      </c>
      <c r="U2093" s="21" t="s">
        <v>214</v>
      </c>
      <c r="V2093" s="23">
        <v>34</v>
      </c>
      <c r="W2093" s="23">
        <v>1</v>
      </c>
      <c r="X2093" s="24"/>
    </row>
    <row r="2094" spans="1:24" s="1" customFormat="1" ht="61.05" customHeight="1" x14ac:dyDescent="0.3">
      <c r="A2094" s="25" t="s">
        <v>2784</v>
      </c>
      <c r="B2094" s="25" t="s">
        <v>3009</v>
      </c>
      <c r="C2094" s="12" t="s">
        <v>3010</v>
      </c>
      <c r="D2094" s="82"/>
      <c r="E2094" s="67" t="str">
        <f>HYPERLINK("https://www.google.ru/search?q=101386047&amp;newwindow=1&amp;tbm=isch","Еще фото")</f>
        <v>Еще фото</v>
      </c>
      <c r="F2094" s="14"/>
      <c r="G2094" s="25" t="s">
        <v>153</v>
      </c>
      <c r="H2094" s="25" t="s">
        <v>93</v>
      </c>
      <c r="I2094" s="25" t="s">
        <v>196</v>
      </c>
      <c r="J2094" s="15" t="s">
        <v>28</v>
      </c>
      <c r="K2094" s="16" t="s">
        <v>29</v>
      </c>
      <c r="L2094" s="84"/>
      <c r="M2094" s="15"/>
      <c r="N2094" s="15" t="s">
        <v>38</v>
      </c>
      <c r="O2094" s="15"/>
      <c r="P2094" s="16" t="s">
        <v>2823</v>
      </c>
      <c r="Q2094" s="17">
        <v>7299</v>
      </c>
      <c r="R2094" s="18">
        <v>45</v>
      </c>
      <c r="S2094" s="19">
        <v>4616.6174999999994</v>
      </c>
      <c r="T2094" s="20" t="s">
        <v>99</v>
      </c>
      <c r="U2094" s="21" t="s">
        <v>894</v>
      </c>
      <c r="V2094" s="23">
        <v>35</v>
      </c>
      <c r="W2094" s="23">
        <v>1</v>
      </c>
      <c r="X2094" s="24"/>
    </row>
    <row r="2095" spans="1:24" s="1" customFormat="1" ht="17" customHeight="1" x14ac:dyDescent="0.3">
      <c r="A2095" s="11" t="s">
        <v>2784</v>
      </c>
      <c r="B2095" s="11" t="s">
        <v>2998</v>
      </c>
      <c r="C2095" s="12" t="s">
        <v>3011</v>
      </c>
      <c r="D2095" s="85"/>
      <c r="E2095" s="67" t="str">
        <f t="shared" ref="E2095:E2100" si="34">HYPERLINK("https://www.google.ru/search?q=101396780&amp;newwindow=1&amp;tbm=isch","Еще фото")</f>
        <v>Еще фото</v>
      </c>
      <c r="F2095" s="14"/>
      <c r="G2095" s="11" t="s">
        <v>92</v>
      </c>
      <c r="H2095" s="11" t="s">
        <v>93</v>
      </c>
      <c r="I2095" s="15" t="s">
        <v>196</v>
      </c>
      <c r="J2095" s="15" t="s">
        <v>82</v>
      </c>
      <c r="K2095" s="16" t="s">
        <v>29</v>
      </c>
      <c r="L2095" s="83"/>
      <c r="M2095" s="15"/>
      <c r="N2095" s="15" t="s">
        <v>38</v>
      </c>
      <c r="O2095" s="15"/>
      <c r="P2095" s="16" t="s">
        <v>2965</v>
      </c>
      <c r="Q2095" s="17">
        <v>7399</v>
      </c>
      <c r="R2095" s="18">
        <v>45</v>
      </c>
      <c r="S2095" s="19">
        <v>4679.8674999999994</v>
      </c>
      <c r="T2095" s="20" t="s">
        <v>99</v>
      </c>
      <c r="U2095" s="21" t="s">
        <v>894</v>
      </c>
      <c r="V2095" s="23">
        <v>35</v>
      </c>
      <c r="W2095" s="23">
        <v>2</v>
      </c>
      <c r="X2095" s="24"/>
    </row>
    <row r="2096" spans="1:24" s="1" customFormat="1" ht="17" customHeight="1" x14ac:dyDescent="0.3">
      <c r="A2096" s="25" t="s">
        <v>2784</v>
      </c>
      <c r="B2096" s="25" t="s">
        <v>2998</v>
      </c>
      <c r="C2096" s="12" t="s">
        <v>3011</v>
      </c>
      <c r="D2096" s="86"/>
      <c r="E2096" s="67" t="str">
        <f t="shared" si="34"/>
        <v>Еще фото</v>
      </c>
      <c r="F2096" s="14"/>
      <c r="G2096" s="25" t="s">
        <v>92</v>
      </c>
      <c r="H2096" s="25" t="s">
        <v>93</v>
      </c>
      <c r="I2096" s="25" t="s">
        <v>196</v>
      </c>
      <c r="J2096" s="15" t="s">
        <v>82</v>
      </c>
      <c r="K2096" s="16" t="s">
        <v>29</v>
      </c>
      <c r="L2096" s="88"/>
      <c r="M2096" s="15"/>
      <c r="N2096" s="15" t="s">
        <v>38</v>
      </c>
      <c r="O2096" s="15"/>
      <c r="P2096" s="16" t="s">
        <v>2965</v>
      </c>
      <c r="Q2096" s="17">
        <v>7399</v>
      </c>
      <c r="R2096" s="18">
        <v>45</v>
      </c>
      <c r="S2096" s="19">
        <v>4679.8674999999994</v>
      </c>
      <c r="T2096" s="20" t="s">
        <v>99</v>
      </c>
      <c r="U2096" s="21" t="s">
        <v>170</v>
      </c>
      <c r="V2096" s="23">
        <v>36</v>
      </c>
      <c r="W2096" s="23">
        <v>5</v>
      </c>
      <c r="X2096" s="24"/>
    </row>
    <row r="2097" spans="1:24" s="1" customFormat="1" ht="17" customHeight="1" x14ac:dyDescent="0.3">
      <c r="A2097" s="25" t="s">
        <v>2784</v>
      </c>
      <c r="B2097" s="25" t="s">
        <v>2998</v>
      </c>
      <c r="C2097" s="12" t="s">
        <v>3011</v>
      </c>
      <c r="D2097" s="86"/>
      <c r="E2097" s="67" t="str">
        <f t="shared" si="34"/>
        <v>Еще фото</v>
      </c>
      <c r="F2097" s="14"/>
      <c r="G2097" s="25" t="s">
        <v>92</v>
      </c>
      <c r="H2097" s="25" t="s">
        <v>93</v>
      </c>
      <c r="I2097" s="25" t="s">
        <v>196</v>
      </c>
      <c r="J2097" s="15" t="s">
        <v>82</v>
      </c>
      <c r="K2097" s="16" t="s">
        <v>29</v>
      </c>
      <c r="L2097" s="88"/>
      <c r="M2097" s="15"/>
      <c r="N2097" s="15" t="s">
        <v>38</v>
      </c>
      <c r="O2097" s="15"/>
      <c r="P2097" s="16" t="s">
        <v>2965</v>
      </c>
      <c r="Q2097" s="17">
        <v>7399</v>
      </c>
      <c r="R2097" s="18">
        <v>45</v>
      </c>
      <c r="S2097" s="19">
        <v>4679.8674999999994</v>
      </c>
      <c r="T2097" s="20" t="s">
        <v>99</v>
      </c>
      <c r="U2097" s="21" t="s">
        <v>202</v>
      </c>
      <c r="V2097" s="23">
        <v>37</v>
      </c>
      <c r="W2097" s="23">
        <v>11</v>
      </c>
      <c r="X2097" s="24"/>
    </row>
    <row r="2098" spans="1:24" s="1" customFormat="1" ht="17" customHeight="1" x14ac:dyDescent="0.3">
      <c r="A2098" s="25" t="s">
        <v>2784</v>
      </c>
      <c r="B2098" s="25" t="s">
        <v>2998</v>
      </c>
      <c r="C2098" s="12" t="s">
        <v>3011</v>
      </c>
      <c r="D2098" s="86"/>
      <c r="E2098" s="67" t="str">
        <f t="shared" si="34"/>
        <v>Еще фото</v>
      </c>
      <c r="F2098" s="14"/>
      <c r="G2098" s="25" t="s">
        <v>92</v>
      </c>
      <c r="H2098" s="25" t="s">
        <v>93</v>
      </c>
      <c r="I2098" s="25" t="s">
        <v>196</v>
      </c>
      <c r="J2098" s="15" t="s">
        <v>82</v>
      </c>
      <c r="K2098" s="16" t="s">
        <v>29</v>
      </c>
      <c r="L2098" s="88"/>
      <c r="M2098" s="15"/>
      <c r="N2098" s="15" t="s">
        <v>38</v>
      </c>
      <c r="O2098" s="15"/>
      <c r="P2098" s="16" t="s">
        <v>2965</v>
      </c>
      <c r="Q2098" s="17">
        <v>7399</v>
      </c>
      <c r="R2098" s="18">
        <v>45</v>
      </c>
      <c r="S2098" s="19">
        <v>4679.8674999999994</v>
      </c>
      <c r="T2098" s="20" t="s">
        <v>99</v>
      </c>
      <c r="U2098" s="21" t="s">
        <v>175</v>
      </c>
      <c r="V2098" s="23">
        <v>38</v>
      </c>
      <c r="W2098" s="23">
        <v>8</v>
      </c>
      <c r="X2098" s="24"/>
    </row>
    <row r="2099" spans="1:24" s="1" customFormat="1" ht="17" customHeight="1" x14ac:dyDescent="0.3">
      <c r="A2099" s="25" t="s">
        <v>2784</v>
      </c>
      <c r="B2099" s="25" t="s">
        <v>2998</v>
      </c>
      <c r="C2099" s="12" t="s">
        <v>3011</v>
      </c>
      <c r="D2099" s="86"/>
      <c r="E2099" s="67" t="str">
        <f t="shared" si="34"/>
        <v>Еще фото</v>
      </c>
      <c r="F2099" s="14"/>
      <c r="G2099" s="25" t="s">
        <v>92</v>
      </c>
      <c r="H2099" s="25" t="s">
        <v>93</v>
      </c>
      <c r="I2099" s="25" t="s">
        <v>196</v>
      </c>
      <c r="J2099" s="15" t="s">
        <v>82</v>
      </c>
      <c r="K2099" s="16" t="s">
        <v>29</v>
      </c>
      <c r="L2099" s="88"/>
      <c r="M2099" s="15"/>
      <c r="N2099" s="15" t="s">
        <v>38</v>
      </c>
      <c r="O2099" s="15"/>
      <c r="P2099" s="16" t="s">
        <v>2965</v>
      </c>
      <c r="Q2099" s="17">
        <v>7399</v>
      </c>
      <c r="R2099" s="18">
        <v>45</v>
      </c>
      <c r="S2099" s="19">
        <v>4679.8674999999994</v>
      </c>
      <c r="T2099" s="20" t="s">
        <v>99</v>
      </c>
      <c r="U2099" s="21" t="s">
        <v>100</v>
      </c>
      <c r="V2099" s="23">
        <v>39</v>
      </c>
      <c r="W2099" s="23">
        <v>5</v>
      </c>
      <c r="X2099" s="24"/>
    </row>
    <row r="2100" spans="1:24" s="1" customFormat="1" ht="22.05" customHeight="1" x14ac:dyDescent="0.3">
      <c r="A2100" s="25" t="s">
        <v>2784</v>
      </c>
      <c r="B2100" s="25" t="s">
        <v>2998</v>
      </c>
      <c r="C2100" s="12" t="s">
        <v>3011</v>
      </c>
      <c r="D2100" s="87"/>
      <c r="E2100" s="67" t="str">
        <f t="shared" si="34"/>
        <v>Еще фото</v>
      </c>
      <c r="F2100" s="14"/>
      <c r="G2100" s="25" t="s">
        <v>92</v>
      </c>
      <c r="H2100" s="25" t="s">
        <v>93</v>
      </c>
      <c r="I2100" s="25" t="s">
        <v>196</v>
      </c>
      <c r="J2100" s="15" t="s">
        <v>82</v>
      </c>
      <c r="K2100" s="16" t="s">
        <v>29</v>
      </c>
      <c r="L2100" s="84"/>
      <c r="M2100" s="15"/>
      <c r="N2100" s="15" t="s">
        <v>38</v>
      </c>
      <c r="O2100" s="15"/>
      <c r="P2100" s="16" t="s">
        <v>2965</v>
      </c>
      <c r="Q2100" s="17">
        <v>7399</v>
      </c>
      <c r="R2100" s="18">
        <v>45</v>
      </c>
      <c r="S2100" s="19">
        <v>4679.8674999999994</v>
      </c>
      <c r="T2100" s="20" t="s">
        <v>99</v>
      </c>
      <c r="U2100" s="21" t="s">
        <v>235</v>
      </c>
      <c r="V2100" s="23">
        <v>40</v>
      </c>
      <c r="W2100" s="23">
        <v>2</v>
      </c>
      <c r="X2100" s="24"/>
    </row>
    <row r="2101" spans="1:24" s="1" customFormat="1" ht="108" customHeight="1" x14ac:dyDescent="0.3">
      <c r="A2101" s="11" t="s">
        <v>2784</v>
      </c>
      <c r="B2101" s="11" t="s">
        <v>3012</v>
      </c>
      <c r="C2101" s="12" t="s">
        <v>3013</v>
      </c>
      <c r="D2101" s="13"/>
      <c r="E2101" s="67" t="str">
        <f>HYPERLINK("https://www.google.ru/search?q=101498163&amp;newwindow=1&amp;tbm=isch","Еще фото")</f>
        <v>Еще фото</v>
      </c>
      <c r="F2101" s="14"/>
      <c r="G2101" s="11" t="s">
        <v>153</v>
      </c>
      <c r="H2101" s="11" t="s">
        <v>93</v>
      </c>
      <c r="I2101" s="15" t="s">
        <v>196</v>
      </c>
      <c r="J2101" s="15" t="s">
        <v>28</v>
      </c>
      <c r="K2101" s="16" t="s">
        <v>45</v>
      </c>
      <c r="L2101" s="15"/>
      <c r="M2101" s="15"/>
      <c r="N2101" s="15" t="s">
        <v>173</v>
      </c>
      <c r="O2101" s="15"/>
      <c r="P2101" s="16" t="s">
        <v>2965</v>
      </c>
      <c r="Q2101" s="17">
        <v>5199</v>
      </c>
      <c r="R2101" s="18">
        <v>45</v>
      </c>
      <c r="S2101" s="19">
        <v>3288.3674999999994</v>
      </c>
      <c r="T2101" s="20" t="s">
        <v>99</v>
      </c>
      <c r="U2101" s="21" t="s">
        <v>235</v>
      </c>
      <c r="V2101" s="23">
        <v>40</v>
      </c>
      <c r="W2101" s="23">
        <v>1</v>
      </c>
      <c r="X2101" s="24"/>
    </row>
    <row r="2102" spans="1:24" s="1" customFormat="1" ht="17" customHeight="1" x14ac:dyDescent="0.3">
      <c r="A2102" s="11" t="s">
        <v>2784</v>
      </c>
      <c r="B2102" s="11" t="s">
        <v>3014</v>
      </c>
      <c r="C2102" s="12" t="s">
        <v>3015</v>
      </c>
      <c r="D2102" s="85"/>
      <c r="E2102" s="67" t="str">
        <f t="shared" ref="E2102:E2107" si="35">HYPERLINK("https://www.google.ru/search?q=101562112&amp;newwindow=1&amp;tbm=isch","Еще фото")</f>
        <v>Еще фото</v>
      </c>
      <c r="F2102" s="14"/>
      <c r="G2102" s="11" t="s">
        <v>92</v>
      </c>
      <c r="H2102" s="11" t="s">
        <v>93</v>
      </c>
      <c r="I2102" s="15" t="s">
        <v>196</v>
      </c>
      <c r="J2102" s="15" t="s">
        <v>28</v>
      </c>
      <c r="K2102" s="16" t="s">
        <v>59</v>
      </c>
      <c r="L2102" s="83"/>
      <c r="M2102" s="15"/>
      <c r="N2102" s="15" t="s">
        <v>225</v>
      </c>
      <c r="O2102" s="15"/>
      <c r="P2102" s="16" t="s">
        <v>3003</v>
      </c>
      <c r="Q2102" s="17">
        <v>3499</v>
      </c>
      <c r="R2102" s="18">
        <v>45</v>
      </c>
      <c r="S2102" s="19">
        <v>2213.1174999999998</v>
      </c>
      <c r="T2102" s="20" t="s">
        <v>63</v>
      </c>
      <c r="U2102" s="21" t="s">
        <v>785</v>
      </c>
      <c r="V2102" s="23">
        <v>27</v>
      </c>
      <c r="W2102" s="23">
        <v>2</v>
      </c>
      <c r="X2102" s="24"/>
    </row>
    <row r="2103" spans="1:24" s="1" customFormat="1" ht="17" customHeight="1" x14ac:dyDescent="0.3">
      <c r="A2103" s="25" t="s">
        <v>2784</v>
      </c>
      <c r="B2103" s="25" t="s">
        <v>3014</v>
      </c>
      <c r="C2103" s="12" t="s">
        <v>3015</v>
      </c>
      <c r="D2103" s="86"/>
      <c r="E2103" s="67" t="str">
        <f t="shared" si="35"/>
        <v>Еще фото</v>
      </c>
      <c r="F2103" s="14"/>
      <c r="G2103" s="25" t="s">
        <v>92</v>
      </c>
      <c r="H2103" s="25" t="s">
        <v>93</v>
      </c>
      <c r="I2103" s="25" t="s">
        <v>196</v>
      </c>
      <c r="J2103" s="15" t="s">
        <v>28</v>
      </c>
      <c r="K2103" s="16" t="s">
        <v>59</v>
      </c>
      <c r="L2103" s="88"/>
      <c r="M2103" s="15"/>
      <c r="N2103" s="15" t="s">
        <v>225</v>
      </c>
      <c r="O2103" s="15"/>
      <c r="P2103" s="16" t="s">
        <v>3003</v>
      </c>
      <c r="Q2103" s="17">
        <v>3499</v>
      </c>
      <c r="R2103" s="18">
        <v>45</v>
      </c>
      <c r="S2103" s="19">
        <v>2213.1174999999998</v>
      </c>
      <c r="T2103" s="20" t="s">
        <v>63</v>
      </c>
      <c r="U2103" s="21" t="s">
        <v>3016</v>
      </c>
      <c r="V2103" s="23">
        <v>30</v>
      </c>
      <c r="W2103" s="23">
        <v>1</v>
      </c>
      <c r="X2103" s="24"/>
    </row>
    <row r="2104" spans="1:24" s="1" customFormat="1" ht="17" customHeight="1" x14ac:dyDescent="0.3">
      <c r="A2104" s="25" t="s">
        <v>2784</v>
      </c>
      <c r="B2104" s="25" t="s">
        <v>3014</v>
      </c>
      <c r="C2104" s="12" t="s">
        <v>3015</v>
      </c>
      <c r="D2104" s="86"/>
      <c r="E2104" s="67" t="str">
        <f t="shared" si="35"/>
        <v>Еще фото</v>
      </c>
      <c r="F2104" s="14"/>
      <c r="G2104" s="25" t="s">
        <v>92</v>
      </c>
      <c r="H2104" s="25" t="s">
        <v>93</v>
      </c>
      <c r="I2104" s="25" t="s">
        <v>196</v>
      </c>
      <c r="J2104" s="15" t="s">
        <v>28</v>
      </c>
      <c r="K2104" s="16" t="s">
        <v>59</v>
      </c>
      <c r="L2104" s="88"/>
      <c r="M2104" s="15"/>
      <c r="N2104" s="15" t="s">
        <v>225</v>
      </c>
      <c r="O2104" s="15"/>
      <c r="P2104" s="16" t="s">
        <v>3003</v>
      </c>
      <c r="Q2104" s="17">
        <v>3499</v>
      </c>
      <c r="R2104" s="18">
        <v>45</v>
      </c>
      <c r="S2104" s="19">
        <v>2213.1174999999998</v>
      </c>
      <c r="T2104" s="20" t="s">
        <v>63</v>
      </c>
      <c r="U2104" s="21" t="s">
        <v>3017</v>
      </c>
      <c r="V2104" s="23">
        <v>31</v>
      </c>
      <c r="W2104" s="23">
        <v>2</v>
      </c>
      <c r="X2104" s="24"/>
    </row>
    <row r="2105" spans="1:24" s="1" customFormat="1" ht="17" customHeight="1" x14ac:dyDescent="0.3">
      <c r="A2105" s="25" t="s">
        <v>2784</v>
      </c>
      <c r="B2105" s="25" t="s">
        <v>3014</v>
      </c>
      <c r="C2105" s="12" t="s">
        <v>3015</v>
      </c>
      <c r="D2105" s="86"/>
      <c r="E2105" s="67" t="str">
        <f t="shared" si="35"/>
        <v>Еще фото</v>
      </c>
      <c r="F2105" s="14"/>
      <c r="G2105" s="25" t="s">
        <v>92</v>
      </c>
      <c r="H2105" s="25" t="s">
        <v>93</v>
      </c>
      <c r="I2105" s="25" t="s">
        <v>196</v>
      </c>
      <c r="J2105" s="15" t="s">
        <v>28</v>
      </c>
      <c r="K2105" s="16" t="s">
        <v>59</v>
      </c>
      <c r="L2105" s="88"/>
      <c r="M2105" s="15"/>
      <c r="N2105" s="15" t="s">
        <v>225</v>
      </c>
      <c r="O2105" s="15"/>
      <c r="P2105" s="16" t="s">
        <v>3003</v>
      </c>
      <c r="Q2105" s="17">
        <v>3499</v>
      </c>
      <c r="R2105" s="18">
        <v>45</v>
      </c>
      <c r="S2105" s="19">
        <v>2213.1174999999998</v>
      </c>
      <c r="T2105" s="20" t="s">
        <v>63</v>
      </c>
      <c r="U2105" s="21" t="s">
        <v>801</v>
      </c>
      <c r="V2105" s="23">
        <v>32</v>
      </c>
      <c r="W2105" s="23">
        <v>3</v>
      </c>
      <c r="X2105" s="24"/>
    </row>
    <row r="2106" spans="1:24" s="1" customFormat="1" ht="17" customHeight="1" x14ac:dyDescent="0.3">
      <c r="A2106" s="25" t="s">
        <v>2784</v>
      </c>
      <c r="B2106" s="25" t="s">
        <v>3014</v>
      </c>
      <c r="C2106" s="12" t="s">
        <v>3015</v>
      </c>
      <c r="D2106" s="86"/>
      <c r="E2106" s="67" t="str">
        <f t="shared" si="35"/>
        <v>Еще фото</v>
      </c>
      <c r="F2106" s="14"/>
      <c r="G2106" s="25" t="s">
        <v>92</v>
      </c>
      <c r="H2106" s="25" t="s">
        <v>93</v>
      </c>
      <c r="I2106" s="25" t="s">
        <v>196</v>
      </c>
      <c r="J2106" s="15" t="s">
        <v>28</v>
      </c>
      <c r="K2106" s="16" t="s">
        <v>59</v>
      </c>
      <c r="L2106" s="88"/>
      <c r="M2106" s="15"/>
      <c r="N2106" s="15" t="s">
        <v>225</v>
      </c>
      <c r="O2106" s="15"/>
      <c r="P2106" s="16" t="s">
        <v>3003</v>
      </c>
      <c r="Q2106" s="17">
        <v>3499</v>
      </c>
      <c r="R2106" s="18">
        <v>45</v>
      </c>
      <c r="S2106" s="19">
        <v>2213.1174999999998</v>
      </c>
      <c r="T2106" s="20" t="s">
        <v>63</v>
      </c>
      <c r="U2106" s="21" t="s">
        <v>858</v>
      </c>
      <c r="V2106" s="23">
        <v>33</v>
      </c>
      <c r="W2106" s="23">
        <v>2</v>
      </c>
      <c r="X2106" s="24"/>
    </row>
    <row r="2107" spans="1:24" s="1" customFormat="1" ht="22.05" customHeight="1" x14ac:dyDescent="0.3">
      <c r="A2107" s="25" t="s">
        <v>2784</v>
      </c>
      <c r="B2107" s="25" t="s">
        <v>3014</v>
      </c>
      <c r="C2107" s="12" t="s">
        <v>3015</v>
      </c>
      <c r="D2107" s="87"/>
      <c r="E2107" s="67" t="str">
        <f t="shared" si="35"/>
        <v>Еще фото</v>
      </c>
      <c r="F2107" s="14"/>
      <c r="G2107" s="25" t="s">
        <v>92</v>
      </c>
      <c r="H2107" s="25" t="s">
        <v>93</v>
      </c>
      <c r="I2107" s="25" t="s">
        <v>196</v>
      </c>
      <c r="J2107" s="15" t="s">
        <v>28</v>
      </c>
      <c r="K2107" s="16" t="s">
        <v>59</v>
      </c>
      <c r="L2107" s="84"/>
      <c r="M2107" s="15"/>
      <c r="N2107" s="15" t="s">
        <v>225</v>
      </c>
      <c r="O2107" s="15"/>
      <c r="P2107" s="16" t="s">
        <v>3003</v>
      </c>
      <c r="Q2107" s="17">
        <v>3499</v>
      </c>
      <c r="R2107" s="18">
        <v>45</v>
      </c>
      <c r="S2107" s="19">
        <v>2213.1174999999998</v>
      </c>
      <c r="T2107" s="20" t="s">
        <v>63</v>
      </c>
      <c r="U2107" s="21" t="s">
        <v>354</v>
      </c>
      <c r="V2107" s="23">
        <v>35</v>
      </c>
      <c r="W2107" s="23">
        <v>1</v>
      </c>
      <c r="X2107" s="24"/>
    </row>
    <row r="2108" spans="1:24" s="1" customFormat="1" ht="108" customHeight="1" x14ac:dyDescent="0.3">
      <c r="A2108" s="11" t="s">
        <v>2784</v>
      </c>
      <c r="B2108" s="11" t="s">
        <v>3014</v>
      </c>
      <c r="C2108" s="12" t="s">
        <v>3018</v>
      </c>
      <c r="D2108" s="13"/>
      <c r="E2108" s="67" t="str">
        <f>HYPERLINK("https://www.google.ru/search?q=101562113&amp;newwindow=1&amp;tbm=isch","Еще фото")</f>
        <v>Еще фото</v>
      </c>
      <c r="F2108" s="14"/>
      <c r="G2108" s="11" t="s">
        <v>92</v>
      </c>
      <c r="H2108" s="11" t="s">
        <v>93</v>
      </c>
      <c r="I2108" s="15" t="s">
        <v>196</v>
      </c>
      <c r="J2108" s="15" t="s">
        <v>28</v>
      </c>
      <c r="K2108" s="16" t="s">
        <v>59</v>
      </c>
      <c r="L2108" s="15"/>
      <c r="M2108" s="15"/>
      <c r="N2108" s="15" t="s">
        <v>31</v>
      </c>
      <c r="O2108" s="15"/>
      <c r="P2108" s="16" t="s">
        <v>3003</v>
      </c>
      <c r="Q2108" s="17">
        <v>3499</v>
      </c>
      <c r="R2108" s="18">
        <v>45</v>
      </c>
      <c r="S2108" s="19">
        <v>2213.1174999999998</v>
      </c>
      <c r="T2108" s="20" t="s">
        <v>63</v>
      </c>
      <c r="U2108" s="21" t="s">
        <v>858</v>
      </c>
      <c r="V2108" s="23">
        <v>33</v>
      </c>
      <c r="W2108" s="23">
        <v>1</v>
      </c>
      <c r="X2108" s="24"/>
    </row>
    <row r="2109" spans="1:24" s="1" customFormat="1" ht="13.05" customHeight="1" x14ac:dyDescent="0.3">
      <c r="A2109" s="11" t="s">
        <v>2784</v>
      </c>
      <c r="B2109" s="11" t="s">
        <v>3019</v>
      </c>
      <c r="C2109" s="12" t="s">
        <v>3020</v>
      </c>
      <c r="D2109" s="85"/>
      <c r="E2109" s="67" t="str">
        <f t="shared" ref="E2109:E2116" si="36">HYPERLINK("https://www.google.ru/search?q=101562143&amp;newwindow=1&amp;tbm=isch","Еще фото")</f>
        <v>Еще фото</v>
      </c>
      <c r="F2109" s="14"/>
      <c r="G2109" s="11" t="s">
        <v>92</v>
      </c>
      <c r="H2109" s="11" t="s">
        <v>93</v>
      </c>
      <c r="I2109" s="15" t="s">
        <v>196</v>
      </c>
      <c r="J2109" s="15" t="s">
        <v>28</v>
      </c>
      <c r="K2109" s="16" t="s">
        <v>59</v>
      </c>
      <c r="L2109" s="83"/>
      <c r="M2109" s="15"/>
      <c r="N2109" s="15" t="s">
        <v>218</v>
      </c>
      <c r="O2109" s="15"/>
      <c r="P2109" s="16" t="s">
        <v>3003</v>
      </c>
      <c r="Q2109" s="17">
        <v>3699</v>
      </c>
      <c r="R2109" s="18">
        <v>45</v>
      </c>
      <c r="S2109" s="19">
        <v>2339.6174999999998</v>
      </c>
      <c r="T2109" s="20" t="s">
        <v>63</v>
      </c>
      <c r="U2109" s="30" t="s">
        <v>785</v>
      </c>
      <c r="V2109" s="23">
        <v>27</v>
      </c>
      <c r="W2109" s="23">
        <v>4</v>
      </c>
      <c r="X2109" s="24"/>
    </row>
    <row r="2110" spans="1:24" s="1" customFormat="1" ht="13.05" customHeight="1" x14ac:dyDescent="0.3">
      <c r="A2110" s="25" t="s">
        <v>2784</v>
      </c>
      <c r="B2110" s="25" t="s">
        <v>3019</v>
      </c>
      <c r="C2110" s="12" t="s">
        <v>3020</v>
      </c>
      <c r="D2110" s="86"/>
      <c r="E2110" s="67" t="str">
        <f t="shared" si="36"/>
        <v>Еще фото</v>
      </c>
      <c r="F2110" s="14"/>
      <c r="G2110" s="25" t="s">
        <v>92</v>
      </c>
      <c r="H2110" s="25" t="s">
        <v>93</v>
      </c>
      <c r="I2110" s="25" t="s">
        <v>196</v>
      </c>
      <c r="J2110" s="15" t="s">
        <v>28</v>
      </c>
      <c r="K2110" s="16" t="s">
        <v>59</v>
      </c>
      <c r="L2110" s="88"/>
      <c r="M2110" s="15"/>
      <c r="N2110" s="15" t="s">
        <v>218</v>
      </c>
      <c r="O2110" s="15"/>
      <c r="P2110" s="16" t="s">
        <v>3003</v>
      </c>
      <c r="Q2110" s="17">
        <v>3699</v>
      </c>
      <c r="R2110" s="18">
        <v>45</v>
      </c>
      <c r="S2110" s="19">
        <v>2339.6174999999998</v>
      </c>
      <c r="T2110" s="20" t="s">
        <v>63</v>
      </c>
      <c r="U2110" s="21" t="s">
        <v>915</v>
      </c>
      <c r="V2110" s="23">
        <v>28</v>
      </c>
      <c r="W2110" s="23">
        <v>5</v>
      </c>
      <c r="X2110" s="24"/>
    </row>
    <row r="2111" spans="1:24" s="1" customFormat="1" ht="13.05" customHeight="1" x14ac:dyDescent="0.3">
      <c r="A2111" s="25" t="s">
        <v>2784</v>
      </c>
      <c r="B2111" s="25" t="s">
        <v>3019</v>
      </c>
      <c r="C2111" s="12" t="s">
        <v>3020</v>
      </c>
      <c r="D2111" s="86"/>
      <c r="E2111" s="67" t="str">
        <f t="shared" si="36"/>
        <v>Еще фото</v>
      </c>
      <c r="F2111" s="14"/>
      <c r="G2111" s="25" t="s">
        <v>92</v>
      </c>
      <c r="H2111" s="25" t="s">
        <v>93</v>
      </c>
      <c r="I2111" s="25" t="s">
        <v>196</v>
      </c>
      <c r="J2111" s="15" t="s">
        <v>28</v>
      </c>
      <c r="K2111" s="16" t="s">
        <v>59</v>
      </c>
      <c r="L2111" s="88"/>
      <c r="M2111" s="15"/>
      <c r="N2111" s="15" t="s">
        <v>218</v>
      </c>
      <c r="O2111" s="15"/>
      <c r="P2111" s="16" t="s">
        <v>3003</v>
      </c>
      <c r="Q2111" s="17">
        <v>3699</v>
      </c>
      <c r="R2111" s="18">
        <v>45</v>
      </c>
      <c r="S2111" s="19">
        <v>2339.6174999999998</v>
      </c>
      <c r="T2111" s="20" t="s">
        <v>63</v>
      </c>
      <c r="U2111" s="21" t="s">
        <v>824</v>
      </c>
      <c r="V2111" s="23">
        <v>29</v>
      </c>
      <c r="W2111" s="23">
        <v>2</v>
      </c>
      <c r="X2111" s="24"/>
    </row>
    <row r="2112" spans="1:24" s="1" customFormat="1" ht="13.05" customHeight="1" x14ac:dyDescent="0.3">
      <c r="A2112" s="25" t="s">
        <v>2784</v>
      </c>
      <c r="B2112" s="25" t="s">
        <v>3019</v>
      </c>
      <c r="C2112" s="12" t="s">
        <v>3020</v>
      </c>
      <c r="D2112" s="86"/>
      <c r="E2112" s="67" t="str">
        <f t="shared" si="36"/>
        <v>Еще фото</v>
      </c>
      <c r="F2112" s="14"/>
      <c r="G2112" s="25" t="s">
        <v>92</v>
      </c>
      <c r="H2112" s="25" t="s">
        <v>93</v>
      </c>
      <c r="I2112" s="25" t="s">
        <v>196</v>
      </c>
      <c r="J2112" s="15" t="s">
        <v>28</v>
      </c>
      <c r="K2112" s="16" t="s">
        <v>59</v>
      </c>
      <c r="L2112" s="88"/>
      <c r="M2112" s="15"/>
      <c r="N2112" s="15" t="s">
        <v>218</v>
      </c>
      <c r="O2112" s="15"/>
      <c r="P2112" s="16" t="s">
        <v>3003</v>
      </c>
      <c r="Q2112" s="17">
        <v>3699</v>
      </c>
      <c r="R2112" s="18">
        <v>45</v>
      </c>
      <c r="S2112" s="19">
        <v>2339.6174999999998</v>
      </c>
      <c r="T2112" s="20" t="s">
        <v>63</v>
      </c>
      <c r="U2112" s="21" t="s">
        <v>3016</v>
      </c>
      <c r="V2112" s="23">
        <v>30</v>
      </c>
      <c r="W2112" s="23">
        <v>3</v>
      </c>
      <c r="X2112" s="24"/>
    </row>
    <row r="2113" spans="1:24" s="1" customFormat="1" ht="13.05" customHeight="1" x14ac:dyDescent="0.3">
      <c r="A2113" s="25" t="s">
        <v>2784</v>
      </c>
      <c r="B2113" s="25" t="s">
        <v>3019</v>
      </c>
      <c r="C2113" s="12" t="s">
        <v>3020</v>
      </c>
      <c r="D2113" s="86"/>
      <c r="E2113" s="67" t="str">
        <f t="shared" si="36"/>
        <v>Еще фото</v>
      </c>
      <c r="F2113" s="14"/>
      <c r="G2113" s="25" t="s">
        <v>92</v>
      </c>
      <c r="H2113" s="25" t="s">
        <v>93</v>
      </c>
      <c r="I2113" s="25" t="s">
        <v>196</v>
      </c>
      <c r="J2113" s="15" t="s">
        <v>28</v>
      </c>
      <c r="K2113" s="16" t="s">
        <v>59</v>
      </c>
      <c r="L2113" s="88"/>
      <c r="M2113" s="15"/>
      <c r="N2113" s="15" t="s">
        <v>218</v>
      </c>
      <c r="O2113" s="15"/>
      <c r="P2113" s="16" t="s">
        <v>3003</v>
      </c>
      <c r="Q2113" s="17">
        <v>3699</v>
      </c>
      <c r="R2113" s="18">
        <v>45</v>
      </c>
      <c r="S2113" s="19">
        <v>2339.6174999999998</v>
      </c>
      <c r="T2113" s="20" t="s">
        <v>63</v>
      </c>
      <c r="U2113" s="21" t="s">
        <v>801</v>
      </c>
      <c r="V2113" s="23">
        <v>32</v>
      </c>
      <c r="W2113" s="23">
        <v>1</v>
      </c>
      <c r="X2113" s="24"/>
    </row>
    <row r="2114" spans="1:24" s="1" customFormat="1" ht="13.05" customHeight="1" x14ac:dyDescent="0.3">
      <c r="A2114" s="25" t="s">
        <v>2784</v>
      </c>
      <c r="B2114" s="25" t="s">
        <v>3019</v>
      </c>
      <c r="C2114" s="12" t="s">
        <v>3020</v>
      </c>
      <c r="D2114" s="86"/>
      <c r="E2114" s="67" t="str">
        <f t="shared" si="36"/>
        <v>Еще фото</v>
      </c>
      <c r="F2114" s="14"/>
      <c r="G2114" s="25" t="s">
        <v>92</v>
      </c>
      <c r="H2114" s="25" t="s">
        <v>93</v>
      </c>
      <c r="I2114" s="25" t="s">
        <v>196</v>
      </c>
      <c r="J2114" s="15" t="s">
        <v>28</v>
      </c>
      <c r="K2114" s="16" t="s">
        <v>59</v>
      </c>
      <c r="L2114" s="88"/>
      <c r="M2114" s="15"/>
      <c r="N2114" s="15" t="s">
        <v>218</v>
      </c>
      <c r="O2114" s="15"/>
      <c r="P2114" s="16" t="s">
        <v>3003</v>
      </c>
      <c r="Q2114" s="17">
        <v>3699</v>
      </c>
      <c r="R2114" s="18">
        <v>45</v>
      </c>
      <c r="S2114" s="19">
        <v>2339.6174999999998</v>
      </c>
      <c r="T2114" s="20" t="s">
        <v>63</v>
      </c>
      <c r="U2114" s="21" t="s">
        <v>858</v>
      </c>
      <c r="V2114" s="23">
        <v>33</v>
      </c>
      <c r="W2114" s="23">
        <v>3</v>
      </c>
      <c r="X2114" s="24"/>
    </row>
    <row r="2115" spans="1:24" s="1" customFormat="1" ht="13.05" customHeight="1" x14ac:dyDescent="0.3">
      <c r="A2115" s="25" t="s">
        <v>2784</v>
      </c>
      <c r="B2115" s="25" t="s">
        <v>3019</v>
      </c>
      <c r="C2115" s="12" t="s">
        <v>3020</v>
      </c>
      <c r="D2115" s="86"/>
      <c r="E2115" s="67" t="str">
        <f t="shared" si="36"/>
        <v>Еще фото</v>
      </c>
      <c r="F2115" s="14"/>
      <c r="G2115" s="25" t="s">
        <v>92</v>
      </c>
      <c r="H2115" s="25" t="s">
        <v>93</v>
      </c>
      <c r="I2115" s="25" t="s">
        <v>196</v>
      </c>
      <c r="J2115" s="15" t="s">
        <v>28</v>
      </c>
      <c r="K2115" s="16" t="s">
        <v>59</v>
      </c>
      <c r="L2115" s="88"/>
      <c r="M2115" s="15"/>
      <c r="N2115" s="15" t="s">
        <v>218</v>
      </c>
      <c r="O2115" s="15"/>
      <c r="P2115" s="16" t="s">
        <v>3003</v>
      </c>
      <c r="Q2115" s="17">
        <v>3699</v>
      </c>
      <c r="R2115" s="18">
        <v>45</v>
      </c>
      <c r="S2115" s="19">
        <v>2339.6174999999998</v>
      </c>
      <c r="T2115" s="20" t="s">
        <v>63</v>
      </c>
      <c r="U2115" s="21" t="s">
        <v>859</v>
      </c>
      <c r="V2115" s="23">
        <v>34</v>
      </c>
      <c r="W2115" s="23">
        <v>1</v>
      </c>
      <c r="X2115" s="24"/>
    </row>
    <row r="2116" spans="1:24" s="1" customFormat="1" ht="18" customHeight="1" x14ac:dyDescent="0.3">
      <c r="A2116" s="25" t="s">
        <v>2784</v>
      </c>
      <c r="B2116" s="25" t="s">
        <v>3019</v>
      </c>
      <c r="C2116" s="12" t="s">
        <v>3020</v>
      </c>
      <c r="D2116" s="87"/>
      <c r="E2116" s="67" t="str">
        <f t="shared" si="36"/>
        <v>Еще фото</v>
      </c>
      <c r="F2116" s="14"/>
      <c r="G2116" s="25" t="s">
        <v>92</v>
      </c>
      <c r="H2116" s="25" t="s">
        <v>93</v>
      </c>
      <c r="I2116" s="25" t="s">
        <v>196</v>
      </c>
      <c r="J2116" s="15" t="s">
        <v>28</v>
      </c>
      <c r="K2116" s="16" t="s">
        <v>59</v>
      </c>
      <c r="L2116" s="84"/>
      <c r="M2116" s="15"/>
      <c r="N2116" s="15" t="s">
        <v>218</v>
      </c>
      <c r="O2116" s="15"/>
      <c r="P2116" s="16" t="s">
        <v>3003</v>
      </c>
      <c r="Q2116" s="17">
        <v>3699</v>
      </c>
      <c r="R2116" s="18">
        <v>45</v>
      </c>
      <c r="S2116" s="19">
        <v>2339.6174999999998</v>
      </c>
      <c r="T2116" s="20" t="s">
        <v>63</v>
      </c>
      <c r="U2116" s="21" t="s">
        <v>354</v>
      </c>
      <c r="V2116" s="23">
        <v>35</v>
      </c>
      <c r="W2116" s="23">
        <v>3</v>
      </c>
      <c r="X2116" s="24"/>
    </row>
    <row r="2117" spans="1:24" s="1" customFormat="1" ht="108" customHeight="1" x14ac:dyDescent="0.3">
      <c r="A2117" s="11" t="s">
        <v>2784</v>
      </c>
      <c r="B2117" s="11" t="s">
        <v>3021</v>
      </c>
      <c r="C2117" s="12" t="s">
        <v>3022</v>
      </c>
      <c r="D2117" s="13"/>
      <c r="E2117" s="67" t="str">
        <f>HYPERLINK("https://www.google.ru/search?q=101681706&amp;newwindow=1&amp;tbm=isch","Еще фото")</f>
        <v>Еще фото</v>
      </c>
      <c r="F2117" s="14"/>
      <c r="G2117" s="11" t="s">
        <v>92</v>
      </c>
      <c r="H2117" s="11" t="s">
        <v>93</v>
      </c>
      <c r="I2117" s="15" t="s">
        <v>196</v>
      </c>
      <c r="J2117" s="15" t="s">
        <v>28</v>
      </c>
      <c r="K2117" s="16" t="s">
        <v>29</v>
      </c>
      <c r="L2117" s="15"/>
      <c r="M2117" s="15"/>
      <c r="N2117" s="15" t="s">
        <v>31</v>
      </c>
      <c r="O2117" s="15"/>
      <c r="P2117" s="16" t="s">
        <v>2935</v>
      </c>
      <c r="Q2117" s="17">
        <v>7299</v>
      </c>
      <c r="R2117" s="18">
        <v>45</v>
      </c>
      <c r="S2117" s="19">
        <v>4616.6174999999994</v>
      </c>
      <c r="T2117" s="20" t="s">
        <v>99</v>
      </c>
      <c r="U2117" s="21" t="s">
        <v>214</v>
      </c>
      <c r="V2117" s="23">
        <v>34</v>
      </c>
      <c r="W2117" s="23">
        <v>2</v>
      </c>
      <c r="X2117" s="24"/>
    </row>
    <row r="2118" spans="1:24" s="1" customFormat="1" ht="52.05" customHeight="1" x14ac:dyDescent="0.3">
      <c r="A2118" s="11" t="s">
        <v>2784</v>
      </c>
      <c r="B2118" s="11" t="s">
        <v>3004</v>
      </c>
      <c r="C2118" s="12" t="s">
        <v>3023</v>
      </c>
      <c r="D2118" s="81"/>
      <c r="E2118" s="67" t="str">
        <f>HYPERLINK("https://www.google.ru/search?q=101681955&amp;newwindow=1&amp;tbm=isch","Еще фото")</f>
        <v>Еще фото</v>
      </c>
      <c r="F2118" s="14"/>
      <c r="G2118" s="11" t="s">
        <v>153</v>
      </c>
      <c r="H2118" s="11" t="s">
        <v>93</v>
      </c>
      <c r="I2118" s="15" t="s">
        <v>196</v>
      </c>
      <c r="J2118" s="15" t="s">
        <v>28</v>
      </c>
      <c r="K2118" s="16" t="s">
        <v>45</v>
      </c>
      <c r="L2118" s="83"/>
      <c r="M2118" s="15"/>
      <c r="N2118" s="15" t="s">
        <v>38</v>
      </c>
      <c r="O2118" s="15"/>
      <c r="P2118" s="16" t="s">
        <v>2823</v>
      </c>
      <c r="Q2118" s="17">
        <v>6499</v>
      </c>
      <c r="R2118" s="18">
        <v>45</v>
      </c>
      <c r="S2118" s="19">
        <v>4110.6174999999994</v>
      </c>
      <c r="T2118" s="20" t="s">
        <v>99</v>
      </c>
      <c r="U2118" s="21" t="s">
        <v>100</v>
      </c>
      <c r="V2118" s="23">
        <v>39</v>
      </c>
      <c r="W2118" s="23">
        <v>1</v>
      </c>
      <c r="X2118" s="24"/>
    </row>
    <row r="2119" spans="1:24" s="1" customFormat="1" ht="61.05" customHeight="1" x14ac:dyDescent="0.3">
      <c r="A2119" s="25" t="s">
        <v>2784</v>
      </c>
      <c r="B2119" s="25" t="s">
        <v>3004</v>
      </c>
      <c r="C2119" s="12" t="s">
        <v>3023</v>
      </c>
      <c r="D2119" s="82"/>
      <c r="E2119" s="67" t="str">
        <f>HYPERLINK("https://www.google.ru/search?q=101681955&amp;newwindow=1&amp;tbm=isch","Еще фото")</f>
        <v>Еще фото</v>
      </c>
      <c r="F2119" s="14"/>
      <c r="G2119" s="25" t="s">
        <v>153</v>
      </c>
      <c r="H2119" s="25" t="s">
        <v>93</v>
      </c>
      <c r="I2119" s="25" t="s">
        <v>196</v>
      </c>
      <c r="J2119" s="15" t="s">
        <v>28</v>
      </c>
      <c r="K2119" s="16" t="s">
        <v>45</v>
      </c>
      <c r="L2119" s="84"/>
      <c r="M2119" s="15"/>
      <c r="N2119" s="15" t="s">
        <v>38</v>
      </c>
      <c r="O2119" s="15"/>
      <c r="P2119" s="16" t="s">
        <v>2823</v>
      </c>
      <c r="Q2119" s="17">
        <v>6499</v>
      </c>
      <c r="R2119" s="18">
        <v>45</v>
      </c>
      <c r="S2119" s="19">
        <v>4110.6174999999994</v>
      </c>
      <c r="T2119" s="20" t="s">
        <v>99</v>
      </c>
      <c r="U2119" s="21" t="s">
        <v>165</v>
      </c>
      <c r="V2119" s="23">
        <v>42</v>
      </c>
      <c r="W2119" s="23">
        <v>1</v>
      </c>
      <c r="X2119" s="24"/>
    </row>
    <row r="2120" spans="1:24" s="1" customFormat="1" ht="17" customHeight="1" x14ac:dyDescent="0.3">
      <c r="A2120" s="11" t="s">
        <v>2784</v>
      </c>
      <c r="B2120" s="11" t="s">
        <v>3024</v>
      </c>
      <c r="C2120" s="12" t="s">
        <v>3025</v>
      </c>
      <c r="D2120" s="85"/>
      <c r="E2120" s="67" t="str">
        <f t="shared" ref="E2120:E2125" si="37">HYPERLINK("https://www.google.ru/search?q=101681961&amp;newwindow=1&amp;tbm=isch","Еще фото")</f>
        <v>Еще фото</v>
      </c>
      <c r="F2120" s="14"/>
      <c r="G2120" s="11" t="s">
        <v>92</v>
      </c>
      <c r="H2120" s="11" t="s">
        <v>93</v>
      </c>
      <c r="I2120" s="15" t="s">
        <v>196</v>
      </c>
      <c r="J2120" s="15" t="s">
        <v>28</v>
      </c>
      <c r="K2120" s="16" t="s">
        <v>29</v>
      </c>
      <c r="L2120" s="83"/>
      <c r="M2120" s="15"/>
      <c r="N2120" s="15" t="s">
        <v>225</v>
      </c>
      <c r="O2120" s="15"/>
      <c r="P2120" s="16" t="s">
        <v>3026</v>
      </c>
      <c r="Q2120" s="17">
        <v>13899</v>
      </c>
      <c r="R2120" s="18">
        <v>45</v>
      </c>
      <c r="S2120" s="19">
        <v>8791.1174999999985</v>
      </c>
      <c r="T2120" s="20" t="s">
        <v>99</v>
      </c>
      <c r="U2120" s="21" t="s">
        <v>894</v>
      </c>
      <c r="V2120" s="23">
        <v>35</v>
      </c>
      <c r="W2120" s="23">
        <v>4</v>
      </c>
      <c r="X2120" s="24"/>
    </row>
    <row r="2121" spans="1:24" s="1" customFormat="1" ht="17" customHeight="1" x14ac:dyDescent="0.3">
      <c r="A2121" s="25" t="s">
        <v>2784</v>
      </c>
      <c r="B2121" s="25" t="s">
        <v>3024</v>
      </c>
      <c r="C2121" s="12" t="s">
        <v>3025</v>
      </c>
      <c r="D2121" s="86"/>
      <c r="E2121" s="67" t="str">
        <f t="shared" si="37"/>
        <v>Еще фото</v>
      </c>
      <c r="F2121" s="14"/>
      <c r="G2121" s="25" t="s">
        <v>92</v>
      </c>
      <c r="H2121" s="25" t="s">
        <v>93</v>
      </c>
      <c r="I2121" s="25" t="s">
        <v>196</v>
      </c>
      <c r="J2121" s="15" t="s">
        <v>28</v>
      </c>
      <c r="K2121" s="16" t="s">
        <v>29</v>
      </c>
      <c r="L2121" s="88"/>
      <c r="M2121" s="15"/>
      <c r="N2121" s="15" t="s">
        <v>225</v>
      </c>
      <c r="O2121" s="15"/>
      <c r="P2121" s="16" t="s">
        <v>3026</v>
      </c>
      <c r="Q2121" s="17">
        <v>13899</v>
      </c>
      <c r="R2121" s="18">
        <v>45</v>
      </c>
      <c r="S2121" s="19">
        <v>8791.1174999999985</v>
      </c>
      <c r="T2121" s="20" t="s">
        <v>99</v>
      </c>
      <c r="U2121" s="21" t="s">
        <v>170</v>
      </c>
      <c r="V2121" s="23">
        <v>36</v>
      </c>
      <c r="W2121" s="23">
        <v>11</v>
      </c>
      <c r="X2121" s="24"/>
    </row>
    <row r="2122" spans="1:24" s="1" customFormat="1" ht="17" customHeight="1" x14ac:dyDescent="0.3">
      <c r="A2122" s="25" t="s">
        <v>2784</v>
      </c>
      <c r="B2122" s="25" t="s">
        <v>3024</v>
      </c>
      <c r="C2122" s="12" t="s">
        <v>3025</v>
      </c>
      <c r="D2122" s="86"/>
      <c r="E2122" s="67" t="str">
        <f t="shared" si="37"/>
        <v>Еще фото</v>
      </c>
      <c r="F2122" s="14"/>
      <c r="G2122" s="25" t="s">
        <v>92</v>
      </c>
      <c r="H2122" s="25" t="s">
        <v>93</v>
      </c>
      <c r="I2122" s="25" t="s">
        <v>196</v>
      </c>
      <c r="J2122" s="15" t="s">
        <v>28</v>
      </c>
      <c r="K2122" s="16" t="s">
        <v>29</v>
      </c>
      <c r="L2122" s="88"/>
      <c r="M2122" s="15"/>
      <c r="N2122" s="15" t="s">
        <v>225</v>
      </c>
      <c r="O2122" s="15"/>
      <c r="P2122" s="16" t="s">
        <v>3026</v>
      </c>
      <c r="Q2122" s="17">
        <v>13899</v>
      </c>
      <c r="R2122" s="18">
        <v>45</v>
      </c>
      <c r="S2122" s="19">
        <v>8791.1174999999985</v>
      </c>
      <c r="T2122" s="20" t="s">
        <v>99</v>
      </c>
      <c r="U2122" s="21" t="s">
        <v>202</v>
      </c>
      <c r="V2122" s="23">
        <v>37</v>
      </c>
      <c r="W2122" s="23">
        <v>15</v>
      </c>
      <c r="X2122" s="24"/>
    </row>
    <row r="2123" spans="1:24" s="1" customFormat="1" ht="17" customHeight="1" x14ac:dyDescent="0.3">
      <c r="A2123" s="25" t="s">
        <v>2784</v>
      </c>
      <c r="B2123" s="25" t="s">
        <v>3024</v>
      </c>
      <c r="C2123" s="12" t="s">
        <v>3025</v>
      </c>
      <c r="D2123" s="86"/>
      <c r="E2123" s="67" t="str">
        <f t="shared" si="37"/>
        <v>Еще фото</v>
      </c>
      <c r="F2123" s="14"/>
      <c r="G2123" s="25" t="s">
        <v>92</v>
      </c>
      <c r="H2123" s="25" t="s">
        <v>93</v>
      </c>
      <c r="I2123" s="25" t="s">
        <v>196</v>
      </c>
      <c r="J2123" s="15" t="s">
        <v>28</v>
      </c>
      <c r="K2123" s="16" t="s">
        <v>29</v>
      </c>
      <c r="L2123" s="88"/>
      <c r="M2123" s="15"/>
      <c r="N2123" s="15" t="s">
        <v>225</v>
      </c>
      <c r="O2123" s="15"/>
      <c r="P2123" s="16" t="s">
        <v>3026</v>
      </c>
      <c r="Q2123" s="17">
        <v>13899</v>
      </c>
      <c r="R2123" s="18">
        <v>45</v>
      </c>
      <c r="S2123" s="19">
        <v>8791.1174999999985</v>
      </c>
      <c r="T2123" s="20" t="s">
        <v>99</v>
      </c>
      <c r="U2123" s="21" t="s">
        <v>175</v>
      </c>
      <c r="V2123" s="23">
        <v>38</v>
      </c>
      <c r="W2123" s="23">
        <v>9</v>
      </c>
      <c r="X2123" s="24"/>
    </row>
    <row r="2124" spans="1:24" s="1" customFormat="1" ht="17" customHeight="1" x14ac:dyDescent="0.3">
      <c r="A2124" s="25" t="s">
        <v>2784</v>
      </c>
      <c r="B2124" s="25" t="s">
        <v>3024</v>
      </c>
      <c r="C2124" s="12" t="s">
        <v>3025</v>
      </c>
      <c r="D2124" s="86"/>
      <c r="E2124" s="67" t="str">
        <f t="shared" si="37"/>
        <v>Еще фото</v>
      </c>
      <c r="F2124" s="14"/>
      <c r="G2124" s="25" t="s">
        <v>92</v>
      </c>
      <c r="H2124" s="25" t="s">
        <v>93</v>
      </c>
      <c r="I2124" s="25" t="s">
        <v>196</v>
      </c>
      <c r="J2124" s="15" t="s">
        <v>28</v>
      </c>
      <c r="K2124" s="16" t="s">
        <v>29</v>
      </c>
      <c r="L2124" s="88"/>
      <c r="M2124" s="15"/>
      <c r="N2124" s="15" t="s">
        <v>225</v>
      </c>
      <c r="O2124" s="15"/>
      <c r="P2124" s="16" t="s">
        <v>3026</v>
      </c>
      <c r="Q2124" s="17">
        <v>13899</v>
      </c>
      <c r="R2124" s="18">
        <v>45</v>
      </c>
      <c r="S2124" s="19">
        <v>8791.1174999999985</v>
      </c>
      <c r="T2124" s="20" t="s">
        <v>99</v>
      </c>
      <c r="U2124" s="21" t="s">
        <v>100</v>
      </c>
      <c r="V2124" s="23">
        <v>39</v>
      </c>
      <c r="W2124" s="23">
        <v>1</v>
      </c>
      <c r="X2124" s="24"/>
    </row>
    <row r="2125" spans="1:24" s="1" customFormat="1" ht="22.05" customHeight="1" x14ac:dyDescent="0.3">
      <c r="A2125" s="25" t="s">
        <v>2784</v>
      </c>
      <c r="B2125" s="25" t="s">
        <v>3024</v>
      </c>
      <c r="C2125" s="12" t="s">
        <v>3025</v>
      </c>
      <c r="D2125" s="87"/>
      <c r="E2125" s="67" t="str">
        <f t="shared" si="37"/>
        <v>Еще фото</v>
      </c>
      <c r="F2125" s="14"/>
      <c r="G2125" s="25" t="s">
        <v>92</v>
      </c>
      <c r="H2125" s="25" t="s">
        <v>93</v>
      </c>
      <c r="I2125" s="25" t="s">
        <v>196</v>
      </c>
      <c r="J2125" s="15" t="s">
        <v>28</v>
      </c>
      <c r="K2125" s="16" t="s">
        <v>29</v>
      </c>
      <c r="L2125" s="84"/>
      <c r="M2125" s="15"/>
      <c r="N2125" s="15" t="s">
        <v>225</v>
      </c>
      <c r="O2125" s="15"/>
      <c r="P2125" s="16" t="s">
        <v>3026</v>
      </c>
      <c r="Q2125" s="17">
        <v>13899</v>
      </c>
      <c r="R2125" s="18">
        <v>45</v>
      </c>
      <c r="S2125" s="19">
        <v>8791.1174999999985</v>
      </c>
      <c r="T2125" s="20" t="s">
        <v>99</v>
      </c>
      <c r="U2125" s="21" t="s">
        <v>235</v>
      </c>
      <c r="V2125" s="23">
        <v>40</v>
      </c>
      <c r="W2125" s="23">
        <v>1</v>
      </c>
      <c r="X2125" s="24"/>
    </row>
    <row r="2126" spans="1:24" s="1" customFormat="1" ht="26" customHeight="1" x14ac:dyDescent="0.3">
      <c r="A2126" s="11" t="s">
        <v>2784</v>
      </c>
      <c r="B2126" s="11" t="s">
        <v>3027</v>
      </c>
      <c r="C2126" s="12" t="s">
        <v>3028</v>
      </c>
      <c r="D2126" s="85"/>
      <c r="E2126" s="67" t="str">
        <f>HYPERLINK("https://www.google.ru/search?q=101906219&amp;newwindow=1&amp;tbm=isch","Еще фото")</f>
        <v>Еще фото</v>
      </c>
      <c r="F2126" s="14"/>
      <c r="G2126" s="11" t="s">
        <v>92</v>
      </c>
      <c r="H2126" s="11" t="s">
        <v>93</v>
      </c>
      <c r="I2126" s="15" t="s">
        <v>196</v>
      </c>
      <c r="J2126" s="15" t="s">
        <v>28</v>
      </c>
      <c r="K2126" s="16" t="s">
        <v>45</v>
      </c>
      <c r="L2126" s="83"/>
      <c r="M2126" s="15"/>
      <c r="N2126" s="15" t="s">
        <v>38</v>
      </c>
      <c r="O2126" s="15"/>
      <c r="P2126" s="16" t="s">
        <v>3026</v>
      </c>
      <c r="Q2126" s="17">
        <v>13999</v>
      </c>
      <c r="R2126" s="18">
        <v>45</v>
      </c>
      <c r="S2126" s="19">
        <v>8854.3674999999985</v>
      </c>
      <c r="T2126" s="20" t="s">
        <v>99</v>
      </c>
      <c r="U2126" s="21" t="s">
        <v>894</v>
      </c>
      <c r="V2126" s="23">
        <v>35</v>
      </c>
      <c r="W2126" s="23">
        <v>5</v>
      </c>
      <c r="X2126" s="24"/>
    </row>
    <row r="2127" spans="1:24" s="1" customFormat="1" ht="26" customHeight="1" x14ac:dyDescent="0.3">
      <c r="A2127" s="25" t="s">
        <v>2784</v>
      </c>
      <c r="B2127" s="25" t="s">
        <v>3027</v>
      </c>
      <c r="C2127" s="12" t="s">
        <v>3028</v>
      </c>
      <c r="D2127" s="86"/>
      <c r="E2127" s="67" t="str">
        <f>HYPERLINK("https://www.google.ru/search?q=101906219&amp;newwindow=1&amp;tbm=isch","Еще фото")</f>
        <v>Еще фото</v>
      </c>
      <c r="F2127" s="14"/>
      <c r="G2127" s="25" t="s">
        <v>92</v>
      </c>
      <c r="H2127" s="25" t="s">
        <v>93</v>
      </c>
      <c r="I2127" s="25" t="s">
        <v>196</v>
      </c>
      <c r="J2127" s="15" t="s">
        <v>28</v>
      </c>
      <c r="K2127" s="16" t="s">
        <v>45</v>
      </c>
      <c r="L2127" s="88"/>
      <c r="M2127" s="15"/>
      <c r="N2127" s="15" t="s">
        <v>38</v>
      </c>
      <c r="O2127" s="15"/>
      <c r="P2127" s="16" t="s">
        <v>3026</v>
      </c>
      <c r="Q2127" s="17">
        <v>13999</v>
      </c>
      <c r="R2127" s="18">
        <v>45</v>
      </c>
      <c r="S2127" s="19">
        <v>8854.3674999999985</v>
      </c>
      <c r="T2127" s="20" t="s">
        <v>99</v>
      </c>
      <c r="U2127" s="21" t="s">
        <v>170</v>
      </c>
      <c r="V2127" s="23">
        <v>36</v>
      </c>
      <c r="W2127" s="23">
        <v>6</v>
      </c>
      <c r="X2127" s="24"/>
    </row>
    <row r="2128" spans="1:24" s="1" customFormat="1" ht="26" customHeight="1" x14ac:dyDescent="0.3">
      <c r="A2128" s="25" t="s">
        <v>2784</v>
      </c>
      <c r="B2128" s="25" t="s">
        <v>3027</v>
      </c>
      <c r="C2128" s="12" t="s">
        <v>3028</v>
      </c>
      <c r="D2128" s="86"/>
      <c r="E2128" s="67" t="str">
        <f>HYPERLINK("https://www.google.ru/search?q=101906219&amp;newwindow=1&amp;tbm=isch","Еще фото")</f>
        <v>Еще фото</v>
      </c>
      <c r="F2128" s="14"/>
      <c r="G2128" s="25" t="s">
        <v>92</v>
      </c>
      <c r="H2128" s="25" t="s">
        <v>93</v>
      </c>
      <c r="I2128" s="25" t="s">
        <v>196</v>
      </c>
      <c r="J2128" s="15" t="s">
        <v>28</v>
      </c>
      <c r="K2128" s="16" t="s">
        <v>45</v>
      </c>
      <c r="L2128" s="88"/>
      <c r="M2128" s="15"/>
      <c r="N2128" s="15" t="s">
        <v>38</v>
      </c>
      <c r="O2128" s="15"/>
      <c r="P2128" s="16" t="s">
        <v>3026</v>
      </c>
      <c r="Q2128" s="17">
        <v>13999</v>
      </c>
      <c r="R2128" s="18">
        <v>45</v>
      </c>
      <c r="S2128" s="19">
        <v>8854.3674999999985</v>
      </c>
      <c r="T2128" s="20" t="s">
        <v>99</v>
      </c>
      <c r="U2128" s="21" t="s">
        <v>202</v>
      </c>
      <c r="V2128" s="23">
        <v>37</v>
      </c>
      <c r="W2128" s="23">
        <v>7</v>
      </c>
      <c r="X2128" s="24"/>
    </row>
    <row r="2129" spans="1:24" s="1" customFormat="1" ht="26" customHeight="1" x14ac:dyDescent="0.3">
      <c r="A2129" s="25" t="s">
        <v>2784</v>
      </c>
      <c r="B2129" s="25" t="s">
        <v>3027</v>
      </c>
      <c r="C2129" s="12" t="s">
        <v>3028</v>
      </c>
      <c r="D2129" s="87"/>
      <c r="E2129" s="67" t="str">
        <f>HYPERLINK("https://www.google.ru/search?q=101906219&amp;newwindow=1&amp;tbm=isch","Еще фото")</f>
        <v>Еще фото</v>
      </c>
      <c r="F2129" s="14"/>
      <c r="G2129" s="25" t="s">
        <v>92</v>
      </c>
      <c r="H2129" s="25" t="s">
        <v>93</v>
      </c>
      <c r="I2129" s="25" t="s">
        <v>196</v>
      </c>
      <c r="J2129" s="15" t="s">
        <v>28</v>
      </c>
      <c r="K2129" s="16" t="s">
        <v>45</v>
      </c>
      <c r="L2129" s="84"/>
      <c r="M2129" s="15"/>
      <c r="N2129" s="15" t="s">
        <v>38</v>
      </c>
      <c r="O2129" s="15"/>
      <c r="P2129" s="16" t="s">
        <v>3026</v>
      </c>
      <c r="Q2129" s="17">
        <v>13999</v>
      </c>
      <c r="R2129" s="18">
        <v>45</v>
      </c>
      <c r="S2129" s="19">
        <v>8854.3674999999985</v>
      </c>
      <c r="T2129" s="20" t="s">
        <v>99</v>
      </c>
      <c r="U2129" s="21" t="s">
        <v>175</v>
      </c>
      <c r="V2129" s="23">
        <v>38</v>
      </c>
      <c r="W2129" s="23">
        <v>2</v>
      </c>
      <c r="X2129" s="24"/>
    </row>
    <row r="2130" spans="1:24" s="1" customFormat="1" ht="108" customHeight="1" x14ac:dyDescent="0.3">
      <c r="A2130" s="11" t="s">
        <v>2784</v>
      </c>
      <c r="B2130" s="11" t="s">
        <v>3029</v>
      </c>
      <c r="C2130" s="12" t="s">
        <v>3030</v>
      </c>
      <c r="D2130" s="13"/>
      <c r="E2130" s="67" t="str">
        <f>HYPERLINK("https://www.google.ru/search?q=101917348&amp;newwindow=1&amp;tbm=isch","Еще фото")</f>
        <v>Еще фото</v>
      </c>
      <c r="F2130" s="14"/>
      <c r="G2130" s="11" t="s">
        <v>153</v>
      </c>
      <c r="H2130" s="11" t="s">
        <v>93</v>
      </c>
      <c r="I2130" s="15" t="s">
        <v>196</v>
      </c>
      <c r="J2130" s="15" t="s">
        <v>28</v>
      </c>
      <c r="K2130" s="16" t="s">
        <v>45</v>
      </c>
      <c r="L2130" s="15"/>
      <c r="M2130" s="15"/>
      <c r="N2130" s="15" t="s">
        <v>31</v>
      </c>
      <c r="O2130" s="15"/>
      <c r="P2130" s="16" t="s">
        <v>2935</v>
      </c>
      <c r="Q2130" s="17">
        <v>7699</v>
      </c>
      <c r="R2130" s="18">
        <v>45</v>
      </c>
      <c r="S2130" s="19">
        <v>4869.6174999999994</v>
      </c>
      <c r="T2130" s="20" t="s">
        <v>99</v>
      </c>
      <c r="U2130" s="21" t="s">
        <v>100</v>
      </c>
      <c r="V2130" s="23">
        <v>39</v>
      </c>
      <c r="W2130" s="23">
        <v>1</v>
      </c>
      <c r="X2130" s="24"/>
    </row>
    <row r="2131" spans="1:24" s="1" customFormat="1" ht="108" customHeight="1" x14ac:dyDescent="0.3">
      <c r="A2131" s="11" t="s">
        <v>2784</v>
      </c>
      <c r="B2131" s="11" t="s">
        <v>3031</v>
      </c>
      <c r="C2131" s="12" t="s">
        <v>3032</v>
      </c>
      <c r="D2131" s="13"/>
      <c r="E2131" s="67" t="str">
        <f>HYPERLINK("https://www.google.ru/search?q=101917478&amp;newwindow=1&amp;tbm=isch","Еще фото")</f>
        <v>Еще фото</v>
      </c>
      <c r="F2131" s="14"/>
      <c r="G2131" s="11" t="s">
        <v>153</v>
      </c>
      <c r="H2131" s="11" t="s">
        <v>93</v>
      </c>
      <c r="I2131" s="15" t="s">
        <v>196</v>
      </c>
      <c r="J2131" s="15" t="s">
        <v>28</v>
      </c>
      <c r="K2131" s="16" t="s">
        <v>45</v>
      </c>
      <c r="L2131" s="15"/>
      <c r="M2131" s="15"/>
      <c r="N2131" s="15" t="s">
        <v>38</v>
      </c>
      <c r="O2131" s="15"/>
      <c r="P2131" s="16" t="s">
        <v>2823</v>
      </c>
      <c r="Q2131" s="17">
        <v>13799</v>
      </c>
      <c r="R2131" s="18">
        <v>45</v>
      </c>
      <c r="S2131" s="19">
        <v>8727.8674999999985</v>
      </c>
      <c r="T2131" s="20" t="s">
        <v>99</v>
      </c>
      <c r="U2131" s="21" t="s">
        <v>158</v>
      </c>
      <c r="V2131" s="23">
        <v>43</v>
      </c>
      <c r="W2131" s="23">
        <v>1</v>
      </c>
      <c r="X2131" s="24"/>
    </row>
    <row r="2132" spans="1:24" s="1" customFormat="1" ht="52.05" customHeight="1" x14ac:dyDescent="0.3">
      <c r="A2132" s="11" t="s">
        <v>2784</v>
      </c>
      <c r="B2132" s="11" t="s">
        <v>3031</v>
      </c>
      <c r="C2132" s="12" t="s">
        <v>3033</v>
      </c>
      <c r="D2132" s="81"/>
      <c r="E2132" s="67" t="str">
        <f>HYPERLINK("https://www.google.ru/search?q=101917480&amp;newwindow=1&amp;tbm=isch","Еще фото")</f>
        <v>Еще фото</v>
      </c>
      <c r="F2132" s="14"/>
      <c r="G2132" s="11" t="s">
        <v>153</v>
      </c>
      <c r="H2132" s="11" t="s">
        <v>93</v>
      </c>
      <c r="I2132" s="15" t="s">
        <v>196</v>
      </c>
      <c r="J2132" s="15" t="s">
        <v>28</v>
      </c>
      <c r="K2132" s="16" t="s">
        <v>45</v>
      </c>
      <c r="L2132" s="83"/>
      <c r="M2132" s="15"/>
      <c r="N2132" s="15" t="s">
        <v>31</v>
      </c>
      <c r="O2132" s="15"/>
      <c r="P2132" s="16" t="s">
        <v>2823</v>
      </c>
      <c r="Q2132" s="17">
        <v>13799</v>
      </c>
      <c r="R2132" s="18">
        <v>45</v>
      </c>
      <c r="S2132" s="19">
        <v>8727.8674999999985</v>
      </c>
      <c r="T2132" s="20" t="s">
        <v>99</v>
      </c>
      <c r="U2132" s="21" t="s">
        <v>100</v>
      </c>
      <c r="V2132" s="23">
        <v>39</v>
      </c>
      <c r="W2132" s="23">
        <v>2</v>
      </c>
      <c r="X2132" s="24"/>
    </row>
    <row r="2133" spans="1:24" s="1" customFormat="1" ht="61.05" customHeight="1" x14ac:dyDescent="0.3">
      <c r="A2133" s="25" t="s">
        <v>2784</v>
      </c>
      <c r="B2133" s="25" t="s">
        <v>3031</v>
      </c>
      <c r="C2133" s="12" t="s">
        <v>3033</v>
      </c>
      <c r="D2133" s="82"/>
      <c r="E2133" s="67" t="str">
        <f>HYPERLINK("https://www.google.ru/search?q=101917480&amp;newwindow=1&amp;tbm=isch","Еще фото")</f>
        <v>Еще фото</v>
      </c>
      <c r="F2133" s="14"/>
      <c r="G2133" s="25" t="s">
        <v>153</v>
      </c>
      <c r="H2133" s="25" t="s">
        <v>93</v>
      </c>
      <c r="I2133" s="25" t="s">
        <v>196</v>
      </c>
      <c r="J2133" s="15" t="s">
        <v>28</v>
      </c>
      <c r="K2133" s="16" t="s">
        <v>45</v>
      </c>
      <c r="L2133" s="84"/>
      <c r="M2133" s="15"/>
      <c r="N2133" s="15" t="s">
        <v>31</v>
      </c>
      <c r="O2133" s="15"/>
      <c r="P2133" s="16" t="s">
        <v>2823</v>
      </c>
      <c r="Q2133" s="17">
        <v>13799</v>
      </c>
      <c r="R2133" s="18">
        <v>45</v>
      </c>
      <c r="S2133" s="19">
        <v>8727.8674999999985</v>
      </c>
      <c r="T2133" s="20" t="s">
        <v>99</v>
      </c>
      <c r="U2133" s="21" t="s">
        <v>164</v>
      </c>
      <c r="V2133" s="23">
        <v>41</v>
      </c>
      <c r="W2133" s="23">
        <v>3</v>
      </c>
      <c r="X2133" s="24"/>
    </row>
    <row r="2134" spans="1:24" s="1" customFormat="1" ht="108" customHeight="1" x14ac:dyDescent="0.3">
      <c r="A2134" s="11" t="s">
        <v>2784</v>
      </c>
      <c r="B2134" s="11" t="s">
        <v>3034</v>
      </c>
      <c r="C2134" s="12" t="s">
        <v>3035</v>
      </c>
      <c r="D2134" s="13"/>
      <c r="E2134" s="67" t="str">
        <f>HYPERLINK("https://www.google.ru/search?q=101917483&amp;newwindow=1&amp;tbm=isch","Еще фото")</f>
        <v>Еще фото</v>
      </c>
      <c r="F2134" s="14"/>
      <c r="G2134" s="11" t="s">
        <v>153</v>
      </c>
      <c r="H2134" s="11" t="s">
        <v>93</v>
      </c>
      <c r="I2134" s="15" t="s">
        <v>196</v>
      </c>
      <c r="J2134" s="15" t="s">
        <v>28</v>
      </c>
      <c r="K2134" s="16" t="s">
        <v>45</v>
      </c>
      <c r="L2134" s="15"/>
      <c r="M2134" s="15"/>
      <c r="N2134" s="15" t="s">
        <v>218</v>
      </c>
      <c r="O2134" s="15"/>
      <c r="P2134" s="16" t="s">
        <v>2823</v>
      </c>
      <c r="Q2134" s="17">
        <v>8899</v>
      </c>
      <c r="R2134" s="18">
        <v>45</v>
      </c>
      <c r="S2134" s="19">
        <v>5628.6174999999994</v>
      </c>
      <c r="T2134" s="20" t="s">
        <v>99</v>
      </c>
      <c r="U2134" s="21" t="s">
        <v>100</v>
      </c>
      <c r="V2134" s="23">
        <v>39</v>
      </c>
      <c r="W2134" s="23">
        <v>1</v>
      </c>
      <c r="X2134" s="24"/>
    </row>
    <row r="2135" spans="1:24" s="1" customFormat="1" ht="35" customHeight="1" x14ac:dyDescent="0.3">
      <c r="A2135" s="11" t="s">
        <v>2784</v>
      </c>
      <c r="B2135" s="11" t="s">
        <v>3036</v>
      </c>
      <c r="C2135" s="12" t="s">
        <v>3037</v>
      </c>
      <c r="D2135" s="85"/>
      <c r="E2135" s="67" t="str">
        <f>HYPERLINK("https://www.google.ru/search?q=101917534&amp;newwindow=1&amp;tbm=isch","Еще фото")</f>
        <v>Еще фото</v>
      </c>
      <c r="F2135" s="14"/>
      <c r="G2135" s="11" t="s">
        <v>153</v>
      </c>
      <c r="H2135" s="11" t="s">
        <v>93</v>
      </c>
      <c r="I2135" s="15" t="s">
        <v>196</v>
      </c>
      <c r="J2135" s="15" t="s">
        <v>28</v>
      </c>
      <c r="K2135" s="16" t="s">
        <v>29</v>
      </c>
      <c r="L2135" s="83"/>
      <c r="M2135" s="15"/>
      <c r="N2135" s="15" t="s">
        <v>31</v>
      </c>
      <c r="O2135" s="15"/>
      <c r="P2135" s="16" t="s">
        <v>2823</v>
      </c>
      <c r="Q2135" s="17">
        <v>7699</v>
      </c>
      <c r="R2135" s="18">
        <v>45</v>
      </c>
      <c r="S2135" s="19">
        <v>4869.6174999999994</v>
      </c>
      <c r="T2135" s="20" t="s">
        <v>99</v>
      </c>
      <c r="U2135" s="21" t="s">
        <v>214</v>
      </c>
      <c r="V2135" s="23">
        <v>34</v>
      </c>
      <c r="W2135" s="23">
        <v>2</v>
      </c>
      <c r="X2135" s="24"/>
    </row>
    <row r="2136" spans="1:24" s="1" customFormat="1" ht="35" customHeight="1" x14ac:dyDescent="0.3">
      <c r="A2136" s="25" t="s">
        <v>2784</v>
      </c>
      <c r="B2136" s="25" t="s">
        <v>3036</v>
      </c>
      <c r="C2136" s="12" t="s">
        <v>3037</v>
      </c>
      <c r="D2136" s="86"/>
      <c r="E2136" s="67" t="str">
        <f>HYPERLINK("https://www.google.ru/search?q=101917534&amp;newwindow=1&amp;tbm=isch","Еще фото")</f>
        <v>Еще фото</v>
      </c>
      <c r="F2136" s="14"/>
      <c r="G2136" s="25" t="s">
        <v>153</v>
      </c>
      <c r="H2136" s="25" t="s">
        <v>93</v>
      </c>
      <c r="I2136" s="25" t="s">
        <v>196</v>
      </c>
      <c r="J2136" s="15" t="s">
        <v>28</v>
      </c>
      <c r="K2136" s="16" t="s">
        <v>29</v>
      </c>
      <c r="L2136" s="88"/>
      <c r="M2136" s="15"/>
      <c r="N2136" s="15" t="s">
        <v>31</v>
      </c>
      <c r="O2136" s="15"/>
      <c r="P2136" s="16" t="s">
        <v>2823</v>
      </c>
      <c r="Q2136" s="17">
        <v>7699</v>
      </c>
      <c r="R2136" s="18">
        <v>45</v>
      </c>
      <c r="S2136" s="19">
        <v>4869.6174999999994</v>
      </c>
      <c r="T2136" s="20" t="s">
        <v>99</v>
      </c>
      <c r="U2136" s="21" t="s">
        <v>894</v>
      </c>
      <c r="V2136" s="23">
        <v>35</v>
      </c>
      <c r="W2136" s="23">
        <v>3</v>
      </c>
      <c r="X2136" s="24"/>
    </row>
    <row r="2137" spans="1:24" s="1" customFormat="1" ht="37.049999999999997" customHeight="1" x14ac:dyDescent="0.3">
      <c r="A2137" s="25" t="s">
        <v>2784</v>
      </c>
      <c r="B2137" s="25" t="s">
        <v>3036</v>
      </c>
      <c r="C2137" s="12" t="s">
        <v>3037</v>
      </c>
      <c r="D2137" s="87"/>
      <c r="E2137" s="67" t="str">
        <f>HYPERLINK("https://www.google.ru/search?q=101917534&amp;newwindow=1&amp;tbm=isch","Еще фото")</f>
        <v>Еще фото</v>
      </c>
      <c r="F2137" s="14"/>
      <c r="G2137" s="25" t="s">
        <v>153</v>
      </c>
      <c r="H2137" s="25" t="s">
        <v>93</v>
      </c>
      <c r="I2137" s="25" t="s">
        <v>196</v>
      </c>
      <c r="J2137" s="15" t="s">
        <v>28</v>
      </c>
      <c r="K2137" s="16" t="s">
        <v>29</v>
      </c>
      <c r="L2137" s="84"/>
      <c r="M2137" s="15"/>
      <c r="N2137" s="15" t="s">
        <v>31</v>
      </c>
      <c r="O2137" s="15"/>
      <c r="P2137" s="16" t="s">
        <v>2823</v>
      </c>
      <c r="Q2137" s="17">
        <v>7699</v>
      </c>
      <c r="R2137" s="18">
        <v>45</v>
      </c>
      <c r="S2137" s="19">
        <v>4869.6174999999994</v>
      </c>
      <c r="T2137" s="20" t="s">
        <v>99</v>
      </c>
      <c r="U2137" s="21" t="s">
        <v>170</v>
      </c>
      <c r="V2137" s="23">
        <v>36</v>
      </c>
      <c r="W2137" s="23">
        <v>2</v>
      </c>
      <c r="X2137" s="24"/>
    </row>
    <row r="2138" spans="1:24" s="1" customFormat="1" ht="35" customHeight="1" x14ac:dyDescent="0.3">
      <c r="A2138" s="11" t="s">
        <v>2784</v>
      </c>
      <c r="B2138" s="11" t="s">
        <v>3036</v>
      </c>
      <c r="C2138" s="12" t="s">
        <v>3038</v>
      </c>
      <c r="D2138" s="85"/>
      <c r="E2138" s="67" t="str">
        <f>HYPERLINK("https://www.google.ru/search?q=101917535&amp;newwindow=1&amp;tbm=isch","Еще фото")</f>
        <v>Еще фото</v>
      </c>
      <c r="F2138" s="14"/>
      <c r="G2138" s="11" t="s">
        <v>153</v>
      </c>
      <c r="H2138" s="11" t="s">
        <v>93</v>
      </c>
      <c r="I2138" s="15" t="s">
        <v>196</v>
      </c>
      <c r="J2138" s="15" t="s">
        <v>28</v>
      </c>
      <c r="K2138" s="16" t="s">
        <v>29</v>
      </c>
      <c r="L2138" s="83"/>
      <c r="M2138" s="15"/>
      <c r="N2138" s="15" t="s">
        <v>212</v>
      </c>
      <c r="O2138" s="15"/>
      <c r="P2138" s="16" t="s">
        <v>2823</v>
      </c>
      <c r="Q2138" s="17">
        <v>7699</v>
      </c>
      <c r="R2138" s="18">
        <v>45</v>
      </c>
      <c r="S2138" s="19">
        <v>4869.6174999999994</v>
      </c>
      <c r="T2138" s="20" t="s">
        <v>99</v>
      </c>
      <c r="U2138" s="21" t="s">
        <v>214</v>
      </c>
      <c r="V2138" s="23">
        <v>34</v>
      </c>
      <c r="W2138" s="23">
        <v>1</v>
      </c>
      <c r="X2138" s="24"/>
    </row>
    <row r="2139" spans="1:24" s="1" customFormat="1" ht="35" customHeight="1" x14ac:dyDescent="0.3">
      <c r="A2139" s="25" t="s">
        <v>2784</v>
      </c>
      <c r="B2139" s="25" t="s">
        <v>3036</v>
      </c>
      <c r="C2139" s="12" t="s">
        <v>3038</v>
      </c>
      <c r="D2139" s="86"/>
      <c r="E2139" s="67" t="str">
        <f>HYPERLINK("https://www.google.ru/search?q=101917535&amp;newwindow=1&amp;tbm=isch","Еще фото")</f>
        <v>Еще фото</v>
      </c>
      <c r="F2139" s="14"/>
      <c r="G2139" s="25" t="s">
        <v>153</v>
      </c>
      <c r="H2139" s="25" t="s">
        <v>93</v>
      </c>
      <c r="I2139" s="25" t="s">
        <v>196</v>
      </c>
      <c r="J2139" s="15" t="s">
        <v>28</v>
      </c>
      <c r="K2139" s="16" t="s">
        <v>29</v>
      </c>
      <c r="L2139" s="88"/>
      <c r="M2139" s="15"/>
      <c r="N2139" s="15" t="s">
        <v>212</v>
      </c>
      <c r="O2139" s="15"/>
      <c r="P2139" s="16" t="s">
        <v>2823</v>
      </c>
      <c r="Q2139" s="17">
        <v>7699</v>
      </c>
      <c r="R2139" s="18">
        <v>45</v>
      </c>
      <c r="S2139" s="19">
        <v>4869.6174999999994</v>
      </c>
      <c r="T2139" s="20" t="s">
        <v>99</v>
      </c>
      <c r="U2139" s="21" t="s">
        <v>894</v>
      </c>
      <c r="V2139" s="23">
        <v>35</v>
      </c>
      <c r="W2139" s="23">
        <v>3</v>
      </c>
      <c r="X2139" s="24"/>
    </row>
    <row r="2140" spans="1:24" s="1" customFormat="1" ht="37.049999999999997" customHeight="1" x14ac:dyDescent="0.3">
      <c r="A2140" s="25" t="s">
        <v>2784</v>
      </c>
      <c r="B2140" s="25" t="s">
        <v>3036</v>
      </c>
      <c r="C2140" s="12" t="s">
        <v>3038</v>
      </c>
      <c r="D2140" s="87"/>
      <c r="E2140" s="67" t="str">
        <f>HYPERLINK("https://www.google.ru/search?q=101917535&amp;newwindow=1&amp;tbm=isch","Еще фото")</f>
        <v>Еще фото</v>
      </c>
      <c r="F2140" s="14"/>
      <c r="G2140" s="25" t="s">
        <v>153</v>
      </c>
      <c r="H2140" s="25" t="s">
        <v>93</v>
      </c>
      <c r="I2140" s="25" t="s">
        <v>196</v>
      </c>
      <c r="J2140" s="15" t="s">
        <v>28</v>
      </c>
      <c r="K2140" s="16" t="s">
        <v>29</v>
      </c>
      <c r="L2140" s="84"/>
      <c r="M2140" s="15"/>
      <c r="N2140" s="15" t="s">
        <v>212</v>
      </c>
      <c r="O2140" s="15"/>
      <c r="P2140" s="16" t="s">
        <v>2823</v>
      </c>
      <c r="Q2140" s="17">
        <v>7699</v>
      </c>
      <c r="R2140" s="18">
        <v>45</v>
      </c>
      <c r="S2140" s="19">
        <v>4869.6174999999994</v>
      </c>
      <c r="T2140" s="20" t="s">
        <v>99</v>
      </c>
      <c r="U2140" s="21" t="s">
        <v>170</v>
      </c>
      <c r="V2140" s="23">
        <v>36</v>
      </c>
      <c r="W2140" s="23">
        <v>2</v>
      </c>
      <c r="X2140" s="24"/>
    </row>
    <row r="2141" spans="1:24" s="1" customFormat="1" ht="17" customHeight="1" x14ac:dyDescent="0.3">
      <c r="A2141" s="11" t="s">
        <v>2784</v>
      </c>
      <c r="B2141" s="11" t="s">
        <v>3034</v>
      </c>
      <c r="C2141" s="12" t="s">
        <v>3039</v>
      </c>
      <c r="D2141" s="85"/>
      <c r="E2141" s="67" t="str">
        <f t="shared" ref="E2141:E2146" si="38">HYPERLINK("https://www.google.ru/search?q=101917554&amp;newwindow=1&amp;tbm=isch","Еще фото")</f>
        <v>Еще фото</v>
      </c>
      <c r="F2141" s="14"/>
      <c r="G2141" s="11" t="s">
        <v>153</v>
      </c>
      <c r="H2141" s="11" t="s">
        <v>93</v>
      </c>
      <c r="I2141" s="15" t="s">
        <v>196</v>
      </c>
      <c r="J2141" s="15" t="s">
        <v>28</v>
      </c>
      <c r="K2141" s="16" t="s">
        <v>29</v>
      </c>
      <c r="L2141" s="83"/>
      <c r="M2141" s="15"/>
      <c r="N2141" s="15" t="s">
        <v>38</v>
      </c>
      <c r="O2141" s="15"/>
      <c r="P2141" s="16" t="s">
        <v>2823</v>
      </c>
      <c r="Q2141" s="17">
        <v>13799</v>
      </c>
      <c r="R2141" s="18">
        <v>45</v>
      </c>
      <c r="S2141" s="19">
        <v>8727.8674999999985</v>
      </c>
      <c r="T2141" s="20" t="s">
        <v>99</v>
      </c>
      <c r="U2141" s="21" t="s">
        <v>214</v>
      </c>
      <c r="V2141" s="23">
        <v>34</v>
      </c>
      <c r="W2141" s="23">
        <v>3</v>
      </c>
      <c r="X2141" s="24"/>
    </row>
    <row r="2142" spans="1:24" s="1" customFormat="1" ht="17" customHeight="1" x14ac:dyDescent="0.3">
      <c r="A2142" s="25" t="s">
        <v>2784</v>
      </c>
      <c r="B2142" s="25" t="s">
        <v>3034</v>
      </c>
      <c r="C2142" s="12" t="s">
        <v>3039</v>
      </c>
      <c r="D2142" s="86"/>
      <c r="E2142" s="67" t="str">
        <f t="shared" si="38"/>
        <v>Еще фото</v>
      </c>
      <c r="F2142" s="14"/>
      <c r="G2142" s="25" t="s">
        <v>153</v>
      </c>
      <c r="H2142" s="25" t="s">
        <v>93</v>
      </c>
      <c r="I2142" s="25" t="s">
        <v>196</v>
      </c>
      <c r="J2142" s="15" t="s">
        <v>28</v>
      </c>
      <c r="K2142" s="16" t="s">
        <v>29</v>
      </c>
      <c r="L2142" s="88"/>
      <c r="M2142" s="15"/>
      <c r="N2142" s="15" t="s">
        <v>38</v>
      </c>
      <c r="O2142" s="15"/>
      <c r="P2142" s="16" t="s">
        <v>2823</v>
      </c>
      <c r="Q2142" s="17">
        <v>13799</v>
      </c>
      <c r="R2142" s="18">
        <v>45</v>
      </c>
      <c r="S2142" s="19">
        <v>8727.8674999999985</v>
      </c>
      <c r="T2142" s="20" t="s">
        <v>99</v>
      </c>
      <c r="U2142" s="21" t="s">
        <v>894</v>
      </c>
      <c r="V2142" s="23">
        <v>35</v>
      </c>
      <c r="W2142" s="23">
        <v>1</v>
      </c>
      <c r="X2142" s="24"/>
    </row>
    <row r="2143" spans="1:24" s="1" customFormat="1" ht="17" customHeight="1" x14ac:dyDescent="0.3">
      <c r="A2143" s="25" t="s">
        <v>2784</v>
      </c>
      <c r="B2143" s="25" t="s">
        <v>3034</v>
      </c>
      <c r="C2143" s="12" t="s">
        <v>3039</v>
      </c>
      <c r="D2143" s="86"/>
      <c r="E2143" s="67" t="str">
        <f t="shared" si="38"/>
        <v>Еще фото</v>
      </c>
      <c r="F2143" s="14"/>
      <c r="G2143" s="25" t="s">
        <v>153</v>
      </c>
      <c r="H2143" s="25" t="s">
        <v>93</v>
      </c>
      <c r="I2143" s="25" t="s">
        <v>196</v>
      </c>
      <c r="J2143" s="15" t="s">
        <v>28</v>
      </c>
      <c r="K2143" s="16" t="s">
        <v>29</v>
      </c>
      <c r="L2143" s="88"/>
      <c r="M2143" s="15"/>
      <c r="N2143" s="15" t="s">
        <v>38</v>
      </c>
      <c r="O2143" s="15"/>
      <c r="P2143" s="16" t="s">
        <v>2823</v>
      </c>
      <c r="Q2143" s="17">
        <v>13799</v>
      </c>
      <c r="R2143" s="18">
        <v>45</v>
      </c>
      <c r="S2143" s="19">
        <v>8727.8674999999985</v>
      </c>
      <c r="T2143" s="20" t="s">
        <v>99</v>
      </c>
      <c r="U2143" s="21" t="s">
        <v>170</v>
      </c>
      <c r="V2143" s="23">
        <v>36</v>
      </c>
      <c r="W2143" s="23">
        <v>2</v>
      </c>
      <c r="X2143" s="24"/>
    </row>
    <row r="2144" spans="1:24" s="1" customFormat="1" ht="17" customHeight="1" x14ac:dyDescent="0.3">
      <c r="A2144" s="25" t="s">
        <v>2784</v>
      </c>
      <c r="B2144" s="25" t="s">
        <v>3034</v>
      </c>
      <c r="C2144" s="12" t="s">
        <v>3039</v>
      </c>
      <c r="D2144" s="86"/>
      <c r="E2144" s="67" t="str">
        <f t="shared" si="38"/>
        <v>Еще фото</v>
      </c>
      <c r="F2144" s="14"/>
      <c r="G2144" s="25" t="s">
        <v>153</v>
      </c>
      <c r="H2144" s="25" t="s">
        <v>93</v>
      </c>
      <c r="I2144" s="25" t="s">
        <v>196</v>
      </c>
      <c r="J2144" s="15" t="s">
        <v>28</v>
      </c>
      <c r="K2144" s="16" t="s">
        <v>29</v>
      </c>
      <c r="L2144" s="88"/>
      <c r="M2144" s="15"/>
      <c r="N2144" s="15" t="s">
        <v>38</v>
      </c>
      <c r="O2144" s="15"/>
      <c r="P2144" s="16" t="s">
        <v>2823</v>
      </c>
      <c r="Q2144" s="17">
        <v>13799</v>
      </c>
      <c r="R2144" s="18">
        <v>45</v>
      </c>
      <c r="S2144" s="19">
        <v>8727.8674999999985</v>
      </c>
      <c r="T2144" s="20" t="s">
        <v>99</v>
      </c>
      <c r="U2144" s="21" t="s">
        <v>202</v>
      </c>
      <c r="V2144" s="23">
        <v>37</v>
      </c>
      <c r="W2144" s="23">
        <v>3</v>
      </c>
      <c r="X2144" s="24"/>
    </row>
    <row r="2145" spans="1:24" s="1" customFormat="1" ht="17" customHeight="1" x14ac:dyDescent="0.3">
      <c r="A2145" s="25" t="s">
        <v>2784</v>
      </c>
      <c r="B2145" s="25" t="s">
        <v>3034</v>
      </c>
      <c r="C2145" s="12" t="s">
        <v>3039</v>
      </c>
      <c r="D2145" s="86"/>
      <c r="E2145" s="67" t="str">
        <f t="shared" si="38"/>
        <v>Еще фото</v>
      </c>
      <c r="F2145" s="14"/>
      <c r="G2145" s="25" t="s">
        <v>153</v>
      </c>
      <c r="H2145" s="25" t="s">
        <v>93</v>
      </c>
      <c r="I2145" s="25" t="s">
        <v>196</v>
      </c>
      <c r="J2145" s="15" t="s">
        <v>28</v>
      </c>
      <c r="K2145" s="16" t="s">
        <v>29</v>
      </c>
      <c r="L2145" s="88"/>
      <c r="M2145" s="15"/>
      <c r="N2145" s="15" t="s">
        <v>38</v>
      </c>
      <c r="O2145" s="15"/>
      <c r="P2145" s="16" t="s">
        <v>2823</v>
      </c>
      <c r="Q2145" s="17">
        <v>13799</v>
      </c>
      <c r="R2145" s="18">
        <v>45</v>
      </c>
      <c r="S2145" s="19">
        <v>8727.8674999999985</v>
      </c>
      <c r="T2145" s="20" t="s">
        <v>99</v>
      </c>
      <c r="U2145" s="21" t="s">
        <v>175</v>
      </c>
      <c r="V2145" s="23">
        <v>38</v>
      </c>
      <c r="W2145" s="23">
        <v>3</v>
      </c>
      <c r="X2145" s="24"/>
    </row>
    <row r="2146" spans="1:24" s="1" customFormat="1" ht="22.05" customHeight="1" x14ac:dyDescent="0.3">
      <c r="A2146" s="25" t="s">
        <v>2784</v>
      </c>
      <c r="B2146" s="25" t="s">
        <v>3034</v>
      </c>
      <c r="C2146" s="12" t="s">
        <v>3039</v>
      </c>
      <c r="D2146" s="87"/>
      <c r="E2146" s="67" t="str">
        <f t="shared" si="38"/>
        <v>Еще фото</v>
      </c>
      <c r="F2146" s="14"/>
      <c r="G2146" s="25" t="s">
        <v>153</v>
      </c>
      <c r="H2146" s="25" t="s">
        <v>93</v>
      </c>
      <c r="I2146" s="25" t="s">
        <v>196</v>
      </c>
      <c r="J2146" s="15" t="s">
        <v>28</v>
      </c>
      <c r="K2146" s="16" t="s">
        <v>29</v>
      </c>
      <c r="L2146" s="84"/>
      <c r="M2146" s="15"/>
      <c r="N2146" s="15" t="s">
        <v>38</v>
      </c>
      <c r="O2146" s="15"/>
      <c r="P2146" s="16" t="s">
        <v>2823</v>
      </c>
      <c r="Q2146" s="17">
        <v>13799</v>
      </c>
      <c r="R2146" s="18">
        <v>45</v>
      </c>
      <c r="S2146" s="19">
        <v>8727.8674999999985</v>
      </c>
      <c r="T2146" s="20" t="s">
        <v>99</v>
      </c>
      <c r="U2146" s="21" t="s">
        <v>100</v>
      </c>
      <c r="V2146" s="23">
        <v>39</v>
      </c>
      <c r="W2146" s="23">
        <v>3</v>
      </c>
      <c r="X2146" s="24"/>
    </row>
    <row r="2147" spans="1:24" s="1" customFormat="1" ht="17" customHeight="1" x14ac:dyDescent="0.3">
      <c r="A2147" s="11" t="s">
        <v>2784</v>
      </c>
      <c r="B2147" s="11" t="s">
        <v>3034</v>
      </c>
      <c r="C2147" s="12" t="s">
        <v>3040</v>
      </c>
      <c r="D2147" s="85"/>
      <c r="E2147" s="67" t="str">
        <f t="shared" ref="E2147:E2152" si="39">HYPERLINK("https://www.google.ru/search?q=101917573&amp;newwindow=1&amp;tbm=isch","Еще фото")</f>
        <v>Еще фото</v>
      </c>
      <c r="F2147" s="14"/>
      <c r="G2147" s="11" t="s">
        <v>153</v>
      </c>
      <c r="H2147" s="11" t="s">
        <v>93</v>
      </c>
      <c r="I2147" s="15" t="s">
        <v>196</v>
      </c>
      <c r="J2147" s="15" t="s">
        <v>28</v>
      </c>
      <c r="K2147" s="16" t="s">
        <v>29</v>
      </c>
      <c r="L2147" s="83"/>
      <c r="M2147" s="15"/>
      <c r="N2147" s="15" t="s">
        <v>413</v>
      </c>
      <c r="O2147" s="15"/>
      <c r="P2147" s="16" t="s">
        <v>2823</v>
      </c>
      <c r="Q2147" s="17">
        <v>13799</v>
      </c>
      <c r="R2147" s="18">
        <v>45</v>
      </c>
      <c r="S2147" s="19">
        <v>8727.8674999999985</v>
      </c>
      <c r="T2147" s="20" t="s">
        <v>99</v>
      </c>
      <c r="U2147" s="21" t="s">
        <v>214</v>
      </c>
      <c r="V2147" s="23">
        <v>34</v>
      </c>
      <c r="W2147" s="23">
        <v>3</v>
      </c>
      <c r="X2147" s="24"/>
    </row>
    <row r="2148" spans="1:24" s="1" customFormat="1" ht="17" customHeight="1" x14ac:dyDescent="0.3">
      <c r="A2148" s="25" t="s">
        <v>2784</v>
      </c>
      <c r="B2148" s="25" t="s">
        <v>3034</v>
      </c>
      <c r="C2148" s="12" t="s">
        <v>3040</v>
      </c>
      <c r="D2148" s="86"/>
      <c r="E2148" s="67" t="str">
        <f t="shared" si="39"/>
        <v>Еще фото</v>
      </c>
      <c r="F2148" s="14"/>
      <c r="G2148" s="25" t="s">
        <v>153</v>
      </c>
      <c r="H2148" s="25" t="s">
        <v>93</v>
      </c>
      <c r="I2148" s="25" t="s">
        <v>196</v>
      </c>
      <c r="J2148" s="15" t="s">
        <v>28</v>
      </c>
      <c r="K2148" s="16" t="s">
        <v>29</v>
      </c>
      <c r="L2148" s="88"/>
      <c r="M2148" s="15"/>
      <c r="N2148" s="15" t="s">
        <v>413</v>
      </c>
      <c r="O2148" s="15"/>
      <c r="P2148" s="16" t="s">
        <v>2823</v>
      </c>
      <c r="Q2148" s="17">
        <v>13799</v>
      </c>
      <c r="R2148" s="18">
        <v>45</v>
      </c>
      <c r="S2148" s="19">
        <v>8727.8674999999985</v>
      </c>
      <c r="T2148" s="20" t="s">
        <v>99</v>
      </c>
      <c r="U2148" s="21" t="s">
        <v>894</v>
      </c>
      <c r="V2148" s="23">
        <v>35</v>
      </c>
      <c r="W2148" s="23">
        <v>3</v>
      </c>
      <c r="X2148" s="24"/>
    </row>
    <row r="2149" spans="1:24" s="1" customFormat="1" ht="17" customHeight="1" x14ac:dyDescent="0.3">
      <c r="A2149" s="25" t="s">
        <v>2784</v>
      </c>
      <c r="B2149" s="25" t="s">
        <v>3034</v>
      </c>
      <c r="C2149" s="12" t="s">
        <v>3040</v>
      </c>
      <c r="D2149" s="86"/>
      <c r="E2149" s="67" t="str">
        <f t="shared" si="39"/>
        <v>Еще фото</v>
      </c>
      <c r="F2149" s="14"/>
      <c r="G2149" s="25" t="s">
        <v>153</v>
      </c>
      <c r="H2149" s="25" t="s">
        <v>93</v>
      </c>
      <c r="I2149" s="25" t="s">
        <v>196</v>
      </c>
      <c r="J2149" s="15" t="s">
        <v>28</v>
      </c>
      <c r="K2149" s="16" t="s">
        <v>29</v>
      </c>
      <c r="L2149" s="88"/>
      <c r="M2149" s="15"/>
      <c r="N2149" s="15" t="s">
        <v>413</v>
      </c>
      <c r="O2149" s="15"/>
      <c r="P2149" s="16" t="s">
        <v>2823</v>
      </c>
      <c r="Q2149" s="17">
        <v>13799</v>
      </c>
      <c r="R2149" s="18">
        <v>45</v>
      </c>
      <c r="S2149" s="19">
        <v>8727.8674999999985</v>
      </c>
      <c r="T2149" s="20" t="s">
        <v>99</v>
      </c>
      <c r="U2149" s="21" t="s">
        <v>170</v>
      </c>
      <c r="V2149" s="23">
        <v>36</v>
      </c>
      <c r="W2149" s="23">
        <v>3</v>
      </c>
      <c r="X2149" s="24"/>
    </row>
    <row r="2150" spans="1:24" s="1" customFormat="1" ht="17" customHeight="1" x14ac:dyDescent="0.3">
      <c r="A2150" s="25" t="s">
        <v>2784</v>
      </c>
      <c r="B2150" s="25" t="s">
        <v>3034</v>
      </c>
      <c r="C2150" s="12" t="s">
        <v>3040</v>
      </c>
      <c r="D2150" s="86"/>
      <c r="E2150" s="67" t="str">
        <f t="shared" si="39"/>
        <v>Еще фото</v>
      </c>
      <c r="F2150" s="14"/>
      <c r="G2150" s="25" t="s">
        <v>153</v>
      </c>
      <c r="H2150" s="25" t="s">
        <v>93</v>
      </c>
      <c r="I2150" s="25" t="s">
        <v>196</v>
      </c>
      <c r="J2150" s="15" t="s">
        <v>28</v>
      </c>
      <c r="K2150" s="16" t="s">
        <v>29</v>
      </c>
      <c r="L2150" s="88"/>
      <c r="M2150" s="15"/>
      <c r="N2150" s="15" t="s">
        <v>413</v>
      </c>
      <c r="O2150" s="15"/>
      <c r="P2150" s="16" t="s">
        <v>2823</v>
      </c>
      <c r="Q2150" s="17">
        <v>13799</v>
      </c>
      <c r="R2150" s="18">
        <v>45</v>
      </c>
      <c r="S2150" s="19">
        <v>8727.8674999999985</v>
      </c>
      <c r="T2150" s="20" t="s">
        <v>99</v>
      </c>
      <c r="U2150" s="21" t="s">
        <v>202</v>
      </c>
      <c r="V2150" s="23">
        <v>37</v>
      </c>
      <c r="W2150" s="23">
        <v>2</v>
      </c>
      <c r="X2150" s="24"/>
    </row>
    <row r="2151" spans="1:24" s="1" customFormat="1" ht="17" customHeight="1" x14ac:dyDescent="0.3">
      <c r="A2151" s="25" t="s">
        <v>2784</v>
      </c>
      <c r="B2151" s="25" t="s">
        <v>3034</v>
      </c>
      <c r="C2151" s="12" t="s">
        <v>3040</v>
      </c>
      <c r="D2151" s="86"/>
      <c r="E2151" s="67" t="str">
        <f t="shared" si="39"/>
        <v>Еще фото</v>
      </c>
      <c r="F2151" s="14"/>
      <c r="G2151" s="25" t="s">
        <v>153</v>
      </c>
      <c r="H2151" s="25" t="s">
        <v>93</v>
      </c>
      <c r="I2151" s="25" t="s">
        <v>196</v>
      </c>
      <c r="J2151" s="15" t="s">
        <v>28</v>
      </c>
      <c r="K2151" s="16" t="s">
        <v>29</v>
      </c>
      <c r="L2151" s="88"/>
      <c r="M2151" s="15"/>
      <c r="N2151" s="15" t="s">
        <v>413</v>
      </c>
      <c r="O2151" s="15"/>
      <c r="P2151" s="16" t="s">
        <v>2823</v>
      </c>
      <c r="Q2151" s="17">
        <v>13799</v>
      </c>
      <c r="R2151" s="18">
        <v>45</v>
      </c>
      <c r="S2151" s="19">
        <v>8727.8674999999985</v>
      </c>
      <c r="T2151" s="20" t="s">
        <v>99</v>
      </c>
      <c r="U2151" s="21" t="s">
        <v>175</v>
      </c>
      <c r="V2151" s="23">
        <v>38</v>
      </c>
      <c r="W2151" s="23">
        <v>1</v>
      </c>
      <c r="X2151" s="24"/>
    </row>
    <row r="2152" spans="1:24" s="1" customFormat="1" ht="22.05" customHeight="1" x14ac:dyDescent="0.3">
      <c r="A2152" s="25" t="s">
        <v>2784</v>
      </c>
      <c r="B2152" s="25" t="s">
        <v>3034</v>
      </c>
      <c r="C2152" s="12" t="s">
        <v>3040</v>
      </c>
      <c r="D2152" s="87"/>
      <c r="E2152" s="67" t="str">
        <f t="shared" si="39"/>
        <v>Еще фото</v>
      </c>
      <c r="F2152" s="14"/>
      <c r="G2152" s="25" t="s">
        <v>153</v>
      </c>
      <c r="H2152" s="25" t="s">
        <v>93</v>
      </c>
      <c r="I2152" s="25" t="s">
        <v>196</v>
      </c>
      <c r="J2152" s="15" t="s">
        <v>28</v>
      </c>
      <c r="K2152" s="16" t="s">
        <v>29</v>
      </c>
      <c r="L2152" s="84"/>
      <c r="M2152" s="15"/>
      <c r="N2152" s="15" t="s">
        <v>413</v>
      </c>
      <c r="O2152" s="15"/>
      <c r="P2152" s="16" t="s">
        <v>2823</v>
      </c>
      <c r="Q2152" s="17">
        <v>13799</v>
      </c>
      <c r="R2152" s="18">
        <v>45</v>
      </c>
      <c r="S2152" s="19">
        <v>8727.8674999999985</v>
      </c>
      <c r="T2152" s="20" t="s">
        <v>99</v>
      </c>
      <c r="U2152" s="21" t="s">
        <v>100</v>
      </c>
      <c r="V2152" s="23">
        <v>39</v>
      </c>
      <c r="W2152" s="23">
        <v>2</v>
      </c>
      <c r="X2152" s="24"/>
    </row>
    <row r="2153" spans="1:24" s="1" customFormat="1" ht="108" customHeight="1" x14ac:dyDescent="0.3">
      <c r="A2153" s="11" t="s">
        <v>2784</v>
      </c>
      <c r="B2153" s="11" t="s">
        <v>3041</v>
      </c>
      <c r="C2153" s="12" t="s">
        <v>3042</v>
      </c>
      <c r="D2153" s="13"/>
      <c r="E2153" s="67" t="str">
        <f>HYPERLINK("https://www.google.ru/search?q=101987916&amp;newwindow=1&amp;tbm=isch","Еще фото")</f>
        <v>Еще фото</v>
      </c>
      <c r="F2153" s="14"/>
      <c r="G2153" s="11" t="s">
        <v>92</v>
      </c>
      <c r="H2153" s="11" t="s">
        <v>93</v>
      </c>
      <c r="I2153" s="15" t="s">
        <v>196</v>
      </c>
      <c r="J2153" s="15" t="s">
        <v>28</v>
      </c>
      <c r="K2153" s="16" t="s">
        <v>45</v>
      </c>
      <c r="L2153" s="15"/>
      <c r="M2153" s="15"/>
      <c r="N2153" s="15" t="s">
        <v>265</v>
      </c>
      <c r="O2153" s="15"/>
      <c r="P2153" s="16" t="s">
        <v>2790</v>
      </c>
      <c r="Q2153" s="17">
        <v>18999</v>
      </c>
      <c r="R2153" s="18">
        <v>45</v>
      </c>
      <c r="S2153" s="19">
        <v>12016.8675</v>
      </c>
      <c r="T2153" s="20" t="s">
        <v>99</v>
      </c>
      <c r="U2153" s="21" t="s">
        <v>235</v>
      </c>
      <c r="V2153" s="23">
        <v>40</v>
      </c>
      <c r="W2153" s="23">
        <v>1</v>
      </c>
      <c r="X2153" s="24"/>
    </row>
    <row r="2154" spans="1:24" s="1" customFormat="1" ht="26" customHeight="1" x14ac:dyDescent="0.3">
      <c r="A2154" s="11" t="s">
        <v>2784</v>
      </c>
      <c r="B2154" s="11" t="s">
        <v>3043</v>
      </c>
      <c r="C2154" s="12" t="s">
        <v>3044</v>
      </c>
      <c r="D2154" s="85"/>
      <c r="E2154" s="67" t="str">
        <f>HYPERLINK("https://www.google.ru/search?q=101987929&amp;newwindow=1&amp;tbm=isch","Еще фото")</f>
        <v>Еще фото</v>
      </c>
      <c r="F2154" s="14"/>
      <c r="G2154" s="11" t="s">
        <v>92</v>
      </c>
      <c r="H2154" s="11" t="s">
        <v>93</v>
      </c>
      <c r="I2154" s="15" t="s">
        <v>196</v>
      </c>
      <c r="J2154" s="15" t="s">
        <v>28</v>
      </c>
      <c r="K2154" s="16" t="s">
        <v>45</v>
      </c>
      <c r="L2154" s="83"/>
      <c r="M2154" s="15"/>
      <c r="N2154" s="15" t="s">
        <v>38</v>
      </c>
      <c r="O2154" s="15"/>
      <c r="P2154" s="16" t="s">
        <v>2790</v>
      </c>
      <c r="Q2154" s="17">
        <v>13899</v>
      </c>
      <c r="R2154" s="18">
        <v>45</v>
      </c>
      <c r="S2154" s="19">
        <v>8791.1174999999985</v>
      </c>
      <c r="T2154" s="20" t="s">
        <v>99</v>
      </c>
      <c r="U2154" s="21" t="s">
        <v>100</v>
      </c>
      <c r="V2154" s="23">
        <v>39</v>
      </c>
      <c r="W2154" s="23">
        <v>1</v>
      </c>
      <c r="X2154" s="24"/>
    </row>
    <row r="2155" spans="1:24" s="1" customFormat="1" ht="26" customHeight="1" x14ac:dyDescent="0.3">
      <c r="A2155" s="25" t="s">
        <v>2784</v>
      </c>
      <c r="B2155" s="25" t="s">
        <v>3043</v>
      </c>
      <c r="C2155" s="12" t="s">
        <v>3044</v>
      </c>
      <c r="D2155" s="86"/>
      <c r="E2155" s="67" t="str">
        <f>HYPERLINK("https://www.google.ru/search?q=101987929&amp;newwindow=1&amp;tbm=isch","Еще фото")</f>
        <v>Еще фото</v>
      </c>
      <c r="F2155" s="14"/>
      <c r="G2155" s="25" t="s">
        <v>92</v>
      </c>
      <c r="H2155" s="25" t="s">
        <v>93</v>
      </c>
      <c r="I2155" s="25" t="s">
        <v>196</v>
      </c>
      <c r="J2155" s="15" t="s">
        <v>28</v>
      </c>
      <c r="K2155" s="16" t="s">
        <v>45</v>
      </c>
      <c r="L2155" s="88"/>
      <c r="M2155" s="15"/>
      <c r="N2155" s="15" t="s">
        <v>38</v>
      </c>
      <c r="O2155" s="15"/>
      <c r="P2155" s="16" t="s">
        <v>2790</v>
      </c>
      <c r="Q2155" s="17">
        <v>13899</v>
      </c>
      <c r="R2155" s="18">
        <v>45</v>
      </c>
      <c r="S2155" s="19">
        <v>8791.1174999999985</v>
      </c>
      <c r="T2155" s="20" t="s">
        <v>99</v>
      </c>
      <c r="U2155" s="21" t="s">
        <v>235</v>
      </c>
      <c r="V2155" s="23">
        <v>40</v>
      </c>
      <c r="W2155" s="23">
        <v>1</v>
      </c>
      <c r="X2155" s="24"/>
    </row>
    <row r="2156" spans="1:24" s="1" customFormat="1" ht="26" customHeight="1" x14ac:dyDescent="0.3">
      <c r="A2156" s="25" t="s">
        <v>2784</v>
      </c>
      <c r="B2156" s="25" t="s">
        <v>3043</v>
      </c>
      <c r="C2156" s="12" t="s">
        <v>3044</v>
      </c>
      <c r="D2156" s="86"/>
      <c r="E2156" s="67" t="str">
        <f>HYPERLINK("https://www.google.ru/search?q=101987929&amp;newwindow=1&amp;tbm=isch","Еще фото")</f>
        <v>Еще фото</v>
      </c>
      <c r="F2156" s="14"/>
      <c r="G2156" s="25" t="s">
        <v>92</v>
      </c>
      <c r="H2156" s="25" t="s">
        <v>93</v>
      </c>
      <c r="I2156" s="25" t="s">
        <v>196</v>
      </c>
      <c r="J2156" s="15" t="s">
        <v>28</v>
      </c>
      <c r="K2156" s="16" t="s">
        <v>45</v>
      </c>
      <c r="L2156" s="88"/>
      <c r="M2156" s="15"/>
      <c r="N2156" s="15" t="s">
        <v>38</v>
      </c>
      <c r="O2156" s="15"/>
      <c r="P2156" s="16" t="s">
        <v>2790</v>
      </c>
      <c r="Q2156" s="17">
        <v>13899</v>
      </c>
      <c r="R2156" s="18">
        <v>45</v>
      </c>
      <c r="S2156" s="19">
        <v>8791.1174999999985</v>
      </c>
      <c r="T2156" s="20" t="s">
        <v>99</v>
      </c>
      <c r="U2156" s="21" t="s">
        <v>164</v>
      </c>
      <c r="V2156" s="23">
        <v>41</v>
      </c>
      <c r="W2156" s="23">
        <v>1</v>
      </c>
      <c r="X2156" s="24"/>
    </row>
    <row r="2157" spans="1:24" s="1" customFormat="1" ht="26" customHeight="1" x14ac:dyDescent="0.3">
      <c r="A2157" s="25" t="s">
        <v>2784</v>
      </c>
      <c r="B2157" s="25" t="s">
        <v>3043</v>
      </c>
      <c r="C2157" s="12" t="s">
        <v>3044</v>
      </c>
      <c r="D2157" s="87"/>
      <c r="E2157" s="67" t="str">
        <f>HYPERLINK("https://www.google.ru/search?q=101987929&amp;newwindow=1&amp;tbm=isch","Еще фото")</f>
        <v>Еще фото</v>
      </c>
      <c r="F2157" s="14"/>
      <c r="G2157" s="25" t="s">
        <v>92</v>
      </c>
      <c r="H2157" s="25" t="s">
        <v>93</v>
      </c>
      <c r="I2157" s="25" t="s">
        <v>196</v>
      </c>
      <c r="J2157" s="15" t="s">
        <v>28</v>
      </c>
      <c r="K2157" s="16" t="s">
        <v>45</v>
      </c>
      <c r="L2157" s="84"/>
      <c r="M2157" s="15"/>
      <c r="N2157" s="15" t="s">
        <v>38</v>
      </c>
      <c r="O2157" s="15"/>
      <c r="P2157" s="16" t="s">
        <v>2790</v>
      </c>
      <c r="Q2157" s="17">
        <v>13899</v>
      </c>
      <c r="R2157" s="18">
        <v>45</v>
      </c>
      <c r="S2157" s="19">
        <v>8791.1174999999985</v>
      </c>
      <c r="T2157" s="20" t="s">
        <v>99</v>
      </c>
      <c r="U2157" s="21" t="s">
        <v>158</v>
      </c>
      <c r="V2157" s="23">
        <v>43</v>
      </c>
      <c r="W2157" s="23">
        <v>2</v>
      </c>
      <c r="X2157" s="24"/>
    </row>
    <row r="2158" spans="1:24" s="1" customFormat="1" ht="26" customHeight="1" x14ac:dyDescent="0.3">
      <c r="A2158" s="11" t="s">
        <v>2784</v>
      </c>
      <c r="B2158" s="11" t="s">
        <v>3043</v>
      </c>
      <c r="C2158" s="12" t="s">
        <v>3045</v>
      </c>
      <c r="D2158" s="85"/>
      <c r="E2158" s="67" t="str">
        <f>HYPERLINK("https://www.google.ru/search?q=101987933&amp;newwindow=1&amp;tbm=isch","Еще фото")</f>
        <v>Еще фото</v>
      </c>
      <c r="F2158" s="14"/>
      <c r="G2158" s="11" t="s">
        <v>92</v>
      </c>
      <c r="H2158" s="11" t="s">
        <v>93</v>
      </c>
      <c r="I2158" s="15" t="s">
        <v>196</v>
      </c>
      <c r="J2158" s="15" t="s">
        <v>28</v>
      </c>
      <c r="K2158" s="16" t="s">
        <v>45</v>
      </c>
      <c r="L2158" s="83"/>
      <c r="M2158" s="15"/>
      <c r="N2158" s="15" t="s">
        <v>265</v>
      </c>
      <c r="O2158" s="15"/>
      <c r="P2158" s="16" t="s">
        <v>2790</v>
      </c>
      <c r="Q2158" s="17">
        <v>13899</v>
      </c>
      <c r="R2158" s="18">
        <v>45</v>
      </c>
      <c r="S2158" s="19">
        <v>8791.1174999999985</v>
      </c>
      <c r="T2158" s="20" t="s">
        <v>99</v>
      </c>
      <c r="U2158" s="21" t="s">
        <v>100</v>
      </c>
      <c r="V2158" s="23">
        <v>39</v>
      </c>
      <c r="W2158" s="23">
        <v>1</v>
      </c>
      <c r="X2158" s="24"/>
    </row>
    <row r="2159" spans="1:24" s="1" customFormat="1" ht="26" customHeight="1" x14ac:dyDescent="0.3">
      <c r="A2159" s="25" t="s">
        <v>2784</v>
      </c>
      <c r="B2159" s="25" t="s">
        <v>3043</v>
      </c>
      <c r="C2159" s="12" t="s">
        <v>3045</v>
      </c>
      <c r="D2159" s="86"/>
      <c r="E2159" s="67" t="str">
        <f>HYPERLINK("https://www.google.ru/search?q=101987933&amp;newwindow=1&amp;tbm=isch","Еще фото")</f>
        <v>Еще фото</v>
      </c>
      <c r="F2159" s="14"/>
      <c r="G2159" s="25" t="s">
        <v>92</v>
      </c>
      <c r="H2159" s="25" t="s">
        <v>93</v>
      </c>
      <c r="I2159" s="25" t="s">
        <v>196</v>
      </c>
      <c r="J2159" s="15" t="s">
        <v>28</v>
      </c>
      <c r="K2159" s="16" t="s">
        <v>45</v>
      </c>
      <c r="L2159" s="88"/>
      <c r="M2159" s="15"/>
      <c r="N2159" s="15" t="s">
        <v>265</v>
      </c>
      <c r="O2159" s="15"/>
      <c r="P2159" s="16" t="s">
        <v>2790</v>
      </c>
      <c r="Q2159" s="17">
        <v>13899</v>
      </c>
      <c r="R2159" s="18">
        <v>45</v>
      </c>
      <c r="S2159" s="19">
        <v>8791.1174999999985</v>
      </c>
      <c r="T2159" s="20" t="s">
        <v>99</v>
      </c>
      <c r="U2159" s="21" t="s">
        <v>235</v>
      </c>
      <c r="V2159" s="23">
        <v>40</v>
      </c>
      <c r="W2159" s="23">
        <v>5</v>
      </c>
      <c r="X2159" s="24"/>
    </row>
    <row r="2160" spans="1:24" s="1" customFormat="1" ht="26" customHeight="1" x14ac:dyDescent="0.3">
      <c r="A2160" s="25" t="s">
        <v>2784</v>
      </c>
      <c r="B2160" s="25" t="s">
        <v>3043</v>
      </c>
      <c r="C2160" s="12" t="s">
        <v>3045</v>
      </c>
      <c r="D2160" s="86"/>
      <c r="E2160" s="67" t="str">
        <f>HYPERLINK("https://www.google.ru/search?q=101987933&amp;newwindow=1&amp;tbm=isch","Еще фото")</f>
        <v>Еще фото</v>
      </c>
      <c r="F2160" s="14"/>
      <c r="G2160" s="25" t="s">
        <v>92</v>
      </c>
      <c r="H2160" s="25" t="s">
        <v>93</v>
      </c>
      <c r="I2160" s="25" t="s">
        <v>196</v>
      </c>
      <c r="J2160" s="15" t="s">
        <v>28</v>
      </c>
      <c r="K2160" s="16" t="s">
        <v>45</v>
      </c>
      <c r="L2160" s="88"/>
      <c r="M2160" s="15"/>
      <c r="N2160" s="15" t="s">
        <v>265</v>
      </c>
      <c r="O2160" s="15"/>
      <c r="P2160" s="16" t="s">
        <v>2790</v>
      </c>
      <c r="Q2160" s="17">
        <v>13899</v>
      </c>
      <c r="R2160" s="18">
        <v>45</v>
      </c>
      <c r="S2160" s="19">
        <v>8791.1174999999985</v>
      </c>
      <c r="T2160" s="20" t="s">
        <v>99</v>
      </c>
      <c r="U2160" s="21" t="s">
        <v>164</v>
      </c>
      <c r="V2160" s="23">
        <v>41</v>
      </c>
      <c r="W2160" s="23">
        <v>2</v>
      </c>
      <c r="X2160" s="24"/>
    </row>
    <row r="2161" spans="1:24" s="1" customFormat="1" ht="26" customHeight="1" x14ac:dyDescent="0.3">
      <c r="A2161" s="25" t="s">
        <v>2784</v>
      </c>
      <c r="B2161" s="25" t="s">
        <v>3043</v>
      </c>
      <c r="C2161" s="12" t="s">
        <v>3045</v>
      </c>
      <c r="D2161" s="87"/>
      <c r="E2161" s="67" t="str">
        <f>HYPERLINK("https://www.google.ru/search?q=101987933&amp;newwindow=1&amp;tbm=isch","Еще фото")</f>
        <v>Еще фото</v>
      </c>
      <c r="F2161" s="14"/>
      <c r="G2161" s="25" t="s">
        <v>92</v>
      </c>
      <c r="H2161" s="25" t="s">
        <v>93</v>
      </c>
      <c r="I2161" s="25" t="s">
        <v>196</v>
      </c>
      <c r="J2161" s="15" t="s">
        <v>28</v>
      </c>
      <c r="K2161" s="16" t="s">
        <v>45</v>
      </c>
      <c r="L2161" s="84"/>
      <c r="M2161" s="15"/>
      <c r="N2161" s="15" t="s">
        <v>265</v>
      </c>
      <c r="O2161" s="15"/>
      <c r="P2161" s="16" t="s">
        <v>2790</v>
      </c>
      <c r="Q2161" s="17">
        <v>13899</v>
      </c>
      <c r="R2161" s="18">
        <v>45</v>
      </c>
      <c r="S2161" s="19">
        <v>8791.1174999999985</v>
      </c>
      <c r="T2161" s="20" t="s">
        <v>99</v>
      </c>
      <c r="U2161" s="21" t="s">
        <v>165</v>
      </c>
      <c r="V2161" s="23">
        <v>42</v>
      </c>
      <c r="W2161" s="23">
        <v>1</v>
      </c>
      <c r="X2161" s="24"/>
    </row>
    <row r="2162" spans="1:24" s="1" customFormat="1" ht="26" customHeight="1" x14ac:dyDescent="0.3">
      <c r="A2162" s="11" t="s">
        <v>2784</v>
      </c>
      <c r="B2162" s="11" t="s">
        <v>3043</v>
      </c>
      <c r="C2162" s="12" t="s">
        <v>3046</v>
      </c>
      <c r="D2162" s="85"/>
      <c r="E2162" s="67" t="str">
        <f>HYPERLINK("https://www.google.ru/search?q=101987940&amp;newwindow=1&amp;tbm=isch","Еще фото")</f>
        <v>Еще фото</v>
      </c>
      <c r="F2162" s="14"/>
      <c r="G2162" s="11" t="s">
        <v>92</v>
      </c>
      <c r="H2162" s="11" t="s">
        <v>93</v>
      </c>
      <c r="I2162" s="15" t="s">
        <v>196</v>
      </c>
      <c r="J2162" s="15" t="s">
        <v>28</v>
      </c>
      <c r="K2162" s="16" t="s">
        <v>45</v>
      </c>
      <c r="L2162" s="83"/>
      <c r="M2162" s="15"/>
      <c r="N2162" s="15" t="s">
        <v>38</v>
      </c>
      <c r="O2162" s="15"/>
      <c r="P2162" s="16" t="s">
        <v>2794</v>
      </c>
      <c r="Q2162" s="17">
        <v>17999</v>
      </c>
      <c r="R2162" s="18">
        <v>45</v>
      </c>
      <c r="S2162" s="19">
        <v>11384.3675</v>
      </c>
      <c r="T2162" s="20" t="s">
        <v>99</v>
      </c>
      <c r="U2162" s="21" t="s">
        <v>100</v>
      </c>
      <c r="V2162" s="23">
        <v>39</v>
      </c>
      <c r="W2162" s="23">
        <v>1</v>
      </c>
      <c r="X2162" s="24"/>
    </row>
    <row r="2163" spans="1:24" s="1" customFormat="1" ht="26" customHeight="1" x14ac:dyDescent="0.3">
      <c r="A2163" s="25" t="s">
        <v>2784</v>
      </c>
      <c r="B2163" s="25" t="s">
        <v>3043</v>
      </c>
      <c r="C2163" s="12" t="s">
        <v>3046</v>
      </c>
      <c r="D2163" s="86"/>
      <c r="E2163" s="67" t="str">
        <f>HYPERLINK("https://www.google.ru/search?q=101987940&amp;newwindow=1&amp;tbm=isch","Еще фото")</f>
        <v>Еще фото</v>
      </c>
      <c r="F2163" s="14"/>
      <c r="G2163" s="25" t="s">
        <v>92</v>
      </c>
      <c r="H2163" s="25" t="s">
        <v>93</v>
      </c>
      <c r="I2163" s="25" t="s">
        <v>196</v>
      </c>
      <c r="J2163" s="15" t="s">
        <v>28</v>
      </c>
      <c r="K2163" s="16" t="s">
        <v>45</v>
      </c>
      <c r="L2163" s="88"/>
      <c r="M2163" s="15"/>
      <c r="N2163" s="15" t="s">
        <v>38</v>
      </c>
      <c r="O2163" s="15"/>
      <c r="P2163" s="16" t="s">
        <v>2794</v>
      </c>
      <c r="Q2163" s="17">
        <v>17999</v>
      </c>
      <c r="R2163" s="18">
        <v>45</v>
      </c>
      <c r="S2163" s="19">
        <v>11384.3675</v>
      </c>
      <c r="T2163" s="20" t="s">
        <v>99</v>
      </c>
      <c r="U2163" s="21" t="s">
        <v>235</v>
      </c>
      <c r="V2163" s="23">
        <v>40</v>
      </c>
      <c r="W2163" s="23">
        <v>3</v>
      </c>
      <c r="X2163" s="24"/>
    </row>
    <row r="2164" spans="1:24" s="1" customFormat="1" ht="26" customHeight="1" x14ac:dyDescent="0.3">
      <c r="A2164" s="25" t="s">
        <v>2784</v>
      </c>
      <c r="B2164" s="25" t="s">
        <v>3043</v>
      </c>
      <c r="C2164" s="12" t="s">
        <v>3046</v>
      </c>
      <c r="D2164" s="86"/>
      <c r="E2164" s="67" t="str">
        <f>HYPERLINK("https://www.google.ru/search?q=101987940&amp;newwindow=1&amp;tbm=isch","Еще фото")</f>
        <v>Еще фото</v>
      </c>
      <c r="F2164" s="14"/>
      <c r="G2164" s="25" t="s">
        <v>92</v>
      </c>
      <c r="H2164" s="25" t="s">
        <v>93</v>
      </c>
      <c r="I2164" s="25" t="s">
        <v>196</v>
      </c>
      <c r="J2164" s="15" t="s">
        <v>28</v>
      </c>
      <c r="K2164" s="16" t="s">
        <v>45</v>
      </c>
      <c r="L2164" s="88"/>
      <c r="M2164" s="15"/>
      <c r="N2164" s="15" t="s">
        <v>38</v>
      </c>
      <c r="O2164" s="15"/>
      <c r="P2164" s="16" t="s">
        <v>2794</v>
      </c>
      <c r="Q2164" s="17">
        <v>17999</v>
      </c>
      <c r="R2164" s="18">
        <v>45</v>
      </c>
      <c r="S2164" s="19">
        <v>11384.3675</v>
      </c>
      <c r="T2164" s="20" t="s">
        <v>99</v>
      </c>
      <c r="U2164" s="21" t="s">
        <v>164</v>
      </c>
      <c r="V2164" s="23">
        <v>41</v>
      </c>
      <c r="W2164" s="23">
        <v>2</v>
      </c>
      <c r="X2164" s="24"/>
    </row>
    <row r="2165" spans="1:24" s="1" customFormat="1" ht="26" customHeight="1" x14ac:dyDescent="0.3">
      <c r="A2165" s="25" t="s">
        <v>2784</v>
      </c>
      <c r="B2165" s="25" t="s">
        <v>3043</v>
      </c>
      <c r="C2165" s="12" t="s">
        <v>3046</v>
      </c>
      <c r="D2165" s="87"/>
      <c r="E2165" s="67" t="str">
        <f>HYPERLINK("https://www.google.ru/search?q=101987940&amp;newwindow=1&amp;tbm=isch","Еще фото")</f>
        <v>Еще фото</v>
      </c>
      <c r="F2165" s="14"/>
      <c r="G2165" s="25" t="s">
        <v>92</v>
      </c>
      <c r="H2165" s="25" t="s">
        <v>93</v>
      </c>
      <c r="I2165" s="25" t="s">
        <v>196</v>
      </c>
      <c r="J2165" s="15" t="s">
        <v>28</v>
      </c>
      <c r="K2165" s="16" t="s">
        <v>45</v>
      </c>
      <c r="L2165" s="84"/>
      <c r="M2165" s="15"/>
      <c r="N2165" s="15" t="s">
        <v>38</v>
      </c>
      <c r="O2165" s="15"/>
      <c r="P2165" s="16" t="s">
        <v>2794</v>
      </c>
      <c r="Q2165" s="17">
        <v>17999</v>
      </c>
      <c r="R2165" s="18">
        <v>45</v>
      </c>
      <c r="S2165" s="19">
        <v>11384.3675</v>
      </c>
      <c r="T2165" s="20" t="s">
        <v>99</v>
      </c>
      <c r="U2165" s="21" t="s">
        <v>165</v>
      </c>
      <c r="V2165" s="23">
        <v>42</v>
      </c>
      <c r="W2165" s="23">
        <v>2</v>
      </c>
      <c r="X2165" s="24"/>
    </row>
    <row r="2166" spans="1:24" s="1" customFormat="1" ht="21" customHeight="1" x14ac:dyDescent="0.3">
      <c r="A2166" s="11" t="s">
        <v>2784</v>
      </c>
      <c r="B2166" s="11" t="s">
        <v>3043</v>
      </c>
      <c r="C2166" s="27" t="s">
        <v>3047</v>
      </c>
      <c r="D2166" s="85"/>
      <c r="E2166" s="67" t="str">
        <f>HYPERLINK("https://www.google.ru/search?q=101987941&amp;newwindow=1&amp;tbm=isch","Еще фото")</f>
        <v>Еще фото</v>
      </c>
      <c r="F2166" s="14"/>
      <c r="G2166" s="11" t="s">
        <v>92</v>
      </c>
      <c r="H2166" s="11" t="s">
        <v>93</v>
      </c>
      <c r="I2166" s="15" t="s">
        <v>196</v>
      </c>
      <c r="J2166" s="15" t="s">
        <v>28</v>
      </c>
      <c r="K2166" s="16" t="s">
        <v>45</v>
      </c>
      <c r="L2166" s="83"/>
      <c r="M2166" s="15"/>
      <c r="N2166" s="15" t="s">
        <v>265</v>
      </c>
      <c r="O2166" s="15"/>
      <c r="P2166" s="16" t="s">
        <v>2794</v>
      </c>
      <c r="Q2166" s="17">
        <v>14999</v>
      </c>
      <c r="R2166" s="18">
        <v>45</v>
      </c>
      <c r="S2166" s="19">
        <v>9486.8675000000003</v>
      </c>
      <c r="T2166" s="20" t="s">
        <v>99</v>
      </c>
      <c r="U2166" s="21" t="s">
        <v>235</v>
      </c>
      <c r="V2166" s="23">
        <v>40</v>
      </c>
      <c r="W2166" s="23">
        <v>3</v>
      </c>
      <c r="X2166" s="24"/>
    </row>
    <row r="2167" spans="1:24" s="1" customFormat="1" ht="21" customHeight="1" x14ac:dyDescent="0.3">
      <c r="A2167" s="25" t="s">
        <v>2784</v>
      </c>
      <c r="B2167" s="25" t="s">
        <v>3043</v>
      </c>
      <c r="C2167" s="28" t="s">
        <v>3047</v>
      </c>
      <c r="D2167" s="86"/>
      <c r="E2167" s="67" t="str">
        <f>HYPERLINK("https://www.google.ru/search?q=101987941&amp;newwindow=1&amp;tbm=isch","Еще фото")</f>
        <v>Еще фото</v>
      </c>
      <c r="F2167" s="14"/>
      <c r="G2167" s="25" t="s">
        <v>92</v>
      </c>
      <c r="H2167" s="25" t="s">
        <v>93</v>
      </c>
      <c r="I2167" s="25" t="s">
        <v>196</v>
      </c>
      <c r="J2167" s="15" t="s">
        <v>28</v>
      </c>
      <c r="K2167" s="16" t="s">
        <v>45</v>
      </c>
      <c r="L2167" s="88"/>
      <c r="M2167" s="15"/>
      <c r="N2167" s="15" t="s">
        <v>265</v>
      </c>
      <c r="O2167" s="15"/>
      <c r="P2167" s="16" t="s">
        <v>2794</v>
      </c>
      <c r="Q2167" s="17">
        <v>14999</v>
      </c>
      <c r="R2167" s="18">
        <v>45</v>
      </c>
      <c r="S2167" s="19">
        <v>9486.8675000000003</v>
      </c>
      <c r="T2167" s="20" t="s">
        <v>99</v>
      </c>
      <c r="U2167" s="21" t="s">
        <v>164</v>
      </c>
      <c r="V2167" s="23">
        <v>41</v>
      </c>
      <c r="W2167" s="23">
        <v>4</v>
      </c>
      <c r="X2167" s="24"/>
    </row>
    <row r="2168" spans="1:24" s="1" customFormat="1" ht="21" customHeight="1" x14ac:dyDescent="0.3">
      <c r="A2168" s="25" t="s">
        <v>2784</v>
      </c>
      <c r="B2168" s="25" t="s">
        <v>3043</v>
      </c>
      <c r="C2168" s="28" t="s">
        <v>3047</v>
      </c>
      <c r="D2168" s="86"/>
      <c r="E2168" s="67" t="str">
        <f>HYPERLINK("https://www.google.ru/search?q=101987941&amp;newwindow=1&amp;tbm=isch","Еще фото")</f>
        <v>Еще фото</v>
      </c>
      <c r="F2168" s="14"/>
      <c r="G2168" s="25" t="s">
        <v>92</v>
      </c>
      <c r="H2168" s="25" t="s">
        <v>93</v>
      </c>
      <c r="I2168" s="25" t="s">
        <v>196</v>
      </c>
      <c r="J2168" s="15" t="s">
        <v>28</v>
      </c>
      <c r="K2168" s="16" t="s">
        <v>45</v>
      </c>
      <c r="L2168" s="88"/>
      <c r="M2168" s="15"/>
      <c r="N2168" s="15" t="s">
        <v>265</v>
      </c>
      <c r="O2168" s="15"/>
      <c r="P2168" s="16" t="s">
        <v>2794</v>
      </c>
      <c r="Q2168" s="17">
        <v>14999</v>
      </c>
      <c r="R2168" s="18">
        <v>45</v>
      </c>
      <c r="S2168" s="19">
        <v>9486.8675000000003</v>
      </c>
      <c r="T2168" s="20" t="s">
        <v>99</v>
      </c>
      <c r="U2168" s="21" t="s">
        <v>165</v>
      </c>
      <c r="V2168" s="23">
        <v>42</v>
      </c>
      <c r="W2168" s="23">
        <v>1</v>
      </c>
      <c r="X2168" s="24"/>
    </row>
    <row r="2169" spans="1:24" s="1" customFormat="1" ht="21" customHeight="1" x14ac:dyDescent="0.3">
      <c r="A2169" s="25" t="s">
        <v>2784</v>
      </c>
      <c r="B2169" s="25" t="s">
        <v>3043</v>
      </c>
      <c r="C2169" s="28" t="s">
        <v>3047</v>
      </c>
      <c r="D2169" s="86"/>
      <c r="E2169" s="67" t="str">
        <f>HYPERLINK("https://www.google.ru/search?q=101987941&amp;newwindow=1&amp;tbm=isch","Еще фото")</f>
        <v>Еще фото</v>
      </c>
      <c r="F2169" s="14"/>
      <c r="G2169" s="25" t="s">
        <v>92</v>
      </c>
      <c r="H2169" s="25" t="s">
        <v>93</v>
      </c>
      <c r="I2169" s="25" t="s">
        <v>196</v>
      </c>
      <c r="J2169" s="15" t="s">
        <v>28</v>
      </c>
      <c r="K2169" s="16" t="s">
        <v>45</v>
      </c>
      <c r="L2169" s="88"/>
      <c r="M2169" s="15"/>
      <c r="N2169" s="15" t="s">
        <v>265</v>
      </c>
      <c r="O2169" s="15"/>
      <c r="P2169" s="16" t="s">
        <v>2794</v>
      </c>
      <c r="Q2169" s="17">
        <v>14999</v>
      </c>
      <c r="R2169" s="18">
        <v>45</v>
      </c>
      <c r="S2169" s="19">
        <v>9486.8675000000003</v>
      </c>
      <c r="T2169" s="20" t="s">
        <v>99</v>
      </c>
      <c r="U2169" s="21" t="s">
        <v>158</v>
      </c>
      <c r="V2169" s="23">
        <v>43</v>
      </c>
      <c r="W2169" s="23">
        <v>1</v>
      </c>
      <c r="X2169" s="24"/>
    </row>
    <row r="2170" spans="1:24" s="1" customFormat="1" ht="32" customHeight="1" x14ac:dyDescent="0.3">
      <c r="A2170" s="25" t="s">
        <v>2784</v>
      </c>
      <c r="B2170" s="25" t="s">
        <v>3043</v>
      </c>
      <c r="C2170" s="28" t="s">
        <v>3047</v>
      </c>
      <c r="D2170" s="87"/>
      <c r="E2170" s="67" t="str">
        <f>HYPERLINK("https://www.google.ru/search?q=101987941&amp;newwindow=1&amp;tbm=isch","Еще фото")</f>
        <v>Еще фото</v>
      </c>
      <c r="F2170" s="14"/>
      <c r="G2170" s="25" t="s">
        <v>92</v>
      </c>
      <c r="H2170" s="25" t="s">
        <v>93</v>
      </c>
      <c r="I2170" s="25" t="s">
        <v>196</v>
      </c>
      <c r="J2170" s="15" t="s">
        <v>28</v>
      </c>
      <c r="K2170" s="16" t="s">
        <v>45</v>
      </c>
      <c r="L2170" s="84"/>
      <c r="M2170" s="15"/>
      <c r="N2170" s="15" t="s">
        <v>265</v>
      </c>
      <c r="O2170" s="15"/>
      <c r="P2170" s="16" t="s">
        <v>2794</v>
      </c>
      <c r="Q2170" s="17">
        <v>14999</v>
      </c>
      <c r="R2170" s="18">
        <v>45</v>
      </c>
      <c r="S2170" s="19">
        <v>9486.8675000000003</v>
      </c>
      <c r="T2170" s="20" t="s">
        <v>99</v>
      </c>
      <c r="U2170" s="21" t="s">
        <v>159</v>
      </c>
      <c r="V2170" s="23">
        <v>44</v>
      </c>
      <c r="W2170" s="23">
        <v>1</v>
      </c>
      <c r="X2170" s="24"/>
    </row>
    <row r="2171" spans="1:24" s="1" customFormat="1" ht="35" customHeight="1" x14ac:dyDescent="0.3">
      <c r="A2171" s="11" t="s">
        <v>2784</v>
      </c>
      <c r="B2171" s="11" t="s">
        <v>3043</v>
      </c>
      <c r="C2171" s="12" t="s">
        <v>3048</v>
      </c>
      <c r="D2171" s="85"/>
      <c r="E2171" s="67" t="str">
        <f>HYPERLINK("https://www.google.ru/search?q=101987965&amp;newwindow=1&amp;tbm=isch","Еще фото")</f>
        <v>Еще фото</v>
      </c>
      <c r="F2171" s="14"/>
      <c r="G2171" s="11" t="s">
        <v>92</v>
      </c>
      <c r="H2171" s="11" t="s">
        <v>93</v>
      </c>
      <c r="I2171" s="15" t="s">
        <v>196</v>
      </c>
      <c r="J2171" s="15" t="s">
        <v>28</v>
      </c>
      <c r="K2171" s="16" t="s">
        <v>45</v>
      </c>
      <c r="L2171" s="83"/>
      <c r="M2171" s="15"/>
      <c r="N2171" s="15" t="s">
        <v>38</v>
      </c>
      <c r="O2171" s="15"/>
      <c r="P2171" s="16" t="s">
        <v>2794</v>
      </c>
      <c r="Q2171" s="17">
        <v>14399</v>
      </c>
      <c r="R2171" s="18">
        <v>45</v>
      </c>
      <c r="S2171" s="19">
        <v>9107.3674999999985</v>
      </c>
      <c r="T2171" s="20" t="s">
        <v>99</v>
      </c>
      <c r="U2171" s="21" t="s">
        <v>235</v>
      </c>
      <c r="V2171" s="23">
        <v>40</v>
      </c>
      <c r="W2171" s="23">
        <v>1</v>
      </c>
      <c r="X2171" s="24"/>
    </row>
    <row r="2172" spans="1:24" s="1" customFormat="1" ht="35" customHeight="1" x14ac:dyDescent="0.3">
      <c r="A2172" s="25" t="s">
        <v>2784</v>
      </c>
      <c r="B2172" s="25" t="s">
        <v>3043</v>
      </c>
      <c r="C2172" s="12" t="s">
        <v>3048</v>
      </c>
      <c r="D2172" s="86"/>
      <c r="E2172" s="67" t="str">
        <f>HYPERLINK("https://www.google.ru/search?q=101987965&amp;newwindow=1&amp;tbm=isch","Еще фото")</f>
        <v>Еще фото</v>
      </c>
      <c r="F2172" s="14"/>
      <c r="G2172" s="25" t="s">
        <v>92</v>
      </c>
      <c r="H2172" s="25" t="s">
        <v>93</v>
      </c>
      <c r="I2172" s="25" t="s">
        <v>196</v>
      </c>
      <c r="J2172" s="15" t="s">
        <v>28</v>
      </c>
      <c r="K2172" s="16" t="s">
        <v>45</v>
      </c>
      <c r="L2172" s="88"/>
      <c r="M2172" s="15"/>
      <c r="N2172" s="15" t="s">
        <v>38</v>
      </c>
      <c r="O2172" s="15"/>
      <c r="P2172" s="16" t="s">
        <v>2794</v>
      </c>
      <c r="Q2172" s="17">
        <v>14399</v>
      </c>
      <c r="R2172" s="18">
        <v>45</v>
      </c>
      <c r="S2172" s="19">
        <v>9107.3674999999985</v>
      </c>
      <c r="T2172" s="20" t="s">
        <v>99</v>
      </c>
      <c r="U2172" s="21" t="s">
        <v>164</v>
      </c>
      <c r="V2172" s="23">
        <v>41</v>
      </c>
      <c r="W2172" s="23">
        <v>2</v>
      </c>
      <c r="X2172" s="24"/>
    </row>
    <row r="2173" spans="1:24" s="1" customFormat="1" ht="37.049999999999997" customHeight="1" x14ac:dyDescent="0.3">
      <c r="A2173" s="25" t="s">
        <v>2784</v>
      </c>
      <c r="B2173" s="25" t="s">
        <v>3043</v>
      </c>
      <c r="C2173" s="12" t="s">
        <v>3048</v>
      </c>
      <c r="D2173" s="87"/>
      <c r="E2173" s="67" t="str">
        <f>HYPERLINK("https://www.google.ru/search?q=101987965&amp;newwindow=1&amp;tbm=isch","Еще фото")</f>
        <v>Еще фото</v>
      </c>
      <c r="F2173" s="14"/>
      <c r="G2173" s="25" t="s">
        <v>92</v>
      </c>
      <c r="H2173" s="25" t="s">
        <v>93</v>
      </c>
      <c r="I2173" s="25" t="s">
        <v>196</v>
      </c>
      <c r="J2173" s="15" t="s">
        <v>28</v>
      </c>
      <c r="K2173" s="16" t="s">
        <v>45</v>
      </c>
      <c r="L2173" s="84"/>
      <c r="M2173" s="15"/>
      <c r="N2173" s="15" t="s">
        <v>38</v>
      </c>
      <c r="O2173" s="15"/>
      <c r="P2173" s="16" t="s">
        <v>2794</v>
      </c>
      <c r="Q2173" s="17">
        <v>14399</v>
      </c>
      <c r="R2173" s="18">
        <v>45</v>
      </c>
      <c r="S2173" s="19">
        <v>9107.3674999999985</v>
      </c>
      <c r="T2173" s="20" t="s">
        <v>99</v>
      </c>
      <c r="U2173" s="21" t="s">
        <v>165</v>
      </c>
      <c r="V2173" s="23">
        <v>42</v>
      </c>
      <c r="W2173" s="23">
        <v>1</v>
      </c>
      <c r="X2173" s="24"/>
    </row>
    <row r="2174" spans="1:24" s="1" customFormat="1" ht="108" customHeight="1" x14ac:dyDescent="0.3">
      <c r="A2174" s="11" t="s">
        <v>2784</v>
      </c>
      <c r="B2174" s="11" t="s">
        <v>3049</v>
      </c>
      <c r="C2174" s="12" t="s">
        <v>3050</v>
      </c>
      <c r="D2174" s="13"/>
      <c r="E2174" s="67" t="str">
        <f>HYPERLINK("https://www.google.ru/search?q=101987974&amp;newwindow=1&amp;tbm=isch","Еще фото")</f>
        <v>Еще фото</v>
      </c>
      <c r="F2174" s="14"/>
      <c r="G2174" s="11" t="s">
        <v>153</v>
      </c>
      <c r="H2174" s="11" t="s">
        <v>93</v>
      </c>
      <c r="I2174" s="15" t="s">
        <v>196</v>
      </c>
      <c r="J2174" s="15" t="s">
        <v>28</v>
      </c>
      <c r="K2174" s="16" t="s">
        <v>45</v>
      </c>
      <c r="L2174" s="15"/>
      <c r="M2174" s="15"/>
      <c r="N2174" s="15" t="s">
        <v>55</v>
      </c>
      <c r="O2174" s="15"/>
      <c r="P2174" s="16" t="s">
        <v>3051</v>
      </c>
      <c r="Q2174" s="17">
        <v>9399</v>
      </c>
      <c r="R2174" s="18">
        <v>45</v>
      </c>
      <c r="S2174" s="19">
        <v>5944.8674999999994</v>
      </c>
      <c r="T2174" s="20" t="s">
        <v>99</v>
      </c>
      <c r="U2174" s="21" t="s">
        <v>100</v>
      </c>
      <c r="V2174" s="23">
        <v>39</v>
      </c>
      <c r="W2174" s="23">
        <v>1</v>
      </c>
      <c r="X2174" s="24"/>
    </row>
    <row r="2175" spans="1:24" s="1" customFormat="1" ht="35" customHeight="1" x14ac:dyDescent="0.3">
      <c r="A2175" s="11" t="s">
        <v>2784</v>
      </c>
      <c r="B2175" s="11" t="s">
        <v>2788</v>
      </c>
      <c r="C2175" s="12" t="s">
        <v>3052</v>
      </c>
      <c r="D2175" s="85"/>
      <c r="E2175" s="67" t="str">
        <f>HYPERLINK("https://www.google.ru/search?q=101988074&amp;newwindow=1&amp;tbm=isch","Еще фото")</f>
        <v>Еще фото</v>
      </c>
      <c r="F2175" s="14"/>
      <c r="G2175" s="11" t="s">
        <v>92</v>
      </c>
      <c r="H2175" s="11" t="s">
        <v>93</v>
      </c>
      <c r="I2175" s="15" t="s">
        <v>196</v>
      </c>
      <c r="J2175" s="15" t="s">
        <v>28</v>
      </c>
      <c r="K2175" s="16" t="s">
        <v>29</v>
      </c>
      <c r="L2175" s="83"/>
      <c r="M2175" s="15"/>
      <c r="N2175" s="15" t="s">
        <v>265</v>
      </c>
      <c r="O2175" s="15"/>
      <c r="P2175" s="16" t="s">
        <v>2790</v>
      </c>
      <c r="Q2175" s="17">
        <v>13899</v>
      </c>
      <c r="R2175" s="18">
        <v>45</v>
      </c>
      <c r="S2175" s="19">
        <v>8791.1174999999985</v>
      </c>
      <c r="T2175" s="20" t="s">
        <v>99</v>
      </c>
      <c r="U2175" s="21" t="s">
        <v>894</v>
      </c>
      <c r="V2175" s="23">
        <v>35</v>
      </c>
      <c r="W2175" s="23">
        <v>1</v>
      </c>
      <c r="X2175" s="24"/>
    </row>
    <row r="2176" spans="1:24" s="1" customFormat="1" ht="35" customHeight="1" x14ac:dyDescent="0.3">
      <c r="A2176" s="25" t="s">
        <v>2784</v>
      </c>
      <c r="B2176" s="25" t="s">
        <v>2788</v>
      </c>
      <c r="C2176" s="12" t="s">
        <v>3052</v>
      </c>
      <c r="D2176" s="86"/>
      <c r="E2176" s="67" t="str">
        <f>HYPERLINK("https://www.google.ru/search?q=101988074&amp;newwindow=1&amp;tbm=isch","Еще фото")</f>
        <v>Еще фото</v>
      </c>
      <c r="F2176" s="14"/>
      <c r="G2176" s="25" t="s">
        <v>92</v>
      </c>
      <c r="H2176" s="25" t="s">
        <v>93</v>
      </c>
      <c r="I2176" s="25" t="s">
        <v>196</v>
      </c>
      <c r="J2176" s="15" t="s">
        <v>28</v>
      </c>
      <c r="K2176" s="16" t="s">
        <v>29</v>
      </c>
      <c r="L2176" s="88"/>
      <c r="M2176" s="15"/>
      <c r="N2176" s="15" t="s">
        <v>265</v>
      </c>
      <c r="O2176" s="15"/>
      <c r="P2176" s="16" t="s">
        <v>2790</v>
      </c>
      <c r="Q2176" s="17">
        <v>13899</v>
      </c>
      <c r="R2176" s="18">
        <v>45</v>
      </c>
      <c r="S2176" s="19">
        <v>8791.1174999999985</v>
      </c>
      <c r="T2176" s="20" t="s">
        <v>99</v>
      </c>
      <c r="U2176" s="21" t="s">
        <v>170</v>
      </c>
      <c r="V2176" s="23">
        <v>36</v>
      </c>
      <c r="W2176" s="23">
        <v>5</v>
      </c>
      <c r="X2176" s="24"/>
    </row>
    <row r="2177" spans="1:24" s="1" customFormat="1" ht="37.049999999999997" customHeight="1" x14ac:dyDescent="0.3">
      <c r="A2177" s="25" t="s">
        <v>2784</v>
      </c>
      <c r="B2177" s="25" t="s">
        <v>2788</v>
      </c>
      <c r="C2177" s="12" t="s">
        <v>3052</v>
      </c>
      <c r="D2177" s="87"/>
      <c r="E2177" s="67" t="str">
        <f>HYPERLINK("https://www.google.ru/search?q=101988074&amp;newwindow=1&amp;tbm=isch","Еще фото")</f>
        <v>Еще фото</v>
      </c>
      <c r="F2177" s="14"/>
      <c r="G2177" s="25" t="s">
        <v>92</v>
      </c>
      <c r="H2177" s="25" t="s">
        <v>93</v>
      </c>
      <c r="I2177" s="25" t="s">
        <v>196</v>
      </c>
      <c r="J2177" s="15" t="s">
        <v>28</v>
      </c>
      <c r="K2177" s="16" t="s">
        <v>29</v>
      </c>
      <c r="L2177" s="84"/>
      <c r="M2177" s="15"/>
      <c r="N2177" s="15" t="s">
        <v>265</v>
      </c>
      <c r="O2177" s="15"/>
      <c r="P2177" s="16" t="s">
        <v>2790</v>
      </c>
      <c r="Q2177" s="17">
        <v>13899</v>
      </c>
      <c r="R2177" s="18">
        <v>45</v>
      </c>
      <c r="S2177" s="19">
        <v>8791.1174999999985</v>
      </c>
      <c r="T2177" s="20" t="s">
        <v>99</v>
      </c>
      <c r="U2177" s="21" t="s">
        <v>202</v>
      </c>
      <c r="V2177" s="23">
        <v>37</v>
      </c>
      <c r="W2177" s="23">
        <v>5</v>
      </c>
      <c r="X2177" s="24"/>
    </row>
    <row r="2178" spans="1:24" s="1" customFormat="1" ht="35" customHeight="1" x14ac:dyDescent="0.3">
      <c r="A2178" s="11" t="s">
        <v>2784</v>
      </c>
      <c r="B2178" s="11" t="s">
        <v>2788</v>
      </c>
      <c r="C2178" s="12" t="s">
        <v>3053</v>
      </c>
      <c r="D2178" s="85"/>
      <c r="E2178" s="67" t="str">
        <f>HYPERLINK("https://www.google.ru/search?q=101988077&amp;newwindow=1&amp;tbm=isch","Еще фото")</f>
        <v>Еще фото</v>
      </c>
      <c r="F2178" s="14"/>
      <c r="G2178" s="11" t="s">
        <v>92</v>
      </c>
      <c r="H2178" s="11" t="s">
        <v>93</v>
      </c>
      <c r="I2178" s="15" t="s">
        <v>196</v>
      </c>
      <c r="J2178" s="15" t="s">
        <v>28</v>
      </c>
      <c r="K2178" s="16" t="s">
        <v>29</v>
      </c>
      <c r="L2178" s="83"/>
      <c r="M2178" s="15"/>
      <c r="N2178" s="15" t="s">
        <v>38</v>
      </c>
      <c r="O2178" s="15"/>
      <c r="P2178" s="16" t="s">
        <v>2804</v>
      </c>
      <c r="Q2178" s="17">
        <v>14499</v>
      </c>
      <c r="R2178" s="18">
        <v>45</v>
      </c>
      <c r="S2178" s="19">
        <v>9170.6174999999985</v>
      </c>
      <c r="T2178" s="20" t="s">
        <v>99</v>
      </c>
      <c r="U2178" s="21" t="s">
        <v>894</v>
      </c>
      <c r="V2178" s="23">
        <v>35</v>
      </c>
      <c r="W2178" s="23">
        <v>2</v>
      </c>
      <c r="X2178" s="24"/>
    </row>
    <row r="2179" spans="1:24" s="1" customFormat="1" ht="35" customHeight="1" x14ac:dyDescent="0.3">
      <c r="A2179" s="25" t="s">
        <v>2784</v>
      </c>
      <c r="B2179" s="25" t="s">
        <v>2788</v>
      </c>
      <c r="C2179" s="12" t="s">
        <v>3053</v>
      </c>
      <c r="D2179" s="86"/>
      <c r="E2179" s="67" t="str">
        <f>HYPERLINK("https://www.google.ru/search?q=101988077&amp;newwindow=1&amp;tbm=isch","Еще фото")</f>
        <v>Еще фото</v>
      </c>
      <c r="F2179" s="14"/>
      <c r="G2179" s="25" t="s">
        <v>92</v>
      </c>
      <c r="H2179" s="25" t="s">
        <v>93</v>
      </c>
      <c r="I2179" s="25" t="s">
        <v>196</v>
      </c>
      <c r="J2179" s="15" t="s">
        <v>28</v>
      </c>
      <c r="K2179" s="16" t="s">
        <v>29</v>
      </c>
      <c r="L2179" s="88"/>
      <c r="M2179" s="15"/>
      <c r="N2179" s="15" t="s">
        <v>38</v>
      </c>
      <c r="O2179" s="15"/>
      <c r="P2179" s="16" t="s">
        <v>2804</v>
      </c>
      <c r="Q2179" s="17">
        <v>14499</v>
      </c>
      <c r="R2179" s="18">
        <v>45</v>
      </c>
      <c r="S2179" s="19">
        <v>9170.6174999999985</v>
      </c>
      <c r="T2179" s="20" t="s">
        <v>99</v>
      </c>
      <c r="U2179" s="21" t="s">
        <v>170</v>
      </c>
      <c r="V2179" s="23">
        <v>36</v>
      </c>
      <c r="W2179" s="23">
        <v>3</v>
      </c>
      <c r="X2179" s="24"/>
    </row>
    <row r="2180" spans="1:24" s="1" customFormat="1" ht="37.049999999999997" customHeight="1" x14ac:dyDescent="0.3">
      <c r="A2180" s="25" t="s">
        <v>2784</v>
      </c>
      <c r="B2180" s="25" t="s">
        <v>2788</v>
      </c>
      <c r="C2180" s="12" t="s">
        <v>3053</v>
      </c>
      <c r="D2180" s="87"/>
      <c r="E2180" s="67" t="str">
        <f>HYPERLINK("https://www.google.ru/search?q=101988077&amp;newwindow=1&amp;tbm=isch","Еще фото")</f>
        <v>Еще фото</v>
      </c>
      <c r="F2180" s="14"/>
      <c r="G2180" s="25" t="s">
        <v>92</v>
      </c>
      <c r="H2180" s="25" t="s">
        <v>93</v>
      </c>
      <c r="I2180" s="25" t="s">
        <v>196</v>
      </c>
      <c r="J2180" s="15" t="s">
        <v>28</v>
      </c>
      <c r="K2180" s="16" t="s">
        <v>29</v>
      </c>
      <c r="L2180" s="84"/>
      <c r="M2180" s="15"/>
      <c r="N2180" s="15" t="s">
        <v>38</v>
      </c>
      <c r="O2180" s="15"/>
      <c r="P2180" s="16" t="s">
        <v>2804</v>
      </c>
      <c r="Q2180" s="17">
        <v>14499</v>
      </c>
      <c r="R2180" s="18">
        <v>45</v>
      </c>
      <c r="S2180" s="19">
        <v>9170.6174999999985</v>
      </c>
      <c r="T2180" s="20" t="s">
        <v>99</v>
      </c>
      <c r="U2180" s="21" t="s">
        <v>100</v>
      </c>
      <c r="V2180" s="23">
        <v>39</v>
      </c>
      <c r="W2180" s="23">
        <v>1</v>
      </c>
      <c r="X2180" s="24"/>
    </row>
    <row r="2181" spans="1:24" s="1" customFormat="1" ht="17" customHeight="1" x14ac:dyDescent="0.3">
      <c r="A2181" s="11" t="s">
        <v>2784</v>
      </c>
      <c r="B2181" s="11" t="s">
        <v>2788</v>
      </c>
      <c r="C2181" s="12" t="s">
        <v>3054</v>
      </c>
      <c r="D2181" s="85"/>
      <c r="E2181" s="67" t="str">
        <f t="shared" ref="E2181:E2186" si="40">HYPERLINK("https://www.google.ru/search?q=101988078&amp;newwindow=1&amp;tbm=isch","Еще фото")</f>
        <v>Еще фото</v>
      </c>
      <c r="F2181" s="14"/>
      <c r="G2181" s="11" t="s">
        <v>92</v>
      </c>
      <c r="H2181" s="11" t="s">
        <v>93</v>
      </c>
      <c r="I2181" s="15" t="s">
        <v>196</v>
      </c>
      <c r="J2181" s="15" t="s">
        <v>28</v>
      </c>
      <c r="K2181" s="16" t="s">
        <v>29</v>
      </c>
      <c r="L2181" s="83"/>
      <c r="M2181" s="15"/>
      <c r="N2181" s="15" t="s">
        <v>218</v>
      </c>
      <c r="O2181" s="15"/>
      <c r="P2181" s="16" t="s">
        <v>2814</v>
      </c>
      <c r="Q2181" s="17">
        <v>14499</v>
      </c>
      <c r="R2181" s="18">
        <v>45</v>
      </c>
      <c r="S2181" s="19">
        <v>9170.6174999999985</v>
      </c>
      <c r="T2181" s="20" t="s">
        <v>99</v>
      </c>
      <c r="U2181" s="21" t="s">
        <v>894</v>
      </c>
      <c r="V2181" s="23">
        <v>35</v>
      </c>
      <c r="W2181" s="23">
        <v>1</v>
      </c>
      <c r="X2181" s="24"/>
    </row>
    <row r="2182" spans="1:24" s="1" customFormat="1" ht="17" customHeight="1" x14ac:dyDescent="0.3">
      <c r="A2182" s="25" t="s">
        <v>2784</v>
      </c>
      <c r="B2182" s="25" t="s">
        <v>2788</v>
      </c>
      <c r="C2182" s="12" t="s">
        <v>3054</v>
      </c>
      <c r="D2182" s="86"/>
      <c r="E2182" s="67" t="str">
        <f t="shared" si="40"/>
        <v>Еще фото</v>
      </c>
      <c r="F2182" s="14"/>
      <c r="G2182" s="25" t="s">
        <v>92</v>
      </c>
      <c r="H2182" s="25" t="s">
        <v>93</v>
      </c>
      <c r="I2182" s="25" t="s">
        <v>196</v>
      </c>
      <c r="J2182" s="15" t="s">
        <v>28</v>
      </c>
      <c r="K2182" s="16" t="s">
        <v>29</v>
      </c>
      <c r="L2182" s="88"/>
      <c r="M2182" s="15"/>
      <c r="N2182" s="15" t="s">
        <v>218</v>
      </c>
      <c r="O2182" s="15"/>
      <c r="P2182" s="16" t="s">
        <v>2814</v>
      </c>
      <c r="Q2182" s="17">
        <v>14499</v>
      </c>
      <c r="R2182" s="18">
        <v>45</v>
      </c>
      <c r="S2182" s="19">
        <v>9170.6174999999985</v>
      </c>
      <c r="T2182" s="20" t="s">
        <v>99</v>
      </c>
      <c r="U2182" s="21" t="s">
        <v>170</v>
      </c>
      <c r="V2182" s="23">
        <v>36</v>
      </c>
      <c r="W2182" s="23">
        <v>5</v>
      </c>
      <c r="X2182" s="24"/>
    </row>
    <row r="2183" spans="1:24" s="1" customFormat="1" ht="17" customHeight="1" x14ac:dyDescent="0.3">
      <c r="A2183" s="25" t="s">
        <v>2784</v>
      </c>
      <c r="B2183" s="25" t="s">
        <v>2788</v>
      </c>
      <c r="C2183" s="12" t="s">
        <v>3054</v>
      </c>
      <c r="D2183" s="86"/>
      <c r="E2183" s="67" t="str">
        <f t="shared" si="40"/>
        <v>Еще фото</v>
      </c>
      <c r="F2183" s="14"/>
      <c r="G2183" s="25" t="s">
        <v>92</v>
      </c>
      <c r="H2183" s="25" t="s">
        <v>93</v>
      </c>
      <c r="I2183" s="25" t="s">
        <v>196</v>
      </c>
      <c r="J2183" s="15" t="s">
        <v>28</v>
      </c>
      <c r="K2183" s="16" t="s">
        <v>29</v>
      </c>
      <c r="L2183" s="88"/>
      <c r="M2183" s="15"/>
      <c r="N2183" s="15" t="s">
        <v>218</v>
      </c>
      <c r="O2183" s="15"/>
      <c r="P2183" s="16" t="s">
        <v>2814</v>
      </c>
      <c r="Q2183" s="17">
        <v>14499</v>
      </c>
      <c r="R2183" s="18">
        <v>45</v>
      </c>
      <c r="S2183" s="19">
        <v>9170.6174999999985</v>
      </c>
      <c r="T2183" s="20" t="s">
        <v>99</v>
      </c>
      <c r="U2183" s="21" t="s">
        <v>202</v>
      </c>
      <c r="V2183" s="23">
        <v>37</v>
      </c>
      <c r="W2183" s="23">
        <v>9</v>
      </c>
      <c r="X2183" s="24"/>
    </row>
    <row r="2184" spans="1:24" s="1" customFormat="1" ht="17" customHeight="1" x14ac:dyDescent="0.3">
      <c r="A2184" s="25" t="s">
        <v>2784</v>
      </c>
      <c r="B2184" s="25" t="s">
        <v>2788</v>
      </c>
      <c r="C2184" s="12" t="s">
        <v>3054</v>
      </c>
      <c r="D2184" s="86"/>
      <c r="E2184" s="67" t="str">
        <f t="shared" si="40"/>
        <v>Еще фото</v>
      </c>
      <c r="F2184" s="14"/>
      <c r="G2184" s="25" t="s">
        <v>92</v>
      </c>
      <c r="H2184" s="25" t="s">
        <v>93</v>
      </c>
      <c r="I2184" s="25" t="s">
        <v>196</v>
      </c>
      <c r="J2184" s="15" t="s">
        <v>28</v>
      </c>
      <c r="K2184" s="16" t="s">
        <v>29</v>
      </c>
      <c r="L2184" s="88"/>
      <c r="M2184" s="15"/>
      <c r="N2184" s="15" t="s">
        <v>218</v>
      </c>
      <c r="O2184" s="15"/>
      <c r="P2184" s="16" t="s">
        <v>2814</v>
      </c>
      <c r="Q2184" s="17">
        <v>14499</v>
      </c>
      <c r="R2184" s="18">
        <v>45</v>
      </c>
      <c r="S2184" s="19">
        <v>9170.6174999999985</v>
      </c>
      <c r="T2184" s="20" t="s">
        <v>99</v>
      </c>
      <c r="U2184" s="21" t="s">
        <v>175</v>
      </c>
      <c r="V2184" s="23">
        <v>38</v>
      </c>
      <c r="W2184" s="23">
        <v>4</v>
      </c>
      <c r="X2184" s="24"/>
    </row>
    <row r="2185" spans="1:24" s="1" customFormat="1" ht="17" customHeight="1" x14ac:dyDescent="0.3">
      <c r="A2185" s="25" t="s">
        <v>2784</v>
      </c>
      <c r="B2185" s="25" t="s">
        <v>2788</v>
      </c>
      <c r="C2185" s="12" t="s">
        <v>3054</v>
      </c>
      <c r="D2185" s="86"/>
      <c r="E2185" s="67" t="str">
        <f t="shared" si="40"/>
        <v>Еще фото</v>
      </c>
      <c r="F2185" s="14"/>
      <c r="G2185" s="25" t="s">
        <v>92</v>
      </c>
      <c r="H2185" s="25" t="s">
        <v>93</v>
      </c>
      <c r="I2185" s="25" t="s">
        <v>196</v>
      </c>
      <c r="J2185" s="15" t="s">
        <v>28</v>
      </c>
      <c r="K2185" s="16" t="s">
        <v>29</v>
      </c>
      <c r="L2185" s="88"/>
      <c r="M2185" s="15"/>
      <c r="N2185" s="15" t="s">
        <v>218</v>
      </c>
      <c r="O2185" s="15"/>
      <c r="P2185" s="16" t="s">
        <v>2814</v>
      </c>
      <c r="Q2185" s="17">
        <v>14499</v>
      </c>
      <c r="R2185" s="18">
        <v>45</v>
      </c>
      <c r="S2185" s="19">
        <v>9170.6174999999985</v>
      </c>
      <c r="T2185" s="20" t="s">
        <v>99</v>
      </c>
      <c r="U2185" s="21" t="s">
        <v>100</v>
      </c>
      <c r="V2185" s="23">
        <v>39</v>
      </c>
      <c r="W2185" s="23">
        <v>3</v>
      </c>
      <c r="X2185" s="24"/>
    </row>
    <row r="2186" spans="1:24" s="1" customFormat="1" ht="22.05" customHeight="1" x14ac:dyDescent="0.3">
      <c r="A2186" s="25" t="s">
        <v>2784</v>
      </c>
      <c r="B2186" s="25" t="s">
        <v>2788</v>
      </c>
      <c r="C2186" s="12" t="s">
        <v>3054</v>
      </c>
      <c r="D2186" s="87"/>
      <c r="E2186" s="67" t="str">
        <f t="shared" si="40"/>
        <v>Еще фото</v>
      </c>
      <c r="F2186" s="14"/>
      <c r="G2186" s="25" t="s">
        <v>92</v>
      </c>
      <c r="H2186" s="25" t="s">
        <v>93</v>
      </c>
      <c r="I2186" s="25" t="s">
        <v>196</v>
      </c>
      <c r="J2186" s="15" t="s">
        <v>28</v>
      </c>
      <c r="K2186" s="16" t="s">
        <v>29</v>
      </c>
      <c r="L2186" s="84"/>
      <c r="M2186" s="15"/>
      <c r="N2186" s="15" t="s">
        <v>218</v>
      </c>
      <c r="O2186" s="15"/>
      <c r="P2186" s="16" t="s">
        <v>2814</v>
      </c>
      <c r="Q2186" s="17">
        <v>14499</v>
      </c>
      <c r="R2186" s="18">
        <v>45</v>
      </c>
      <c r="S2186" s="19">
        <v>9170.6174999999985</v>
      </c>
      <c r="T2186" s="20" t="s">
        <v>99</v>
      </c>
      <c r="U2186" s="21" t="s">
        <v>235</v>
      </c>
      <c r="V2186" s="23">
        <v>40</v>
      </c>
      <c r="W2186" s="23">
        <v>1</v>
      </c>
      <c r="X2186" s="24"/>
    </row>
    <row r="2187" spans="1:24" s="1" customFormat="1" ht="17" customHeight="1" x14ac:dyDescent="0.3">
      <c r="A2187" s="11" t="s">
        <v>2784</v>
      </c>
      <c r="B2187" s="11" t="s">
        <v>2788</v>
      </c>
      <c r="C2187" s="12" t="s">
        <v>3055</v>
      </c>
      <c r="D2187" s="85"/>
      <c r="E2187" s="67" t="str">
        <f t="shared" ref="E2187:E2192" si="41">HYPERLINK("https://www.google.ru/search?q=101988079&amp;newwindow=1&amp;tbm=isch","Еще фото")</f>
        <v>Еще фото</v>
      </c>
      <c r="F2187" s="14"/>
      <c r="G2187" s="11" t="s">
        <v>92</v>
      </c>
      <c r="H2187" s="11" t="s">
        <v>93</v>
      </c>
      <c r="I2187" s="15" t="s">
        <v>196</v>
      </c>
      <c r="J2187" s="15" t="s">
        <v>28</v>
      </c>
      <c r="K2187" s="16" t="s">
        <v>29</v>
      </c>
      <c r="L2187" s="83"/>
      <c r="M2187" s="15"/>
      <c r="N2187" s="15" t="s">
        <v>948</v>
      </c>
      <c r="O2187" s="15"/>
      <c r="P2187" s="16" t="s">
        <v>2804</v>
      </c>
      <c r="Q2187" s="17">
        <v>14499</v>
      </c>
      <c r="R2187" s="18">
        <v>45</v>
      </c>
      <c r="S2187" s="19">
        <v>9170.6174999999985</v>
      </c>
      <c r="T2187" s="20" t="s">
        <v>99</v>
      </c>
      <c r="U2187" s="21" t="s">
        <v>894</v>
      </c>
      <c r="V2187" s="23">
        <v>35</v>
      </c>
      <c r="W2187" s="23">
        <v>3</v>
      </c>
      <c r="X2187" s="24"/>
    </row>
    <row r="2188" spans="1:24" s="1" customFormat="1" ht="17" customHeight="1" x14ac:dyDescent="0.3">
      <c r="A2188" s="25" t="s">
        <v>2784</v>
      </c>
      <c r="B2188" s="25" t="s">
        <v>2788</v>
      </c>
      <c r="C2188" s="12" t="s">
        <v>3055</v>
      </c>
      <c r="D2188" s="86"/>
      <c r="E2188" s="67" t="str">
        <f t="shared" si="41"/>
        <v>Еще фото</v>
      </c>
      <c r="F2188" s="14"/>
      <c r="G2188" s="25" t="s">
        <v>92</v>
      </c>
      <c r="H2188" s="25" t="s">
        <v>93</v>
      </c>
      <c r="I2188" s="25" t="s">
        <v>196</v>
      </c>
      <c r="J2188" s="15" t="s">
        <v>28</v>
      </c>
      <c r="K2188" s="16" t="s">
        <v>29</v>
      </c>
      <c r="L2188" s="88"/>
      <c r="M2188" s="15"/>
      <c r="N2188" s="15" t="s">
        <v>948</v>
      </c>
      <c r="O2188" s="15"/>
      <c r="P2188" s="16" t="s">
        <v>2804</v>
      </c>
      <c r="Q2188" s="17">
        <v>14499</v>
      </c>
      <c r="R2188" s="18">
        <v>45</v>
      </c>
      <c r="S2188" s="19">
        <v>9170.6174999999985</v>
      </c>
      <c r="T2188" s="20" t="s">
        <v>99</v>
      </c>
      <c r="U2188" s="21" t="s">
        <v>170</v>
      </c>
      <c r="V2188" s="23">
        <v>36</v>
      </c>
      <c r="W2188" s="23">
        <v>5</v>
      </c>
      <c r="X2188" s="24"/>
    </row>
    <row r="2189" spans="1:24" s="1" customFormat="1" ht="17" customHeight="1" x14ac:dyDescent="0.3">
      <c r="A2189" s="25" t="s">
        <v>2784</v>
      </c>
      <c r="B2189" s="25" t="s">
        <v>2788</v>
      </c>
      <c r="C2189" s="12" t="s">
        <v>3055</v>
      </c>
      <c r="D2189" s="86"/>
      <c r="E2189" s="67" t="str">
        <f t="shared" si="41"/>
        <v>Еще фото</v>
      </c>
      <c r="F2189" s="14"/>
      <c r="G2189" s="25" t="s">
        <v>92</v>
      </c>
      <c r="H2189" s="25" t="s">
        <v>93</v>
      </c>
      <c r="I2189" s="25" t="s">
        <v>196</v>
      </c>
      <c r="J2189" s="15" t="s">
        <v>28</v>
      </c>
      <c r="K2189" s="16" t="s">
        <v>29</v>
      </c>
      <c r="L2189" s="88"/>
      <c r="M2189" s="15"/>
      <c r="N2189" s="15" t="s">
        <v>948</v>
      </c>
      <c r="O2189" s="15"/>
      <c r="P2189" s="16" t="s">
        <v>2804</v>
      </c>
      <c r="Q2189" s="17">
        <v>14499</v>
      </c>
      <c r="R2189" s="18">
        <v>45</v>
      </c>
      <c r="S2189" s="19">
        <v>9170.6174999999985</v>
      </c>
      <c r="T2189" s="20" t="s">
        <v>99</v>
      </c>
      <c r="U2189" s="21" t="s">
        <v>202</v>
      </c>
      <c r="V2189" s="23">
        <v>37</v>
      </c>
      <c r="W2189" s="23">
        <v>5</v>
      </c>
      <c r="X2189" s="24"/>
    </row>
    <row r="2190" spans="1:24" s="1" customFormat="1" ht="17" customHeight="1" x14ac:dyDescent="0.3">
      <c r="A2190" s="25" t="s">
        <v>2784</v>
      </c>
      <c r="B2190" s="25" t="s">
        <v>2788</v>
      </c>
      <c r="C2190" s="12" t="s">
        <v>3055</v>
      </c>
      <c r="D2190" s="86"/>
      <c r="E2190" s="67" t="str">
        <f t="shared" si="41"/>
        <v>Еще фото</v>
      </c>
      <c r="F2190" s="14"/>
      <c r="G2190" s="25" t="s">
        <v>92</v>
      </c>
      <c r="H2190" s="25" t="s">
        <v>93</v>
      </c>
      <c r="I2190" s="25" t="s">
        <v>196</v>
      </c>
      <c r="J2190" s="15" t="s">
        <v>28</v>
      </c>
      <c r="K2190" s="16" t="s">
        <v>29</v>
      </c>
      <c r="L2190" s="88"/>
      <c r="M2190" s="15"/>
      <c r="N2190" s="15" t="s">
        <v>948</v>
      </c>
      <c r="O2190" s="15"/>
      <c r="P2190" s="16" t="s">
        <v>2804</v>
      </c>
      <c r="Q2190" s="17">
        <v>14499</v>
      </c>
      <c r="R2190" s="18">
        <v>45</v>
      </c>
      <c r="S2190" s="19">
        <v>9170.6174999999985</v>
      </c>
      <c r="T2190" s="20" t="s">
        <v>99</v>
      </c>
      <c r="U2190" s="21" t="s">
        <v>175</v>
      </c>
      <c r="V2190" s="23">
        <v>38</v>
      </c>
      <c r="W2190" s="23">
        <v>3</v>
      </c>
      <c r="X2190" s="24"/>
    </row>
    <row r="2191" spans="1:24" s="1" customFormat="1" ht="17" customHeight="1" x14ac:dyDescent="0.3">
      <c r="A2191" s="25" t="s">
        <v>2784</v>
      </c>
      <c r="B2191" s="25" t="s">
        <v>2788</v>
      </c>
      <c r="C2191" s="12" t="s">
        <v>3055</v>
      </c>
      <c r="D2191" s="86"/>
      <c r="E2191" s="67" t="str">
        <f t="shared" si="41"/>
        <v>Еще фото</v>
      </c>
      <c r="F2191" s="14"/>
      <c r="G2191" s="25" t="s">
        <v>92</v>
      </c>
      <c r="H2191" s="25" t="s">
        <v>93</v>
      </c>
      <c r="I2191" s="25" t="s">
        <v>196</v>
      </c>
      <c r="J2191" s="15" t="s">
        <v>28</v>
      </c>
      <c r="K2191" s="16" t="s">
        <v>29</v>
      </c>
      <c r="L2191" s="88"/>
      <c r="M2191" s="15"/>
      <c r="N2191" s="15" t="s">
        <v>948</v>
      </c>
      <c r="O2191" s="15"/>
      <c r="P2191" s="16" t="s">
        <v>2804</v>
      </c>
      <c r="Q2191" s="17">
        <v>14499</v>
      </c>
      <c r="R2191" s="18">
        <v>45</v>
      </c>
      <c r="S2191" s="19">
        <v>9170.6174999999985</v>
      </c>
      <c r="T2191" s="20" t="s">
        <v>99</v>
      </c>
      <c r="U2191" s="21" t="s">
        <v>100</v>
      </c>
      <c r="V2191" s="23">
        <v>39</v>
      </c>
      <c r="W2191" s="23">
        <v>3</v>
      </c>
      <c r="X2191" s="24"/>
    </row>
    <row r="2192" spans="1:24" s="1" customFormat="1" ht="22.05" customHeight="1" x14ac:dyDescent="0.3">
      <c r="A2192" s="25" t="s">
        <v>2784</v>
      </c>
      <c r="B2192" s="25" t="s">
        <v>2788</v>
      </c>
      <c r="C2192" s="12" t="s">
        <v>3055</v>
      </c>
      <c r="D2192" s="87"/>
      <c r="E2192" s="67" t="str">
        <f t="shared" si="41"/>
        <v>Еще фото</v>
      </c>
      <c r="F2192" s="14"/>
      <c r="G2192" s="25" t="s">
        <v>92</v>
      </c>
      <c r="H2192" s="25" t="s">
        <v>93</v>
      </c>
      <c r="I2192" s="25" t="s">
        <v>196</v>
      </c>
      <c r="J2192" s="15" t="s">
        <v>28</v>
      </c>
      <c r="K2192" s="16" t="s">
        <v>29</v>
      </c>
      <c r="L2192" s="84"/>
      <c r="M2192" s="15"/>
      <c r="N2192" s="15" t="s">
        <v>948</v>
      </c>
      <c r="O2192" s="15"/>
      <c r="P2192" s="16" t="s">
        <v>2804</v>
      </c>
      <c r="Q2192" s="17">
        <v>14499</v>
      </c>
      <c r="R2192" s="18">
        <v>45</v>
      </c>
      <c r="S2192" s="19">
        <v>9170.6174999999985</v>
      </c>
      <c r="T2192" s="20" t="s">
        <v>99</v>
      </c>
      <c r="U2192" s="21" t="s">
        <v>235</v>
      </c>
      <c r="V2192" s="23">
        <v>40</v>
      </c>
      <c r="W2192" s="23">
        <v>2</v>
      </c>
      <c r="X2192" s="24"/>
    </row>
    <row r="2193" spans="1:24" s="1" customFormat="1" ht="17" customHeight="1" x14ac:dyDescent="0.3">
      <c r="A2193" s="11" t="s">
        <v>2784</v>
      </c>
      <c r="B2193" s="11" t="s">
        <v>2788</v>
      </c>
      <c r="C2193" s="12" t="s">
        <v>3056</v>
      </c>
      <c r="D2193" s="85"/>
      <c r="E2193" s="67" t="str">
        <f t="shared" ref="E2193:E2198" si="42">HYPERLINK("https://www.google.ru/search?q=101988080&amp;newwindow=1&amp;tbm=isch","Еще фото")</f>
        <v>Еще фото</v>
      </c>
      <c r="F2193" s="14"/>
      <c r="G2193" s="11" t="s">
        <v>92</v>
      </c>
      <c r="H2193" s="11" t="s">
        <v>93</v>
      </c>
      <c r="I2193" s="15" t="s">
        <v>196</v>
      </c>
      <c r="J2193" s="15" t="s">
        <v>28</v>
      </c>
      <c r="K2193" s="16" t="s">
        <v>29</v>
      </c>
      <c r="L2193" s="83"/>
      <c r="M2193" s="15"/>
      <c r="N2193" s="15" t="s">
        <v>122</v>
      </c>
      <c r="O2193" s="15"/>
      <c r="P2193" s="16" t="s">
        <v>2798</v>
      </c>
      <c r="Q2193" s="17">
        <v>16999</v>
      </c>
      <c r="R2193" s="18">
        <v>45</v>
      </c>
      <c r="S2193" s="19">
        <v>10751.8675</v>
      </c>
      <c r="T2193" s="20" t="s">
        <v>99</v>
      </c>
      <c r="U2193" s="21" t="s">
        <v>894</v>
      </c>
      <c r="V2193" s="23">
        <v>35</v>
      </c>
      <c r="W2193" s="23">
        <v>3</v>
      </c>
      <c r="X2193" s="24"/>
    </row>
    <row r="2194" spans="1:24" s="1" customFormat="1" ht="17" customHeight="1" x14ac:dyDescent="0.3">
      <c r="A2194" s="25" t="s">
        <v>2784</v>
      </c>
      <c r="B2194" s="25" t="s">
        <v>2788</v>
      </c>
      <c r="C2194" s="12" t="s">
        <v>3056</v>
      </c>
      <c r="D2194" s="86"/>
      <c r="E2194" s="67" t="str">
        <f t="shared" si="42"/>
        <v>Еще фото</v>
      </c>
      <c r="F2194" s="14"/>
      <c r="G2194" s="25" t="s">
        <v>92</v>
      </c>
      <c r="H2194" s="25" t="s">
        <v>93</v>
      </c>
      <c r="I2194" s="25" t="s">
        <v>196</v>
      </c>
      <c r="J2194" s="15" t="s">
        <v>28</v>
      </c>
      <c r="K2194" s="16" t="s">
        <v>29</v>
      </c>
      <c r="L2194" s="88"/>
      <c r="M2194" s="15"/>
      <c r="N2194" s="15" t="s">
        <v>122</v>
      </c>
      <c r="O2194" s="15"/>
      <c r="P2194" s="16" t="s">
        <v>2798</v>
      </c>
      <c r="Q2194" s="17">
        <v>16999</v>
      </c>
      <c r="R2194" s="18">
        <v>45</v>
      </c>
      <c r="S2194" s="19">
        <v>10751.8675</v>
      </c>
      <c r="T2194" s="20" t="s">
        <v>99</v>
      </c>
      <c r="U2194" s="21" t="s">
        <v>170</v>
      </c>
      <c r="V2194" s="23">
        <v>36</v>
      </c>
      <c r="W2194" s="23">
        <v>4</v>
      </c>
      <c r="X2194" s="24"/>
    </row>
    <row r="2195" spans="1:24" s="1" customFormat="1" ht="17" customHeight="1" x14ac:dyDescent="0.3">
      <c r="A2195" s="25" t="s">
        <v>2784</v>
      </c>
      <c r="B2195" s="25" t="s">
        <v>2788</v>
      </c>
      <c r="C2195" s="12" t="s">
        <v>3056</v>
      </c>
      <c r="D2195" s="86"/>
      <c r="E2195" s="67" t="str">
        <f t="shared" si="42"/>
        <v>Еще фото</v>
      </c>
      <c r="F2195" s="14"/>
      <c r="G2195" s="25" t="s">
        <v>92</v>
      </c>
      <c r="H2195" s="25" t="s">
        <v>93</v>
      </c>
      <c r="I2195" s="25" t="s">
        <v>196</v>
      </c>
      <c r="J2195" s="15" t="s">
        <v>28</v>
      </c>
      <c r="K2195" s="16" t="s">
        <v>29</v>
      </c>
      <c r="L2195" s="88"/>
      <c r="M2195" s="15"/>
      <c r="N2195" s="15" t="s">
        <v>122</v>
      </c>
      <c r="O2195" s="15"/>
      <c r="P2195" s="16" t="s">
        <v>2798</v>
      </c>
      <c r="Q2195" s="17">
        <v>16999</v>
      </c>
      <c r="R2195" s="18">
        <v>45</v>
      </c>
      <c r="S2195" s="19">
        <v>10751.8675</v>
      </c>
      <c r="T2195" s="20" t="s">
        <v>99</v>
      </c>
      <c r="U2195" s="21" t="s">
        <v>202</v>
      </c>
      <c r="V2195" s="23">
        <v>37</v>
      </c>
      <c r="W2195" s="23">
        <v>9</v>
      </c>
      <c r="X2195" s="24"/>
    </row>
    <row r="2196" spans="1:24" s="1" customFormat="1" ht="17" customHeight="1" x14ac:dyDescent="0.3">
      <c r="A2196" s="25" t="s">
        <v>2784</v>
      </c>
      <c r="B2196" s="25" t="s">
        <v>2788</v>
      </c>
      <c r="C2196" s="12" t="s">
        <v>3056</v>
      </c>
      <c r="D2196" s="86"/>
      <c r="E2196" s="67" t="str">
        <f t="shared" si="42"/>
        <v>Еще фото</v>
      </c>
      <c r="F2196" s="14"/>
      <c r="G2196" s="25" t="s">
        <v>92</v>
      </c>
      <c r="H2196" s="25" t="s">
        <v>93</v>
      </c>
      <c r="I2196" s="25" t="s">
        <v>196</v>
      </c>
      <c r="J2196" s="15" t="s">
        <v>28</v>
      </c>
      <c r="K2196" s="16" t="s">
        <v>29</v>
      </c>
      <c r="L2196" s="88"/>
      <c r="M2196" s="15"/>
      <c r="N2196" s="15" t="s">
        <v>122</v>
      </c>
      <c r="O2196" s="15"/>
      <c r="P2196" s="16" t="s">
        <v>2798</v>
      </c>
      <c r="Q2196" s="17">
        <v>16999</v>
      </c>
      <c r="R2196" s="18">
        <v>45</v>
      </c>
      <c r="S2196" s="19">
        <v>10751.8675</v>
      </c>
      <c r="T2196" s="20" t="s">
        <v>99</v>
      </c>
      <c r="U2196" s="21" t="s">
        <v>175</v>
      </c>
      <c r="V2196" s="23">
        <v>38</v>
      </c>
      <c r="W2196" s="23">
        <v>8</v>
      </c>
      <c r="X2196" s="24"/>
    </row>
    <row r="2197" spans="1:24" s="1" customFormat="1" ht="17" customHeight="1" x14ac:dyDescent="0.3">
      <c r="A2197" s="25" t="s">
        <v>2784</v>
      </c>
      <c r="B2197" s="25" t="s">
        <v>2788</v>
      </c>
      <c r="C2197" s="12" t="s">
        <v>3056</v>
      </c>
      <c r="D2197" s="86"/>
      <c r="E2197" s="67" t="str">
        <f t="shared" si="42"/>
        <v>Еще фото</v>
      </c>
      <c r="F2197" s="14"/>
      <c r="G2197" s="25" t="s">
        <v>92</v>
      </c>
      <c r="H2197" s="25" t="s">
        <v>93</v>
      </c>
      <c r="I2197" s="25" t="s">
        <v>196</v>
      </c>
      <c r="J2197" s="15" t="s">
        <v>28</v>
      </c>
      <c r="K2197" s="16" t="s">
        <v>29</v>
      </c>
      <c r="L2197" s="88"/>
      <c r="M2197" s="15"/>
      <c r="N2197" s="15" t="s">
        <v>122</v>
      </c>
      <c r="O2197" s="15"/>
      <c r="P2197" s="16" t="s">
        <v>2798</v>
      </c>
      <c r="Q2197" s="17">
        <v>16999</v>
      </c>
      <c r="R2197" s="18">
        <v>45</v>
      </c>
      <c r="S2197" s="19">
        <v>10751.8675</v>
      </c>
      <c r="T2197" s="20" t="s">
        <v>99</v>
      </c>
      <c r="U2197" s="21" t="s">
        <v>100</v>
      </c>
      <c r="V2197" s="23">
        <v>39</v>
      </c>
      <c r="W2197" s="23">
        <v>5</v>
      </c>
      <c r="X2197" s="24"/>
    </row>
    <row r="2198" spans="1:24" s="1" customFormat="1" ht="22.05" customHeight="1" x14ac:dyDescent="0.3">
      <c r="A2198" s="25" t="s">
        <v>2784</v>
      </c>
      <c r="B2198" s="25" t="s">
        <v>2788</v>
      </c>
      <c r="C2198" s="12" t="s">
        <v>3056</v>
      </c>
      <c r="D2198" s="87"/>
      <c r="E2198" s="67" t="str">
        <f t="shared" si="42"/>
        <v>Еще фото</v>
      </c>
      <c r="F2198" s="14"/>
      <c r="G2198" s="25" t="s">
        <v>92</v>
      </c>
      <c r="H2198" s="25" t="s">
        <v>93</v>
      </c>
      <c r="I2198" s="25" t="s">
        <v>196</v>
      </c>
      <c r="J2198" s="15" t="s">
        <v>28</v>
      </c>
      <c r="K2198" s="16" t="s">
        <v>29</v>
      </c>
      <c r="L2198" s="84"/>
      <c r="M2198" s="15"/>
      <c r="N2198" s="15" t="s">
        <v>122</v>
      </c>
      <c r="O2198" s="15"/>
      <c r="P2198" s="16" t="s">
        <v>2798</v>
      </c>
      <c r="Q2198" s="17">
        <v>16999</v>
      </c>
      <c r="R2198" s="18">
        <v>45</v>
      </c>
      <c r="S2198" s="19">
        <v>10751.8675</v>
      </c>
      <c r="T2198" s="20" t="s">
        <v>99</v>
      </c>
      <c r="U2198" s="21" t="s">
        <v>235</v>
      </c>
      <c r="V2198" s="23">
        <v>40</v>
      </c>
      <c r="W2198" s="23">
        <v>3</v>
      </c>
      <c r="X2198" s="24"/>
    </row>
    <row r="2199" spans="1:24" s="1" customFormat="1" ht="17" customHeight="1" x14ac:dyDescent="0.3">
      <c r="A2199" s="11" t="s">
        <v>2784</v>
      </c>
      <c r="B2199" s="11" t="s">
        <v>2788</v>
      </c>
      <c r="C2199" s="12" t="s">
        <v>3057</v>
      </c>
      <c r="D2199" s="85"/>
      <c r="E2199" s="67" t="str">
        <f t="shared" ref="E2199:E2204" si="43">HYPERLINK("https://www.google.ru/search?q=101988081&amp;newwindow=1&amp;tbm=isch","Еще фото")</f>
        <v>Еще фото</v>
      </c>
      <c r="F2199" s="14"/>
      <c r="G2199" s="11" t="s">
        <v>92</v>
      </c>
      <c r="H2199" s="11" t="s">
        <v>93</v>
      </c>
      <c r="I2199" s="15" t="s">
        <v>196</v>
      </c>
      <c r="J2199" s="15" t="s">
        <v>28</v>
      </c>
      <c r="K2199" s="16" t="s">
        <v>29</v>
      </c>
      <c r="L2199" s="83"/>
      <c r="M2199" s="15"/>
      <c r="N2199" s="15" t="s">
        <v>38</v>
      </c>
      <c r="O2199" s="15"/>
      <c r="P2199" s="16" t="s">
        <v>2798</v>
      </c>
      <c r="Q2199" s="17">
        <v>16999</v>
      </c>
      <c r="R2199" s="18">
        <v>45</v>
      </c>
      <c r="S2199" s="19">
        <v>10751.8675</v>
      </c>
      <c r="T2199" s="20" t="s">
        <v>99</v>
      </c>
      <c r="U2199" s="21" t="s">
        <v>894</v>
      </c>
      <c r="V2199" s="23">
        <v>35</v>
      </c>
      <c r="W2199" s="23">
        <v>4</v>
      </c>
      <c r="X2199" s="24"/>
    </row>
    <row r="2200" spans="1:24" s="1" customFormat="1" ht="17" customHeight="1" x14ac:dyDescent="0.3">
      <c r="A2200" s="25" t="s">
        <v>2784</v>
      </c>
      <c r="B2200" s="25" t="s">
        <v>2788</v>
      </c>
      <c r="C2200" s="12" t="s">
        <v>3057</v>
      </c>
      <c r="D2200" s="86"/>
      <c r="E2200" s="67" t="str">
        <f t="shared" si="43"/>
        <v>Еще фото</v>
      </c>
      <c r="F2200" s="14"/>
      <c r="G2200" s="25" t="s">
        <v>92</v>
      </c>
      <c r="H2200" s="25" t="s">
        <v>93</v>
      </c>
      <c r="I2200" s="25" t="s">
        <v>196</v>
      </c>
      <c r="J2200" s="15" t="s">
        <v>28</v>
      </c>
      <c r="K2200" s="16" t="s">
        <v>29</v>
      </c>
      <c r="L2200" s="88"/>
      <c r="M2200" s="15"/>
      <c r="N2200" s="15" t="s">
        <v>38</v>
      </c>
      <c r="O2200" s="15"/>
      <c r="P2200" s="16" t="s">
        <v>2798</v>
      </c>
      <c r="Q2200" s="17">
        <v>16999</v>
      </c>
      <c r="R2200" s="18">
        <v>45</v>
      </c>
      <c r="S2200" s="19">
        <v>10751.8675</v>
      </c>
      <c r="T2200" s="20" t="s">
        <v>99</v>
      </c>
      <c r="U2200" s="21" t="s">
        <v>170</v>
      </c>
      <c r="V2200" s="23">
        <v>36</v>
      </c>
      <c r="W2200" s="23">
        <v>10</v>
      </c>
      <c r="X2200" s="24"/>
    </row>
    <row r="2201" spans="1:24" s="1" customFormat="1" ht="17" customHeight="1" x14ac:dyDescent="0.3">
      <c r="A2201" s="25" t="s">
        <v>2784</v>
      </c>
      <c r="B2201" s="25" t="s">
        <v>2788</v>
      </c>
      <c r="C2201" s="12" t="s">
        <v>3057</v>
      </c>
      <c r="D2201" s="86"/>
      <c r="E2201" s="67" t="str">
        <f t="shared" si="43"/>
        <v>Еще фото</v>
      </c>
      <c r="F2201" s="14"/>
      <c r="G2201" s="25" t="s">
        <v>92</v>
      </c>
      <c r="H2201" s="25" t="s">
        <v>93</v>
      </c>
      <c r="I2201" s="25" t="s">
        <v>196</v>
      </c>
      <c r="J2201" s="15" t="s">
        <v>28</v>
      </c>
      <c r="K2201" s="16" t="s">
        <v>29</v>
      </c>
      <c r="L2201" s="88"/>
      <c r="M2201" s="15"/>
      <c r="N2201" s="15" t="s">
        <v>38</v>
      </c>
      <c r="O2201" s="15"/>
      <c r="P2201" s="16" t="s">
        <v>2798</v>
      </c>
      <c r="Q2201" s="17">
        <v>16999</v>
      </c>
      <c r="R2201" s="18">
        <v>45</v>
      </c>
      <c r="S2201" s="19">
        <v>10751.8675</v>
      </c>
      <c r="T2201" s="20" t="s">
        <v>99</v>
      </c>
      <c r="U2201" s="21" t="s">
        <v>202</v>
      </c>
      <c r="V2201" s="23">
        <v>37</v>
      </c>
      <c r="W2201" s="23">
        <v>15</v>
      </c>
      <c r="X2201" s="24"/>
    </row>
    <row r="2202" spans="1:24" s="1" customFormat="1" ht="17" customHeight="1" x14ac:dyDescent="0.3">
      <c r="A2202" s="25" t="s">
        <v>2784</v>
      </c>
      <c r="B2202" s="25" t="s">
        <v>2788</v>
      </c>
      <c r="C2202" s="12" t="s">
        <v>3057</v>
      </c>
      <c r="D2202" s="86"/>
      <c r="E2202" s="67" t="str">
        <f t="shared" si="43"/>
        <v>Еще фото</v>
      </c>
      <c r="F2202" s="14"/>
      <c r="G2202" s="25" t="s">
        <v>92</v>
      </c>
      <c r="H2202" s="25" t="s">
        <v>93</v>
      </c>
      <c r="I2202" s="25" t="s">
        <v>196</v>
      </c>
      <c r="J2202" s="15" t="s">
        <v>28</v>
      </c>
      <c r="K2202" s="16" t="s">
        <v>29</v>
      </c>
      <c r="L2202" s="88"/>
      <c r="M2202" s="15"/>
      <c r="N2202" s="15" t="s">
        <v>38</v>
      </c>
      <c r="O2202" s="15"/>
      <c r="P2202" s="16" t="s">
        <v>2798</v>
      </c>
      <c r="Q2202" s="17">
        <v>16999</v>
      </c>
      <c r="R2202" s="18">
        <v>45</v>
      </c>
      <c r="S2202" s="19">
        <v>10751.8675</v>
      </c>
      <c r="T2202" s="20" t="s">
        <v>99</v>
      </c>
      <c r="U2202" s="21" t="s">
        <v>175</v>
      </c>
      <c r="V2202" s="23">
        <v>38</v>
      </c>
      <c r="W2202" s="23">
        <v>14</v>
      </c>
      <c r="X2202" s="24"/>
    </row>
    <row r="2203" spans="1:24" s="1" customFormat="1" ht="17" customHeight="1" x14ac:dyDescent="0.3">
      <c r="A2203" s="25" t="s">
        <v>2784</v>
      </c>
      <c r="B2203" s="25" t="s">
        <v>2788</v>
      </c>
      <c r="C2203" s="12" t="s">
        <v>3057</v>
      </c>
      <c r="D2203" s="86"/>
      <c r="E2203" s="67" t="str">
        <f t="shared" si="43"/>
        <v>Еще фото</v>
      </c>
      <c r="F2203" s="14"/>
      <c r="G2203" s="25" t="s">
        <v>92</v>
      </c>
      <c r="H2203" s="25" t="s">
        <v>93</v>
      </c>
      <c r="I2203" s="25" t="s">
        <v>196</v>
      </c>
      <c r="J2203" s="15" t="s">
        <v>28</v>
      </c>
      <c r="K2203" s="16" t="s">
        <v>29</v>
      </c>
      <c r="L2203" s="88"/>
      <c r="M2203" s="15"/>
      <c r="N2203" s="15" t="s">
        <v>38</v>
      </c>
      <c r="O2203" s="15"/>
      <c r="P2203" s="16" t="s">
        <v>2798</v>
      </c>
      <c r="Q2203" s="17">
        <v>16999</v>
      </c>
      <c r="R2203" s="18">
        <v>45</v>
      </c>
      <c r="S2203" s="19">
        <v>10751.8675</v>
      </c>
      <c r="T2203" s="20" t="s">
        <v>99</v>
      </c>
      <c r="U2203" s="21" t="s">
        <v>100</v>
      </c>
      <c r="V2203" s="23">
        <v>39</v>
      </c>
      <c r="W2203" s="23">
        <v>7</v>
      </c>
      <c r="X2203" s="24"/>
    </row>
    <row r="2204" spans="1:24" s="1" customFormat="1" ht="22.05" customHeight="1" x14ac:dyDescent="0.3">
      <c r="A2204" s="25" t="s">
        <v>2784</v>
      </c>
      <c r="B2204" s="25" t="s">
        <v>2788</v>
      </c>
      <c r="C2204" s="12" t="s">
        <v>3057</v>
      </c>
      <c r="D2204" s="87"/>
      <c r="E2204" s="67" t="str">
        <f t="shared" si="43"/>
        <v>Еще фото</v>
      </c>
      <c r="F2204" s="14"/>
      <c r="G2204" s="25" t="s">
        <v>92</v>
      </c>
      <c r="H2204" s="25" t="s">
        <v>93</v>
      </c>
      <c r="I2204" s="25" t="s">
        <v>196</v>
      </c>
      <c r="J2204" s="15" t="s">
        <v>28</v>
      </c>
      <c r="K2204" s="16" t="s">
        <v>29</v>
      </c>
      <c r="L2204" s="84"/>
      <c r="M2204" s="15"/>
      <c r="N2204" s="15" t="s">
        <v>38</v>
      </c>
      <c r="O2204" s="15"/>
      <c r="P2204" s="16" t="s">
        <v>2798</v>
      </c>
      <c r="Q2204" s="17">
        <v>16999</v>
      </c>
      <c r="R2204" s="18">
        <v>45</v>
      </c>
      <c r="S2204" s="19">
        <v>10751.8675</v>
      </c>
      <c r="T2204" s="20" t="s">
        <v>99</v>
      </c>
      <c r="U2204" s="21" t="s">
        <v>235</v>
      </c>
      <c r="V2204" s="23">
        <v>40</v>
      </c>
      <c r="W2204" s="23">
        <v>5</v>
      </c>
      <c r="X2204" s="24"/>
    </row>
    <row r="2205" spans="1:24" s="1" customFormat="1" ht="26" customHeight="1" x14ac:dyDescent="0.3">
      <c r="A2205" s="11" t="s">
        <v>2784</v>
      </c>
      <c r="B2205" s="11" t="s">
        <v>3058</v>
      </c>
      <c r="C2205" s="12" t="s">
        <v>3059</v>
      </c>
      <c r="D2205" s="85"/>
      <c r="E2205" s="67" t="str">
        <f>HYPERLINK("https://www.google.ru/search?q=101988083&amp;newwindow=1&amp;tbm=isch","Еще фото")</f>
        <v>Еще фото</v>
      </c>
      <c r="F2205" s="14"/>
      <c r="G2205" s="11" t="s">
        <v>153</v>
      </c>
      <c r="H2205" s="11" t="s">
        <v>93</v>
      </c>
      <c r="I2205" s="15" t="s">
        <v>196</v>
      </c>
      <c r="J2205" s="15" t="s">
        <v>82</v>
      </c>
      <c r="K2205" s="16" t="s">
        <v>29</v>
      </c>
      <c r="L2205" s="83"/>
      <c r="M2205" s="15"/>
      <c r="N2205" s="15" t="s">
        <v>38</v>
      </c>
      <c r="O2205" s="15"/>
      <c r="P2205" s="16" t="s">
        <v>2965</v>
      </c>
      <c r="Q2205" s="17">
        <v>6999</v>
      </c>
      <c r="R2205" s="18">
        <v>45</v>
      </c>
      <c r="S2205" s="19">
        <v>4426.8674999999994</v>
      </c>
      <c r="T2205" s="20" t="s">
        <v>99</v>
      </c>
      <c r="U2205" s="21" t="s">
        <v>894</v>
      </c>
      <c r="V2205" s="23">
        <v>35</v>
      </c>
      <c r="W2205" s="23">
        <v>3</v>
      </c>
      <c r="X2205" s="24"/>
    </row>
    <row r="2206" spans="1:24" s="1" customFormat="1" ht="26" customHeight="1" x14ac:dyDescent="0.3">
      <c r="A2206" s="25" t="s">
        <v>2784</v>
      </c>
      <c r="B2206" s="25" t="s">
        <v>3058</v>
      </c>
      <c r="C2206" s="12" t="s">
        <v>3059</v>
      </c>
      <c r="D2206" s="86"/>
      <c r="E2206" s="67" t="str">
        <f>HYPERLINK("https://www.google.ru/search?q=101988083&amp;newwindow=1&amp;tbm=isch","Еще фото")</f>
        <v>Еще фото</v>
      </c>
      <c r="F2206" s="14"/>
      <c r="G2206" s="25" t="s">
        <v>153</v>
      </c>
      <c r="H2206" s="25" t="s">
        <v>93</v>
      </c>
      <c r="I2206" s="25" t="s">
        <v>196</v>
      </c>
      <c r="J2206" s="15" t="s">
        <v>82</v>
      </c>
      <c r="K2206" s="16" t="s">
        <v>29</v>
      </c>
      <c r="L2206" s="88"/>
      <c r="M2206" s="15"/>
      <c r="N2206" s="15" t="s">
        <v>38</v>
      </c>
      <c r="O2206" s="15"/>
      <c r="P2206" s="16" t="s">
        <v>2965</v>
      </c>
      <c r="Q2206" s="17">
        <v>6999</v>
      </c>
      <c r="R2206" s="18">
        <v>45</v>
      </c>
      <c r="S2206" s="19">
        <v>4426.8674999999994</v>
      </c>
      <c r="T2206" s="20" t="s">
        <v>99</v>
      </c>
      <c r="U2206" s="21" t="s">
        <v>170</v>
      </c>
      <c r="V2206" s="23">
        <v>36</v>
      </c>
      <c r="W2206" s="23">
        <v>4</v>
      </c>
      <c r="X2206" s="24"/>
    </row>
    <row r="2207" spans="1:24" s="1" customFormat="1" ht="26" customHeight="1" x14ac:dyDescent="0.3">
      <c r="A2207" s="25" t="s">
        <v>2784</v>
      </c>
      <c r="B2207" s="25" t="s">
        <v>3058</v>
      </c>
      <c r="C2207" s="12" t="s">
        <v>3059</v>
      </c>
      <c r="D2207" s="86"/>
      <c r="E2207" s="67" t="str">
        <f>HYPERLINK("https://www.google.ru/search?q=101988083&amp;newwindow=1&amp;tbm=isch","Еще фото")</f>
        <v>Еще фото</v>
      </c>
      <c r="F2207" s="14"/>
      <c r="G2207" s="25" t="s">
        <v>153</v>
      </c>
      <c r="H2207" s="25" t="s">
        <v>93</v>
      </c>
      <c r="I2207" s="25" t="s">
        <v>196</v>
      </c>
      <c r="J2207" s="15" t="s">
        <v>82</v>
      </c>
      <c r="K2207" s="16" t="s">
        <v>29</v>
      </c>
      <c r="L2207" s="88"/>
      <c r="M2207" s="15"/>
      <c r="N2207" s="15" t="s">
        <v>38</v>
      </c>
      <c r="O2207" s="15"/>
      <c r="P2207" s="16" t="s">
        <v>2965</v>
      </c>
      <c r="Q2207" s="17">
        <v>6999</v>
      </c>
      <c r="R2207" s="18">
        <v>45</v>
      </c>
      <c r="S2207" s="19">
        <v>4426.8674999999994</v>
      </c>
      <c r="T2207" s="20" t="s">
        <v>99</v>
      </c>
      <c r="U2207" s="21" t="s">
        <v>202</v>
      </c>
      <c r="V2207" s="23">
        <v>37</v>
      </c>
      <c r="W2207" s="23">
        <v>7</v>
      </c>
      <c r="X2207" s="24"/>
    </row>
    <row r="2208" spans="1:24" s="1" customFormat="1" ht="26" customHeight="1" x14ac:dyDescent="0.3">
      <c r="A2208" s="25" t="s">
        <v>2784</v>
      </c>
      <c r="B2208" s="25" t="s">
        <v>3058</v>
      </c>
      <c r="C2208" s="12" t="s">
        <v>3059</v>
      </c>
      <c r="D2208" s="87"/>
      <c r="E2208" s="67" t="str">
        <f>HYPERLINK("https://www.google.ru/search?q=101988083&amp;newwindow=1&amp;tbm=isch","Еще фото")</f>
        <v>Еще фото</v>
      </c>
      <c r="F2208" s="14"/>
      <c r="G2208" s="25" t="s">
        <v>153</v>
      </c>
      <c r="H2208" s="25" t="s">
        <v>93</v>
      </c>
      <c r="I2208" s="25" t="s">
        <v>196</v>
      </c>
      <c r="J2208" s="15" t="s">
        <v>82</v>
      </c>
      <c r="K2208" s="16" t="s">
        <v>29</v>
      </c>
      <c r="L2208" s="84"/>
      <c r="M2208" s="15"/>
      <c r="N2208" s="15" t="s">
        <v>38</v>
      </c>
      <c r="O2208" s="15"/>
      <c r="P2208" s="16" t="s">
        <v>2965</v>
      </c>
      <c r="Q2208" s="17">
        <v>6999</v>
      </c>
      <c r="R2208" s="18">
        <v>45</v>
      </c>
      <c r="S2208" s="19">
        <v>4426.8674999999994</v>
      </c>
      <c r="T2208" s="20" t="s">
        <v>99</v>
      </c>
      <c r="U2208" s="21" t="s">
        <v>100</v>
      </c>
      <c r="V2208" s="23">
        <v>39</v>
      </c>
      <c r="W2208" s="23">
        <v>1</v>
      </c>
      <c r="X2208" s="24"/>
    </row>
    <row r="2209" spans="1:24" s="1" customFormat="1" ht="17" customHeight="1" x14ac:dyDescent="0.3">
      <c r="A2209" s="11" t="s">
        <v>2784</v>
      </c>
      <c r="B2209" s="11" t="s">
        <v>3060</v>
      </c>
      <c r="C2209" s="12" t="s">
        <v>3061</v>
      </c>
      <c r="D2209" s="85"/>
      <c r="E2209" s="67" t="str">
        <f t="shared" ref="E2209:E2214" si="44">HYPERLINK("https://www.google.ru/search?q=101988095&amp;newwindow=1&amp;tbm=isch","Еще фото")</f>
        <v>Еще фото</v>
      </c>
      <c r="F2209" s="14"/>
      <c r="G2209" s="11" t="s">
        <v>153</v>
      </c>
      <c r="H2209" s="11" t="s">
        <v>93</v>
      </c>
      <c r="I2209" s="15" t="s">
        <v>196</v>
      </c>
      <c r="J2209" s="15" t="s">
        <v>82</v>
      </c>
      <c r="K2209" s="16" t="s">
        <v>29</v>
      </c>
      <c r="L2209" s="83"/>
      <c r="M2209" s="15"/>
      <c r="N2209" s="15" t="s">
        <v>38</v>
      </c>
      <c r="O2209" s="15"/>
      <c r="P2209" s="16" t="s">
        <v>2798</v>
      </c>
      <c r="Q2209" s="17">
        <v>8399</v>
      </c>
      <c r="R2209" s="18">
        <v>45</v>
      </c>
      <c r="S2209" s="19">
        <v>5312.3674999999994</v>
      </c>
      <c r="T2209" s="20" t="s">
        <v>99</v>
      </c>
      <c r="U2209" s="21" t="s">
        <v>894</v>
      </c>
      <c r="V2209" s="23">
        <v>35</v>
      </c>
      <c r="W2209" s="23">
        <v>4</v>
      </c>
      <c r="X2209" s="24"/>
    </row>
    <row r="2210" spans="1:24" s="1" customFormat="1" ht="17" customHeight="1" x14ac:dyDescent="0.3">
      <c r="A2210" s="25" t="s">
        <v>2784</v>
      </c>
      <c r="B2210" s="25" t="s">
        <v>3060</v>
      </c>
      <c r="C2210" s="12" t="s">
        <v>3061</v>
      </c>
      <c r="D2210" s="86"/>
      <c r="E2210" s="67" t="str">
        <f t="shared" si="44"/>
        <v>Еще фото</v>
      </c>
      <c r="F2210" s="14"/>
      <c r="G2210" s="25" t="s">
        <v>153</v>
      </c>
      <c r="H2210" s="25" t="s">
        <v>93</v>
      </c>
      <c r="I2210" s="25" t="s">
        <v>196</v>
      </c>
      <c r="J2210" s="15" t="s">
        <v>82</v>
      </c>
      <c r="K2210" s="16" t="s">
        <v>29</v>
      </c>
      <c r="L2210" s="88"/>
      <c r="M2210" s="15"/>
      <c r="N2210" s="15" t="s">
        <v>38</v>
      </c>
      <c r="O2210" s="15"/>
      <c r="P2210" s="16" t="s">
        <v>2798</v>
      </c>
      <c r="Q2210" s="17">
        <v>8399</v>
      </c>
      <c r="R2210" s="18">
        <v>45</v>
      </c>
      <c r="S2210" s="19">
        <v>5312.3674999999994</v>
      </c>
      <c r="T2210" s="20" t="s">
        <v>99</v>
      </c>
      <c r="U2210" s="21" t="s">
        <v>170</v>
      </c>
      <c r="V2210" s="23">
        <v>36</v>
      </c>
      <c r="W2210" s="23">
        <v>10</v>
      </c>
      <c r="X2210" s="24"/>
    </row>
    <row r="2211" spans="1:24" s="1" customFormat="1" ht="17" customHeight="1" x14ac:dyDescent="0.3">
      <c r="A2211" s="25" t="s">
        <v>2784</v>
      </c>
      <c r="B2211" s="25" t="s">
        <v>3060</v>
      </c>
      <c r="C2211" s="12" t="s">
        <v>3061</v>
      </c>
      <c r="D2211" s="86"/>
      <c r="E2211" s="67" t="str">
        <f t="shared" si="44"/>
        <v>Еще фото</v>
      </c>
      <c r="F2211" s="14"/>
      <c r="G2211" s="25" t="s">
        <v>153</v>
      </c>
      <c r="H2211" s="25" t="s">
        <v>93</v>
      </c>
      <c r="I2211" s="25" t="s">
        <v>196</v>
      </c>
      <c r="J2211" s="15" t="s">
        <v>82</v>
      </c>
      <c r="K2211" s="16" t="s">
        <v>29</v>
      </c>
      <c r="L2211" s="88"/>
      <c r="M2211" s="15"/>
      <c r="N2211" s="15" t="s">
        <v>38</v>
      </c>
      <c r="O2211" s="15"/>
      <c r="P2211" s="16" t="s">
        <v>2798</v>
      </c>
      <c r="Q2211" s="17">
        <v>8399</v>
      </c>
      <c r="R2211" s="18">
        <v>45</v>
      </c>
      <c r="S2211" s="19">
        <v>5312.3674999999994</v>
      </c>
      <c r="T2211" s="20" t="s">
        <v>99</v>
      </c>
      <c r="U2211" s="21" t="s">
        <v>202</v>
      </c>
      <c r="V2211" s="23">
        <v>37</v>
      </c>
      <c r="W2211" s="23">
        <v>5</v>
      </c>
      <c r="X2211" s="24"/>
    </row>
    <row r="2212" spans="1:24" s="1" customFormat="1" ht="17" customHeight="1" x14ac:dyDescent="0.3">
      <c r="A2212" s="25" t="s">
        <v>2784</v>
      </c>
      <c r="B2212" s="25" t="s">
        <v>3060</v>
      </c>
      <c r="C2212" s="12" t="s">
        <v>3061</v>
      </c>
      <c r="D2212" s="86"/>
      <c r="E2212" s="67" t="str">
        <f t="shared" si="44"/>
        <v>Еще фото</v>
      </c>
      <c r="F2212" s="14"/>
      <c r="G2212" s="25" t="s">
        <v>153</v>
      </c>
      <c r="H2212" s="25" t="s">
        <v>93</v>
      </c>
      <c r="I2212" s="25" t="s">
        <v>196</v>
      </c>
      <c r="J2212" s="15" t="s">
        <v>82</v>
      </c>
      <c r="K2212" s="16" t="s">
        <v>29</v>
      </c>
      <c r="L2212" s="88"/>
      <c r="M2212" s="15"/>
      <c r="N2212" s="15" t="s">
        <v>38</v>
      </c>
      <c r="O2212" s="15"/>
      <c r="P2212" s="16" t="s">
        <v>2798</v>
      </c>
      <c r="Q2212" s="17">
        <v>8399</v>
      </c>
      <c r="R2212" s="18">
        <v>45</v>
      </c>
      <c r="S2212" s="19">
        <v>5312.3674999999994</v>
      </c>
      <c r="T2212" s="20" t="s">
        <v>99</v>
      </c>
      <c r="U2212" s="21" t="s">
        <v>175</v>
      </c>
      <c r="V2212" s="23">
        <v>38</v>
      </c>
      <c r="W2212" s="23">
        <v>9</v>
      </c>
      <c r="X2212" s="24"/>
    </row>
    <row r="2213" spans="1:24" s="1" customFormat="1" ht="17" customHeight="1" x14ac:dyDescent="0.3">
      <c r="A2213" s="25" t="s">
        <v>2784</v>
      </c>
      <c r="B2213" s="25" t="s">
        <v>3060</v>
      </c>
      <c r="C2213" s="12" t="s">
        <v>3061</v>
      </c>
      <c r="D2213" s="86"/>
      <c r="E2213" s="67" t="str">
        <f t="shared" si="44"/>
        <v>Еще фото</v>
      </c>
      <c r="F2213" s="14"/>
      <c r="G2213" s="25" t="s">
        <v>153</v>
      </c>
      <c r="H2213" s="25" t="s">
        <v>93</v>
      </c>
      <c r="I2213" s="25" t="s">
        <v>196</v>
      </c>
      <c r="J2213" s="15" t="s">
        <v>82</v>
      </c>
      <c r="K2213" s="16" t="s">
        <v>29</v>
      </c>
      <c r="L2213" s="88"/>
      <c r="M2213" s="15"/>
      <c r="N2213" s="15" t="s">
        <v>38</v>
      </c>
      <c r="O2213" s="15"/>
      <c r="P2213" s="16" t="s">
        <v>2798</v>
      </c>
      <c r="Q2213" s="17">
        <v>8399</v>
      </c>
      <c r="R2213" s="18">
        <v>45</v>
      </c>
      <c r="S2213" s="19">
        <v>5312.3674999999994</v>
      </c>
      <c r="T2213" s="20" t="s">
        <v>99</v>
      </c>
      <c r="U2213" s="21" t="s">
        <v>100</v>
      </c>
      <c r="V2213" s="23">
        <v>39</v>
      </c>
      <c r="W2213" s="23">
        <v>4</v>
      </c>
      <c r="X2213" s="24"/>
    </row>
    <row r="2214" spans="1:24" s="1" customFormat="1" ht="22.05" customHeight="1" x14ac:dyDescent="0.3">
      <c r="A2214" s="25" t="s">
        <v>2784</v>
      </c>
      <c r="B2214" s="25" t="s">
        <v>3060</v>
      </c>
      <c r="C2214" s="12" t="s">
        <v>3061</v>
      </c>
      <c r="D2214" s="87"/>
      <c r="E2214" s="67" t="str">
        <f t="shared" si="44"/>
        <v>Еще фото</v>
      </c>
      <c r="F2214" s="14"/>
      <c r="G2214" s="25" t="s">
        <v>153</v>
      </c>
      <c r="H2214" s="25" t="s">
        <v>93</v>
      </c>
      <c r="I2214" s="25" t="s">
        <v>196</v>
      </c>
      <c r="J2214" s="15" t="s">
        <v>82</v>
      </c>
      <c r="K2214" s="16" t="s">
        <v>29</v>
      </c>
      <c r="L2214" s="84"/>
      <c r="M2214" s="15"/>
      <c r="N2214" s="15" t="s">
        <v>38</v>
      </c>
      <c r="O2214" s="15"/>
      <c r="P2214" s="16" t="s">
        <v>2798</v>
      </c>
      <c r="Q2214" s="17">
        <v>8399</v>
      </c>
      <c r="R2214" s="18">
        <v>45</v>
      </c>
      <c r="S2214" s="19">
        <v>5312.3674999999994</v>
      </c>
      <c r="T2214" s="20" t="s">
        <v>99</v>
      </c>
      <c r="U2214" s="21" t="s">
        <v>235</v>
      </c>
      <c r="V2214" s="23">
        <v>40</v>
      </c>
      <c r="W2214" s="23">
        <v>2</v>
      </c>
      <c r="X2214" s="24"/>
    </row>
    <row r="2215" spans="1:24" s="1" customFormat="1" ht="17" customHeight="1" x14ac:dyDescent="0.3">
      <c r="A2215" s="11" t="s">
        <v>2784</v>
      </c>
      <c r="B2215" s="11" t="s">
        <v>2791</v>
      </c>
      <c r="C2215" s="12" t="s">
        <v>3062</v>
      </c>
      <c r="D2215" s="85"/>
      <c r="E2215" s="67" t="str">
        <f t="shared" ref="E2215:E2220" si="45">HYPERLINK("https://www.google.ru/search?q=101988097&amp;newwindow=1&amp;tbm=isch","Еще фото")</f>
        <v>Еще фото</v>
      </c>
      <c r="F2215" s="14"/>
      <c r="G2215" s="11" t="s">
        <v>92</v>
      </c>
      <c r="H2215" s="11" t="s">
        <v>93</v>
      </c>
      <c r="I2215" s="15" t="s">
        <v>196</v>
      </c>
      <c r="J2215" s="15" t="s">
        <v>28</v>
      </c>
      <c r="K2215" s="16" t="s">
        <v>45</v>
      </c>
      <c r="L2215" s="83"/>
      <c r="M2215" s="15"/>
      <c r="N2215" s="15" t="s">
        <v>132</v>
      </c>
      <c r="O2215" s="15"/>
      <c r="P2215" s="16" t="s">
        <v>2798</v>
      </c>
      <c r="Q2215" s="17">
        <v>13999</v>
      </c>
      <c r="R2215" s="18">
        <v>45</v>
      </c>
      <c r="S2215" s="19">
        <v>8854.3674999999985</v>
      </c>
      <c r="T2215" s="20" t="s">
        <v>99</v>
      </c>
      <c r="U2215" s="21" t="s">
        <v>894</v>
      </c>
      <c r="V2215" s="23">
        <v>35</v>
      </c>
      <c r="W2215" s="23">
        <v>4</v>
      </c>
      <c r="X2215" s="24"/>
    </row>
    <row r="2216" spans="1:24" s="1" customFormat="1" ht="17" customHeight="1" x14ac:dyDescent="0.3">
      <c r="A2216" s="25" t="s">
        <v>2784</v>
      </c>
      <c r="B2216" s="25" t="s">
        <v>2791</v>
      </c>
      <c r="C2216" s="12" t="s">
        <v>3062</v>
      </c>
      <c r="D2216" s="86"/>
      <c r="E2216" s="67" t="str">
        <f t="shared" si="45"/>
        <v>Еще фото</v>
      </c>
      <c r="F2216" s="14"/>
      <c r="G2216" s="25" t="s">
        <v>92</v>
      </c>
      <c r="H2216" s="25" t="s">
        <v>93</v>
      </c>
      <c r="I2216" s="25" t="s">
        <v>196</v>
      </c>
      <c r="J2216" s="15" t="s">
        <v>28</v>
      </c>
      <c r="K2216" s="16" t="s">
        <v>45</v>
      </c>
      <c r="L2216" s="88"/>
      <c r="M2216" s="15"/>
      <c r="N2216" s="15" t="s">
        <v>132</v>
      </c>
      <c r="O2216" s="15"/>
      <c r="P2216" s="16" t="s">
        <v>2798</v>
      </c>
      <c r="Q2216" s="17">
        <v>13999</v>
      </c>
      <c r="R2216" s="18">
        <v>45</v>
      </c>
      <c r="S2216" s="19">
        <v>8854.3674999999985</v>
      </c>
      <c r="T2216" s="20" t="s">
        <v>99</v>
      </c>
      <c r="U2216" s="21" t="s">
        <v>170</v>
      </c>
      <c r="V2216" s="23">
        <v>36</v>
      </c>
      <c r="W2216" s="23">
        <v>8</v>
      </c>
      <c r="X2216" s="24"/>
    </row>
    <row r="2217" spans="1:24" s="1" customFormat="1" ht="17" customHeight="1" x14ac:dyDescent="0.3">
      <c r="A2217" s="25" t="s">
        <v>2784</v>
      </c>
      <c r="B2217" s="25" t="s">
        <v>2791</v>
      </c>
      <c r="C2217" s="12" t="s">
        <v>3062</v>
      </c>
      <c r="D2217" s="86"/>
      <c r="E2217" s="67" t="str">
        <f t="shared" si="45"/>
        <v>Еще фото</v>
      </c>
      <c r="F2217" s="14"/>
      <c r="G2217" s="25" t="s">
        <v>92</v>
      </c>
      <c r="H2217" s="25" t="s">
        <v>93</v>
      </c>
      <c r="I2217" s="25" t="s">
        <v>196</v>
      </c>
      <c r="J2217" s="15" t="s">
        <v>28</v>
      </c>
      <c r="K2217" s="16" t="s">
        <v>45</v>
      </c>
      <c r="L2217" s="88"/>
      <c r="M2217" s="15"/>
      <c r="N2217" s="15" t="s">
        <v>132</v>
      </c>
      <c r="O2217" s="15"/>
      <c r="P2217" s="16" t="s">
        <v>2798</v>
      </c>
      <c r="Q2217" s="17">
        <v>13999</v>
      </c>
      <c r="R2217" s="18">
        <v>45</v>
      </c>
      <c r="S2217" s="19">
        <v>8854.3674999999985</v>
      </c>
      <c r="T2217" s="20" t="s">
        <v>99</v>
      </c>
      <c r="U2217" s="21" t="s">
        <v>202</v>
      </c>
      <c r="V2217" s="23">
        <v>37</v>
      </c>
      <c r="W2217" s="23">
        <v>6</v>
      </c>
      <c r="X2217" s="24"/>
    </row>
    <row r="2218" spans="1:24" s="1" customFormat="1" ht="17" customHeight="1" x14ac:dyDescent="0.3">
      <c r="A2218" s="25" t="s">
        <v>2784</v>
      </c>
      <c r="B2218" s="25" t="s">
        <v>2791</v>
      </c>
      <c r="C2218" s="12" t="s">
        <v>3062</v>
      </c>
      <c r="D2218" s="86"/>
      <c r="E2218" s="67" t="str">
        <f t="shared" si="45"/>
        <v>Еще фото</v>
      </c>
      <c r="F2218" s="14"/>
      <c r="G2218" s="25" t="s">
        <v>92</v>
      </c>
      <c r="H2218" s="25" t="s">
        <v>93</v>
      </c>
      <c r="I2218" s="25" t="s">
        <v>196</v>
      </c>
      <c r="J2218" s="15" t="s">
        <v>28</v>
      </c>
      <c r="K2218" s="16" t="s">
        <v>45</v>
      </c>
      <c r="L2218" s="88"/>
      <c r="M2218" s="15"/>
      <c r="N2218" s="15" t="s">
        <v>132</v>
      </c>
      <c r="O2218" s="15"/>
      <c r="P2218" s="16" t="s">
        <v>2798</v>
      </c>
      <c r="Q2218" s="17">
        <v>13999</v>
      </c>
      <c r="R2218" s="18">
        <v>45</v>
      </c>
      <c r="S2218" s="19">
        <v>8854.3674999999985</v>
      </c>
      <c r="T2218" s="20" t="s">
        <v>99</v>
      </c>
      <c r="U2218" s="21" t="s">
        <v>175</v>
      </c>
      <c r="V2218" s="23">
        <v>38</v>
      </c>
      <c r="W2218" s="23">
        <v>8</v>
      </c>
      <c r="X2218" s="24"/>
    </row>
    <row r="2219" spans="1:24" s="1" customFormat="1" ht="17" customHeight="1" x14ac:dyDescent="0.3">
      <c r="A2219" s="25" t="s">
        <v>2784</v>
      </c>
      <c r="B2219" s="25" t="s">
        <v>2791</v>
      </c>
      <c r="C2219" s="12" t="s">
        <v>3062</v>
      </c>
      <c r="D2219" s="86"/>
      <c r="E2219" s="67" t="str">
        <f t="shared" si="45"/>
        <v>Еще фото</v>
      </c>
      <c r="F2219" s="14"/>
      <c r="G2219" s="25" t="s">
        <v>92</v>
      </c>
      <c r="H2219" s="25" t="s">
        <v>93</v>
      </c>
      <c r="I2219" s="25" t="s">
        <v>196</v>
      </c>
      <c r="J2219" s="15" t="s">
        <v>28</v>
      </c>
      <c r="K2219" s="16" t="s">
        <v>45</v>
      </c>
      <c r="L2219" s="88"/>
      <c r="M2219" s="15"/>
      <c r="N2219" s="15" t="s">
        <v>132</v>
      </c>
      <c r="O2219" s="15"/>
      <c r="P2219" s="16" t="s">
        <v>2798</v>
      </c>
      <c r="Q2219" s="17">
        <v>13999</v>
      </c>
      <c r="R2219" s="18">
        <v>45</v>
      </c>
      <c r="S2219" s="19">
        <v>8854.3674999999985</v>
      </c>
      <c r="T2219" s="20" t="s">
        <v>99</v>
      </c>
      <c r="U2219" s="21" t="s">
        <v>100</v>
      </c>
      <c r="V2219" s="23">
        <v>39</v>
      </c>
      <c r="W2219" s="23">
        <v>3</v>
      </c>
      <c r="X2219" s="24"/>
    </row>
    <row r="2220" spans="1:24" s="1" customFormat="1" ht="22.05" customHeight="1" x14ac:dyDescent="0.3">
      <c r="A2220" s="25" t="s">
        <v>2784</v>
      </c>
      <c r="B2220" s="25" t="s">
        <v>2791</v>
      </c>
      <c r="C2220" s="12" t="s">
        <v>3062</v>
      </c>
      <c r="D2220" s="87"/>
      <c r="E2220" s="67" t="str">
        <f t="shared" si="45"/>
        <v>Еще фото</v>
      </c>
      <c r="F2220" s="14"/>
      <c r="G2220" s="25" t="s">
        <v>92</v>
      </c>
      <c r="H2220" s="25" t="s">
        <v>93</v>
      </c>
      <c r="I2220" s="25" t="s">
        <v>196</v>
      </c>
      <c r="J2220" s="15" t="s">
        <v>28</v>
      </c>
      <c r="K2220" s="16" t="s">
        <v>45</v>
      </c>
      <c r="L2220" s="84"/>
      <c r="M2220" s="15"/>
      <c r="N2220" s="15" t="s">
        <v>132</v>
      </c>
      <c r="O2220" s="15"/>
      <c r="P2220" s="16" t="s">
        <v>2798</v>
      </c>
      <c r="Q2220" s="17">
        <v>13999</v>
      </c>
      <c r="R2220" s="18">
        <v>45</v>
      </c>
      <c r="S2220" s="19">
        <v>8854.3674999999985</v>
      </c>
      <c r="T2220" s="20" t="s">
        <v>99</v>
      </c>
      <c r="U2220" s="21" t="s">
        <v>235</v>
      </c>
      <c r="V2220" s="23">
        <v>40</v>
      </c>
      <c r="W2220" s="23">
        <v>1</v>
      </c>
      <c r="X2220" s="24"/>
    </row>
    <row r="2221" spans="1:24" s="1" customFormat="1" ht="17" customHeight="1" x14ac:dyDescent="0.3">
      <c r="A2221" s="11" t="s">
        <v>2784</v>
      </c>
      <c r="B2221" s="11" t="s">
        <v>2791</v>
      </c>
      <c r="C2221" s="12" t="s">
        <v>3063</v>
      </c>
      <c r="D2221" s="85"/>
      <c r="E2221" s="67" t="str">
        <f t="shared" ref="E2221:E2226" si="46">HYPERLINK("https://www.google.ru/search?q=101988099&amp;newwindow=1&amp;tbm=isch","Еще фото")</f>
        <v>Еще фото</v>
      </c>
      <c r="F2221" s="14"/>
      <c r="G2221" s="11" t="s">
        <v>92</v>
      </c>
      <c r="H2221" s="11" t="s">
        <v>93</v>
      </c>
      <c r="I2221" s="15" t="s">
        <v>196</v>
      </c>
      <c r="J2221" s="15" t="s">
        <v>28</v>
      </c>
      <c r="K2221" s="16" t="s">
        <v>29</v>
      </c>
      <c r="L2221" s="83"/>
      <c r="M2221" s="15"/>
      <c r="N2221" s="15" t="s">
        <v>3064</v>
      </c>
      <c r="O2221" s="15"/>
      <c r="P2221" s="16" t="s">
        <v>2794</v>
      </c>
      <c r="Q2221" s="17">
        <v>14999</v>
      </c>
      <c r="R2221" s="18">
        <v>45</v>
      </c>
      <c r="S2221" s="19">
        <v>9486.8675000000003</v>
      </c>
      <c r="T2221" s="20" t="s">
        <v>99</v>
      </c>
      <c r="U2221" s="21" t="s">
        <v>894</v>
      </c>
      <c r="V2221" s="23">
        <v>35</v>
      </c>
      <c r="W2221" s="23">
        <v>7</v>
      </c>
      <c r="X2221" s="24"/>
    </row>
    <row r="2222" spans="1:24" s="1" customFormat="1" ht="17" customHeight="1" x14ac:dyDescent="0.3">
      <c r="A2222" s="25" t="s">
        <v>2784</v>
      </c>
      <c r="B2222" s="25" t="s">
        <v>2791</v>
      </c>
      <c r="C2222" s="12" t="s">
        <v>3063</v>
      </c>
      <c r="D2222" s="86"/>
      <c r="E2222" s="67" t="str">
        <f t="shared" si="46"/>
        <v>Еще фото</v>
      </c>
      <c r="F2222" s="14"/>
      <c r="G2222" s="25" t="s">
        <v>92</v>
      </c>
      <c r="H2222" s="25" t="s">
        <v>93</v>
      </c>
      <c r="I2222" s="25" t="s">
        <v>196</v>
      </c>
      <c r="J2222" s="15" t="s">
        <v>28</v>
      </c>
      <c r="K2222" s="16" t="s">
        <v>29</v>
      </c>
      <c r="L2222" s="88"/>
      <c r="M2222" s="15"/>
      <c r="N2222" s="15" t="s">
        <v>3064</v>
      </c>
      <c r="O2222" s="15"/>
      <c r="P2222" s="16" t="s">
        <v>2794</v>
      </c>
      <c r="Q2222" s="17">
        <v>14999</v>
      </c>
      <c r="R2222" s="18">
        <v>45</v>
      </c>
      <c r="S2222" s="19">
        <v>9486.8675000000003</v>
      </c>
      <c r="T2222" s="20" t="s">
        <v>99</v>
      </c>
      <c r="U2222" s="21" t="s">
        <v>170</v>
      </c>
      <c r="V2222" s="23">
        <v>36</v>
      </c>
      <c r="W2222" s="23">
        <v>16</v>
      </c>
      <c r="X2222" s="24"/>
    </row>
    <row r="2223" spans="1:24" s="1" customFormat="1" ht="17" customHeight="1" x14ac:dyDescent="0.3">
      <c r="A2223" s="25" t="s">
        <v>2784</v>
      </c>
      <c r="B2223" s="25" t="s">
        <v>2791</v>
      </c>
      <c r="C2223" s="12" t="s">
        <v>3063</v>
      </c>
      <c r="D2223" s="86"/>
      <c r="E2223" s="67" t="str">
        <f t="shared" si="46"/>
        <v>Еще фото</v>
      </c>
      <c r="F2223" s="14"/>
      <c r="G2223" s="25" t="s">
        <v>92</v>
      </c>
      <c r="H2223" s="25" t="s">
        <v>93</v>
      </c>
      <c r="I2223" s="25" t="s">
        <v>196</v>
      </c>
      <c r="J2223" s="15" t="s">
        <v>28</v>
      </c>
      <c r="K2223" s="16" t="s">
        <v>29</v>
      </c>
      <c r="L2223" s="88"/>
      <c r="M2223" s="15"/>
      <c r="N2223" s="15" t="s">
        <v>3064</v>
      </c>
      <c r="O2223" s="15"/>
      <c r="P2223" s="16" t="s">
        <v>2794</v>
      </c>
      <c r="Q2223" s="17">
        <v>14999</v>
      </c>
      <c r="R2223" s="18">
        <v>45</v>
      </c>
      <c r="S2223" s="19">
        <v>9486.8675000000003</v>
      </c>
      <c r="T2223" s="20" t="s">
        <v>99</v>
      </c>
      <c r="U2223" s="21" t="s">
        <v>202</v>
      </c>
      <c r="V2223" s="23">
        <v>37</v>
      </c>
      <c r="W2223" s="23">
        <v>18</v>
      </c>
      <c r="X2223" s="24"/>
    </row>
    <row r="2224" spans="1:24" s="1" customFormat="1" ht="17" customHeight="1" x14ac:dyDescent="0.3">
      <c r="A2224" s="25" t="s">
        <v>2784</v>
      </c>
      <c r="B2224" s="25" t="s">
        <v>2791</v>
      </c>
      <c r="C2224" s="12" t="s">
        <v>3063</v>
      </c>
      <c r="D2224" s="86"/>
      <c r="E2224" s="67" t="str">
        <f t="shared" si="46"/>
        <v>Еще фото</v>
      </c>
      <c r="F2224" s="14"/>
      <c r="G2224" s="25" t="s">
        <v>92</v>
      </c>
      <c r="H2224" s="25" t="s">
        <v>93</v>
      </c>
      <c r="I2224" s="25" t="s">
        <v>196</v>
      </c>
      <c r="J2224" s="15" t="s">
        <v>28</v>
      </c>
      <c r="K2224" s="16" t="s">
        <v>29</v>
      </c>
      <c r="L2224" s="88"/>
      <c r="M2224" s="15"/>
      <c r="N2224" s="15" t="s">
        <v>3064</v>
      </c>
      <c r="O2224" s="15"/>
      <c r="P2224" s="16" t="s">
        <v>2794</v>
      </c>
      <c r="Q2224" s="17">
        <v>14999</v>
      </c>
      <c r="R2224" s="18">
        <v>45</v>
      </c>
      <c r="S2224" s="19">
        <v>9486.8675000000003</v>
      </c>
      <c r="T2224" s="20" t="s">
        <v>99</v>
      </c>
      <c r="U2224" s="21" t="s">
        <v>175</v>
      </c>
      <c r="V2224" s="23">
        <v>38</v>
      </c>
      <c r="W2224" s="23">
        <v>13</v>
      </c>
      <c r="X2224" s="24"/>
    </row>
    <row r="2225" spans="1:24" s="1" customFormat="1" ht="17" customHeight="1" x14ac:dyDescent="0.3">
      <c r="A2225" s="25" t="s">
        <v>2784</v>
      </c>
      <c r="B2225" s="25" t="s">
        <v>2791</v>
      </c>
      <c r="C2225" s="12" t="s">
        <v>3063</v>
      </c>
      <c r="D2225" s="86"/>
      <c r="E2225" s="67" t="str">
        <f t="shared" si="46"/>
        <v>Еще фото</v>
      </c>
      <c r="F2225" s="14"/>
      <c r="G2225" s="25" t="s">
        <v>92</v>
      </c>
      <c r="H2225" s="25" t="s">
        <v>93</v>
      </c>
      <c r="I2225" s="25" t="s">
        <v>196</v>
      </c>
      <c r="J2225" s="15" t="s">
        <v>28</v>
      </c>
      <c r="K2225" s="16" t="s">
        <v>29</v>
      </c>
      <c r="L2225" s="88"/>
      <c r="M2225" s="15"/>
      <c r="N2225" s="15" t="s">
        <v>3064</v>
      </c>
      <c r="O2225" s="15"/>
      <c r="P2225" s="16" t="s">
        <v>2794</v>
      </c>
      <c r="Q2225" s="17">
        <v>14999</v>
      </c>
      <c r="R2225" s="18">
        <v>45</v>
      </c>
      <c r="S2225" s="19">
        <v>9486.8675000000003</v>
      </c>
      <c r="T2225" s="20" t="s">
        <v>99</v>
      </c>
      <c r="U2225" s="21" t="s">
        <v>100</v>
      </c>
      <c r="V2225" s="23">
        <v>39</v>
      </c>
      <c r="W2225" s="23">
        <v>3</v>
      </c>
      <c r="X2225" s="24"/>
    </row>
    <row r="2226" spans="1:24" s="1" customFormat="1" ht="22.05" customHeight="1" x14ac:dyDescent="0.3">
      <c r="A2226" s="25" t="s">
        <v>2784</v>
      </c>
      <c r="B2226" s="25" t="s">
        <v>2791</v>
      </c>
      <c r="C2226" s="12" t="s">
        <v>3063</v>
      </c>
      <c r="D2226" s="87"/>
      <c r="E2226" s="67" t="str">
        <f t="shared" si="46"/>
        <v>Еще фото</v>
      </c>
      <c r="F2226" s="14"/>
      <c r="G2226" s="25" t="s">
        <v>92</v>
      </c>
      <c r="H2226" s="25" t="s">
        <v>93</v>
      </c>
      <c r="I2226" s="25" t="s">
        <v>196</v>
      </c>
      <c r="J2226" s="15" t="s">
        <v>28</v>
      </c>
      <c r="K2226" s="16" t="s">
        <v>29</v>
      </c>
      <c r="L2226" s="84"/>
      <c r="M2226" s="15"/>
      <c r="N2226" s="15" t="s">
        <v>3064</v>
      </c>
      <c r="O2226" s="15"/>
      <c r="P2226" s="16" t="s">
        <v>2794</v>
      </c>
      <c r="Q2226" s="17">
        <v>14999</v>
      </c>
      <c r="R2226" s="18">
        <v>45</v>
      </c>
      <c r="S2226" s="19">
        <v>9486.8675000000003</v>
      </c>
      <c r="T2226" s="20" t="s">
        <v>99</v>
      </c>
      <c r="U2226" s="21" t="s">
        <v>235</v>
      </c>
      <c r="V2226" s="23">
        <v>40</v>
      </c>
      <c r="W2226" s="23">
        <v>1</v>
      </c>
      <c r="X2226" s="24"/>
    </row>
    <row r="2227" spans="1:24" s="1" customFormat="1" ht="21" customHeight="1" x14ac:dyDescent="0.3">
      <c r="A2227" s="11" t="s">
        <v>2784</v>
      </c>
      <c r="B2227" s="11" t="s">
        <v>2791</v>
      </c>
      <c r="C2227" s="27" t="s">
        <v>3065</v>
      </c>
      <c r="D2227" s="85"/>
      <c r="E2227" s="67" t="str">
        <f>HYPERLINK("https://www.google.ru/search?q=101988100&amp;newwindow=1&amp;tbm=isch","Еще фото")</f>
        <v>Еще фото</v>
      </c>
      <c r="F2227" s="14"/>
      <c r="G2227" s="11" t="s">
        <v>92</v>
      </c>
      <c r="H2227" s="11" t="s">
        <v>93</v>
      </c>
      <c r="I2227" s="15" t="s">
        <v>196</v>
      </c>
      <c r="J2227" s="15" t="s">
        <v>28</v>
      </c>
      <c r="K2227" s="16" t="s">
        <v>29</v>
      </c>
      <c r="L2227" s="83"/>
      <c r="M2227" s="15"/>
      <c r="N2227" s="15" t="s">
        <v>2793</v>
      </c>
      <c r="O2227" s="15"/>
      <c r="P2227" s="16" t="s">
        <v>2794</v>
      </c>
      <c r="Q2227" s="17">
        <v>15699</v>
      </c>
      <c r="R2227" s="18">
        <v>45</v>
      </c>
      <c r="S2227" s="19">
        <v>9929.6175000000003</v>
      </c>
      <c r="T2227" s="20" t="s">
        <v>99</v>
      </c>
      <c r="U2227" s="21" t="s">
        <v>170</v>
      </c>
      <c r="V2227" s="23">
        <v>36</v>
      </c>
      <c r="W2227" s="23">
        <v>4</v>
      </c>
      <c r="X2227" s="24"/>
    </row>
    <row r="2228" spans="1:24" s="1" customFormat="1" ht="21" customHeight="1" x14ac:dyDescent="0.3">
      <c r="A2228" s="25" t="s">
        <v>2784</v>
      </c>
      <c r="B2228" s="25" t="s">
        <v>2791</v>
      </c>
      <c r="C2228" s="28" t="s">
        <v>3065</v>
      </c>
      <c r="D2228" s="86"/>
      <c r="E2228" s="67" t="str">
        <f>HYPERLINK("https://www.google.ru/search?q=101988100&amp;newwindow=1&amp;tbm=isch","Еще фото")</f>
        <v>Еще фото</v>
      </c>
      <c r="F2228" s="14"/>
      <c r="G2228" s="25" t="s">
        <v>92</v>
      </c>
      <c r="H2228" s="25" t="s">
        <v>93</v>
      </c>
      <c r="I2228" s="25" t="s">
        <v>196</v>
      </c>
      <c r="J2228" s="15" t="s">
        <v>28</v>
      </c>
      <c r="K2228" s="16" t="s">
        <v>29</v>
      </c>
      <c r="L2228" s="88"/>
      <c r="M2228" s="15"/>
      <c r="N2228" s="15" t="s">
        <v>2793</v>
      </c>
      <c r="O2228" s="15"/>
      <c r="P2228" s="16" t="s">
        <v>2794</v>
      </c>
      <c r="Q2228" s="17">
        <v>15699</v>
      </c>
      <c r="R2228" s="18">
        <v>45</v>
      </c>
      <c r="S2228" s="19">
        <v>9929.6175000000003</v>
      </c>
      <c r="T2228" s="20" t="s">
        <v>99</v>
      </c>
      <c r="U2228" s="21" t="s">
        <v>202</v>
      </c>
      <c r="V2228" s="23">
        <v>37</v>
      </c>
      <c r="W2228" s="23">
        <v>3</v>
      </c>
      <c r="X2228" s="24"/>
    </row>
    <row r="2229" spans="1:24" s="1" customFormat="1" ht="21" customHeight="1" x14ac:dyDescent="0.3">
      <c r="A2229" s="25" t="s">
        <v>2784</v>
      </c>
      <c r="B2229" s="25" t="s">
        <v>2791</v>
      </c>
      <c r="C2229" s="28" t="s">
        <v>3065</v>
      </c>
      <c r="D2229" s="86"/>
      <c r="E2229" s="67" t="str">
        <f>HYPERLINK("https://www.google.ru/search?q=101988100&amp;newwindow=1&amp;tbm=isch","Еще фото")</f>
        <v>Еще фото</v>
      </c>
      <c r="F2229" s="14"/>
      <c r="G2229" s="25" t="s">
        <v>92</v>
      </c>
      <c r="H2229" s="25" t="s">
        <v>93</v>
      </c>
      <c r="I2229" s="25" t="s">
        <v>196</v>
      </c>
      <c r="J2229" s="15" t="s">
        <v>28</v>
      </c>
      <c r="K2229" s="16" t="s">
        <v>29</v>
      </c>
      <c r="L2229" s="88"/>
      <c r="M2229" s="15"/>
      <c r="N2229" s="15" t="s">
        <v>2793</v>
      </c>
      <c r="O2229" s="15"/>
      <c r="P2229" s="16" t="s">
        <v>2794</v>
      </c>
      <c r="Q2229" s="17">
        <v>15699</v>
      </c>
      <c r="R2229" s="18">
        <v>45</v>
      </c>
      <c r="S2229" s="19">
        <v>9929.6175000000003</v>
      </c>
      <c r="T2229" s="20" t="s">
        <v>99</v>
      </c>
      <c r="U2229" s="21" t="s">
        <v>175</v>
      </c>
      <c r="V2229" s="23">
        <v>38</v>
      </c>
      <c r="W2229" s="23">
        <v>2</v>
      </c>
      <c r="X2229" s="24"/>
    </row>
    <row r="2230" spans="1:24" s="1" customFormat="1" ht="21" customHeight="1" x14ac:dyDescent="0.3">
      <c r="A2230" s="25" t="s">
        <v>2784</v>
      </c>
      <c r="B2230" s="25" t="s">
        <v>2791</v>
      </c>
      <c r="C2230" s="28" t="s">
        <v>3065</v>
      </c>
      <c r="D2230" s="86"/>
      <c r="E2230" s="67" t="str">
        <f>HYPERLINK("https://www.google.ru/search?q=101988100&amp;newwindow=1&amp;tbm=isch","Еще фото")</f>
        <v>Еще фото</v>
      </c>
      <c r="F2230" s="14"/>
      <c r="G2230" s="25" t="s">
        <v>92</v>
      </c>
      <c r="H2230" s="25" t="s">
        <v>93</v>
      </c>
      <c r="I2230" s="25" t="s">
        <v>196</v>
      </c>
      <c r="J2230" s="15" t="s">
        <v>28</v>
      </c>
      <c r="K2230" s="16" t="s">
        <v>29</v>
      </c>
      <c r="L2230" s="88"/>
      <c r="M2230" s="15"/>
      <c r="N2230" s="15" t="s">
        <v>2793</v>
      </c>
      <c r="O2230" s="15"/>
      <c r="P2230" s="16" t="s">
        <v>2794</v>
      </c>
      <c r="Q2230" s="17">
        <v>15699</v>
      </c>
      <c r="R2230" s="18">
        <v>45</v>
      </c>
      <c r="S2230" s="19">
        <v>9929.6175000000003</v>
      </c>
      <c r="T2230" s="20" t="s">
        <v>99</v>
      </c>
      <c r="U2230" s="21" t="s">
        <v>100</v>
      </c>
      <c r="V2230" s="23">
        <v>39</v>
      </c>
      <c r="W2230" s="23">
        <v>1</v>
      </c>
      <c r="X2230" s="24"/>
    </row>
    <row r="2231" spans="1:24" s="1" customFormat="1" ht="32" customHeight="1" x14ac:dyDescent="0.3">
      <c r="A2231" s="25" t="s">
        <v>2784</v>
      </c>
      <c r="B2231" s="25" t="s">
        <v>2791</v>
      </c>
      <c r="C2231" s="28" t="s">
        <v>3065</v>
      </c>
      <c r="D2231" s="87"/>
      <c r="E2231" s="67" t="str">
        <f>HYPERLINK("https://www.google.ru/search?q=101988100&amp;newwindow=1&amp;tbm=isch","Еще фото")</f>
        <v>Еще фото</v>
      </c>
      <c r="F2231" s="14"/>
      <c r="G2231" s="25" t="s">
        <v>92</v>
      </c>
      <c r="H2231" s="25" t="s">
        <v>93</v>
      </c>
      <c r="I2231" s="25" t="s">
        <v>196</v>
      </c>
      <c r="J2231" s="15" t="s">
        <v>28</v>
      </c>
      <c r="K2231" s="16" t="s">
        <v>29</v>
      </c>
      <c r="L2231" s="84"/>
      <c r="M2231" s="15"/>
      <c r="N2231" s="15" t="s">
        <v>2793</v>
      </c>
      <c r="O2231" s="15"/>
      <c r="P2231" s="16" t="s">
        <v>2794</v>
      </c>
      <c r="Q2231" s="17">
        <v>15699</v>
      </c>
      <c r="R2231" s="18">
        <v>45</v>
      </c>
      <c r="S2231" s="19">
        <v>9929.6175000000003</v>
      </c>
      <c r="T2231" s="20" t="s">
        <v>99</v>
      </c>
      <c r="U2231" s="21" t="s">
        <v>235</v>
      </c>
      <c r="V2231" s="23">
        <v>40</v>
      </c>
      <c r="W2231" s="23">
        <v>1</v>
      </c>
      <c r="X2231" s="24"/>
    </row>
    <row r="2232" spans="1:24" s="1" customFormat="1" ht="17" customHeight="1" x14ac:dyDescent="0.3">
      <c r="A2232" s="11" t="s">
        <v>2784</v>
      </c>
      <c r="B2232" s="11" t="s">
        <v>2791</v>
      </c>
      <c r="C2232" s="12" t="s">
        <v>3066</v>
      </c>
      <c r="D2232" s="85"/>
      <c r="E2232" s="67" t="str">
        <f t="shared" ref="E2232:E2237" si="47">HYPERLINK("https://www.google.ru/search?q=101988102&amp;newwindow=1&amp;tbm=isch","Еще фото")</f>
        <v>Еще фото</v>
      </c>
      <c r="F2232" s="14"/>
      <c r="G2232" s="11" t="s">
        <v>92</v>
      </c>
      <c r="H2232" s="11" t="s">
        <v>93</v>
      </c>
      <c r="I2232" s="15" t="s">
        <v>196</v>
      </c>
      <c r="J2232" s="15" t="s">
        <v>28</v>
      </c>
      <c r="K2232" s="16" t="s">
        <v>29</v>
      </c>
      <c r="L2232" s="83"/>
      <c r="M2232" s="15"/>
      <c r="N2232" s="15" t="s">
        <v>265</v>
      </c>
      <c r="O2232" s="15"/>
      <c r="P2232" s="16" t="s">
        <v>2794</v>
      </c>
      <c r="Q2232" s="17">
        <v>15699</v>
      </c>
      <c r="R2232" s="18">
        <v>45</v>
      </c>
      <c r="S2232" s="19">
        <v>9929.6175000000003</v>
      </c>
      <c r="T2232" s="20" t="s">
        <v>99</v>
      </c>
      <c r="U2232" s="21" t="s">
        <v>894</v>
      </c>
      <c r="V2232" s="23">
        <v>35</v>
      </c>
      <c r="W2232" s="23">
        <v>5</v>
      </c>
      <c r="X2232" s="24"/>
    </row>
    <row r="2233" spans="1:24" s="1" customFormat="1" ht="17" customHeight="1" x14ac:dyDescent="0.3">
      <c r="A2233" s="25" t="s">
        <v>2784</v>
      </c>
      <c r="B2233" s="25" t="s">
        <v>2791</v>
      </c>
      <c r="C2233" s="12" t="s">
        <v>3066</v>
      </c>
      <c r="D2233" s="86"/>
      <c r="E2233" s="67" t="str">
        <f t="shared" si="47"/>
        <v>Еще фото</v>
      </c>
      <c r="F2233" s="14"/>
      <c r="G2233" s="25" t="s">
        <v>92</v>
      </c>
      <c r="H2233" s="25" t="s">
        <v>93</v>
      </c>
      <c r="I2233" s="25" t="s">
        <v>196</v>
      </c>
      <c r="J2233" s="15" t="s">
        <v>28</v>
      </c>
      <c r="K2233" s="16" t="s">
        <v>29</v>
      </c>
      <c r="L2233" s="88"/>
      <c r="M2233" s="15"/>
      <c r="N2233" s="15" t="s">
        <v>265</v>
      </c>
      <c r="O2233" s="15"/>
      <c r="P2233" s="16" t="s">
        <v>2794</v>
      </c>
      <c r="Q2233" s="17">
        <v>15699</v>
      </c>
      <c r="R2233" s="18">
        <v>45</v>
      </c>
      <c r="S2233" s="19">
        <v>9929.6175000000003</v>
      </c>
      <c r="T2233" s="20" t="s">
        <v>99</v>
      </c>
      <c r="U2233" s="21" t="s">
        <v>170</v>
      </c>
      <c r="V2233" s="23">
        <v>36</v>
      </c>
      <c r="W2233" s="23">
        <v>15</v>
      </c>
      <c r="X2233" s="24"/>
    </row>
    <row r="2234" spans="1:24" s="1" customFormat="1" ht="17" customHeight="1" x14ac:dyDescent="0.3">
      <c r="A2234" s="25" t="s">
        <v>2784</v>
      </c>
      <c r="B2234" s="25" t="s">
        <v>2791</v>
      </c>
      <c r="C2234" s="12" t="s">
        <v>3066</v>
      </c>
      <c r="D2234" s="86"/>
      <c r="E2234" s="67" t="str">
        <f t="shared" si="47"/>
        <v>Еще фото</v>
      </c>
      <c r="F2234" s="14"/>
      <c r="G2234" s="25" t="s">
        <v>92</v>
      </c>
      <c r="H2234" s="25" t="s">
        <v>93</v>
      </c>
      <c r="I2234" s="25" t="s">
        <v>196</v>
      </c>
      <c r="J2234" s="15" t="s">
        <v>28</v>
      </c>
      <c r="K2234" s="16" t="s">
        <v>29</v>
      </c>
      <c r="L2234" s="88"/>
      <c r="M2234" s="15"/>
      <c r="N2234" s="15" t="s">
        <v>265</v>
      </c>
      <c r="O2234" s="15"/>
      <c r="P2234" s="16" t="s">
        <v>2794</v>
      </c>
      <c r="Q2234" s="17">
        <v>15699</v>
      </c>
      <c r="R2234" s="18">
        <v>45</v>
      </c>
      <c r="S2234" s="19">
        <v>9929.6175000000003</v>
      </c>
      <c r="T2234" s="20" t="s">
        <v>99</v>
      </c>
      <c r="U2234" s="21" t="s">
        <v>202</v>
      </c>
      <c r="V2234" s="23">
        <v>37</v>
      </c>
      <c r="W2234" s="23">
        <v>19</v>
      </c>
      <c r="X2234" s="24"/>
    </row>
    <row r="2235" spans="1:24" s="1" customFormat="1" ht="17" customHeight="1" x14ac:dyDescent="0.3">
      <c r="A2235" s="25" t="s">
        <v>2784</v>
      </c>
      <c r="B2235" s="25" t="s">
        <v>2791</v>
      </c>
      <c r="C2235" s="12" t="s">
        <v>3066</v>
      </c>
      <c r="D2235" s="86"/>
      <c r="E2235" s="67" t="str">
        <f t="shared" si="47"/>
        <v>Еще фото</v>
      </c>
      <c r="F2235" s="14"/>
      <c r="G2235" s="25" t="s">
        <v>92</v>
      </c>
      <c r="H2235" s="25" t="s">
        <v>93</v>
      </c>
      <c r="I2235" s="25" t="s">
        <v>196</v>
      </c>
      <c r="J2235" s="15" t="s">
        <v>28</v>
      </c>
      <c r="K2235" s="16" t="s">
        <v>29</v>
      </c>
      <c r="L2235" s="88"/>
      <c r="M2235" s="15"/>
      <c r="N2235" s="15" t="s">
        <v>265</v>
      </c>
      <c r="O2235" s="15"/>
      <c r="P2235" s="16" t="s">
        <v>2794</v>
      </c>
      <c r="Q2235" s="17">
        <v>15699</v>
      </c>
      <c r="R2235" s="18">
        <v>45</v>
      </c>
      <c r="S2235" s="19">
        <v>9929.6175000000003</v>
      </c>
      <c r="T2235" s="20" t="s">
        <v>99</v>
      </c>
      <c r="U2235" s="21" t="s">
        <v>175</v>
      </c>
      <c r="V2235" s="23">
        <v>38</v>
      </c>
      <c r="W2235" s="23">
        <v>9</v>
      </c>
      <c r="X2235" s="24"/>
    </row>
    <row r="2236" spans="1:24" s="1" customFormat="1" ht="17" customHeight="1" x14ac:dyDescent="0.3">
      <c r="A2236" s="25" t="s">
        <v>2784</v>
      </c>
      <c r="B2236" s="25" t="s">
        <v>2791</v>
      </c>
      <c r="C2236" s="12" t="s">
        <v>3066</v>
      </c>
      <c r="D2236" s="86"/>
      <c r="E2236" s="67" t="str">
        <f t="shared" si="47"/>
        <v>Еще фото</v>
      </c>
      <c r="F2236" s="14"/>
      <c r="G2236" s="25" t="s">
        <v>92</v>
      </c>
      <c r="H2236" s="25" t="s">
        <v>93</v>
      </c>
      <c r="I2236" s="25" t="s">
        <v>196</v>
      </c>
      <c r="J2236" s="15" t="s">
        <v>28</v>
      </c>
      <c r="K2236" s="16" t="s">
        <v>29</v>
      </c>
      <c r="L2236" s="88"/>
      <c r="M2236" s="15"/>
      <c r="N2236" s="15" t="s">
        <v>265</v>
      </c>
      <c r="O2236" s="15"/>
      <c r="P2236" s="16" t="s">
        <v>2794</v>
      </c>
      <c r="Q2236" s="17">
        <v>15699</v>
      </c>
      <c r="R2236" s="18">
        <v>45</v>
      </c>
      <c r="S2236" s="19">
        <v>9929.6175000000003</v>
      </c>
      <c r="T2236" s="20" t="s">
        <v>99</v>
      </c>
      <c r="U2236" s="21" t="s">
        <v>100</v>
      </c>
      <c r="V2236" s="23">
        <v>39</v>
      </c>
      <c r="W2236" s="23">
        <v>6</v>
      </c>
      <c r="X2236" s="24"/>
    </row>
    <row r="2237" spans="1:24" s="1" customFormat="1" ht="22.05" customHeight="1" x14ac:dyDescent="0.3">
      <c r="A2237" s="25" t="s">
        <v>2784</v>
      </c>
      <c r="B2237" s="25" t="s">
        <v>2791</v>
      </c>
      <c r="C2237" s="12" t="s">
        <v>3066</v>
      </c>
      <c r="D2237" s="87"/>
      <c r="E2237" s="67" t="str">
        <f t="shared" si="47"/>
        <v>Еще фото</v>
      </c>
      <c r="F2237" s="14"/>
      <c r="G2237" s="25" t="s">
        <v>92</v>
      </c>
      <c r="H2237" s="25" t="s">
        <v>93</v>
      </c>
      <c r="I2237" s="25" t="s">
        <v>196</v>
      </c>
      <c r="J2237" s="15" t="s">
        <v>28</v>
      </c>
      <c r="K2237" s="16" t="s">
        <v>29</v>
      </c>
      <c r="L2237" s="84"/>
      <c r="M2237" s="15"/>
      <c r="N2237" s="15" t="s">
        <v>265</v>
      </c>
      <c r="O2237" s="15"/>
      <c r="P2237" s="16" t="s">
        <v>2794</v>
      </c>
      <c r="Q2237" s="17">
        <v>15699</v>
      </c>
      <c r="R2237" s="18">
        <v>45</v>
      </c>
      <c r="S2237" s="19">
        <v>9929.6175000000003</v>
      </c>
      <c r="T2237" s="20" t="s">
        <v>99</v>
      </c>
      <c r="U2237" s="21" t="s">
        <v>235</v>
      </c>
      <c r="V2237" s="23">
        <v>40</v>
      </c>
      <c r="W2237" s="23">
        <v>2</v>
      </c>
      <c r="X2237" s="24"/>
    </row>
    <row r="2238" spans="1:24" s="1" customFormat="1" ht="17" customHeight="1" x14ac:dyDescent="0.3">
      <c r="A2238" s="11" t="s">
        <v>2784</v>
      </c>
      <c r="B2238" s="11" t="s">
        <v>2791</v>
      </c>
      <c r="C2238" s="12" t="s">
        <v>3067</v>
      </c>
      <c r="D2238" s="85"/>
      <c r="E2238" s="67" t="str">
        <f t="shared" ref="E2238:E2243" si="48">HYPERLINK("https://www.google.ru/search?q=101988103&amp;newwindow=1&amp;tbm=isch","Еще фото")</f>
        <v>Еще фото</v>
      </c>
      <c r="F2238" s="14"/>
      <c r="G2238" s="11" t="s">
        <v>92</v>
      </c>
      <c r="H2238" s="11" t="s">
        <v>93</v>
      </c>
      <c r="I2238" s="15" t="s">
        <v>196</v>
      </c>
      <c r="J2238" s="15" t="s">
        <v>28</v>
      </c>
      <c r="K2238" s="16" t="s">
        <v>45</v>
      </c>
      <c r="L2238" s="83"/>
      <c r="M2238" s="15"/>
      <c r="N2238" s="15" t="s">
        <v>38</v>
      </c>
      <c r="O2238" s="15"/>
      <c r="P2238" s="16" t="s">
        <v>2798</v>
      </c>
      <c r="Q2238" s="17">
        <v>14499</v>
      </c>
      <c r="R2238" s="18">
        <v>45</v>
      </c>
      <c r="S2238" s="19">
        <v>9170.6174999999985</v>
      </c>
      <c r="T2238" s="20" t="s">
        <v>99</v>
      </c>
      <c r="U2238" s="21" t="s">
        <v>894</v>
      </c>
      <c r="V2238" s="23">
        <v>35</v>
      </c>
      <c r="W2238" s="23">
        <v>3</v>
      </c>
      <c r="X2238" s="24"/>
    </row>
    <row r="2239" spans="1:24" s="1" customFormat="1" ht="17" customHeight="1" x14ac:dyDescent="0.3">
      <c r="A2239" s="25" t="s">
        <v>2784</v>
      </c>
      <c r="B2239" s="25" t="s">
        <v>2791</v>
      </c>
      <c r="C2239" s="12" t="s">
        <v>3067</v>
      </c>
      <c r="D2239" s="86"/>
      <c r="E2239" s="67" t="str">
        <f t="shared" si="48"/>
        <v>Еще фото</v>
      </c>
      <c r="F2239" s="14"/>
      <c r="G2239" s="25" t="s">
        <v>92</v>
      </c>
      <c r="H2239" s="25" t="s">
        <v>93</v>
      </c>
      <c r="I2239" s="25" t="s">
        <v>196</v>
      </c>
      <c r="J2239" s="15" t="s">
        <v>28</v>
      </c>
      <c r="K2239" s="16" t="s">
        <v>45</v>
      </c>
      <c r="L2239" s="88"/>
      <c r="M2239" s="15"/>
      <c r="N2239" s="15" t="s">
        <v>38</v>
      </c>
      <c r="O2239" s="15"/>
      <c r="P2239" s="16" t="s">
        <v>2798</v>
      </c>
      <c r="Q2239" s="17">
        <v>14499</v>
      </c>
      <c r="R2239" s="18">
        <v>45</v>
      </c>
      <c r="S2239" s="19">
        <v>9170.6174999999985</v>
      </c>
      <c r="T2239" s="20" t="s">
        <v>99</v>
      </c>
      <c r="U2239" s="21" t="s">
        <v>170</v>
      </c>
      <c r="V2239" s="23">
        <v>36</v>
      </c>
      <c r="W2239" s="23">
        <v>5</v>
      </c>
      <c r="X2239" s="24"/>
    </row>
    <row r="2240" spans="1:24" s="1" customFormat="1" ht="17" customHeight="1" x14ac:dyDescent="0.3">
      <c r="A2240" s="25" t="s">
        <v>2784</v>
      </c>
      <c r="B2240" s="25" t="s">
        <v>2791</v>
      </c>
      <c r="C2240" s="12" t="s">
        <v>3067</v>
      </c>
      <c r="D2240" s="86"/>
      <c r="E2240" s="67" t="str">
        <f t="shared" si="48"/>
        <v>Еще фото</v>
      </c>
      <c r="F2240" s="14"/>
      <c r="G2240" s="25" t="s">
        <v>92</v>
      </c>
      <c r="H2240" s="25" t="s">
        <v>93</v>
      </c>
      <c r="I2240" s="25" t="s">
        <v>196</v>
      </c>
      <c r="J2240" s="15" t="s">
        <v>28</v>
      </c>
      <c r="K2240" s="16" t="s">
        <v>45</v>
      </c>
      <c r="L2240" s="88"/>
      <c r="M2240" s="15"/>
      <c r="N2240" s="15" t="s">
        <v>38</v>
      </c>
      <c r="O2240" s="15"/>
      <c r="P2240" s="16" t="s">
        <v>2798</v>
      </c>
      <c r="Q2240" s="17">
        <v>14499</v>
      </c>
      <c r="R2240" s="18">
        <v>45</v>
      </c>
      <c r="S2240" s="19">
        <v>9170.6174999999985</v>
      </c>
      <c r="T2240" s="20" t="s">
        <v>99</v>
      </c>
      <c r="U2240" s="21" t="s">
        <v>202</v>
      </c>
      <c r="V2240" s="23">
        <v>37</v>
      </c>
      <c r="W2240" s="23">
        <v>6</v>
      </c>
      <c r="X2240" s="24"/>
    </row>
    <row r="2241" spans="1:24" s="1" customFormat="1" ht="17" customHeight="1" x14ac:dyDescent="0.3">
      <c r="A2241" s="25" t="s">
        <v>2784</v>
      </c>
      <c r="B2241" s="25" t="s">
        <v>2791</v>
      </c>
      <c r="C2241" s="12" t="s">
        <v>3067</v>
      </c>
      <c r="D2241" s="86"/>
      <c r="E2241" s="67" t="str">
        <f t="shared" si="48"/>
        <v>Еще фото</v>
      </c>
      <c r="F2241" s="14"/>
      <c r="G2241" s="25" t="s">
        <v>92</v>
      </c>
      <c r="H2241" s="25" t="s">
        <v>93</v>
      </c>
      <c r="I2241" s="25" t="s">
        <v>196</v>
      </c>
      <c r="J2241" s="15" t="s">
        <v>28</v>
      </c>
      <c r="K2241" s="16" t="s">
        <v>45</v>
      </c>
      <c r="L2241" s="88"/>
      <c r="M2241" s="15"/>
      <c r="N2241" s="15" t="s">
        <v>38</v>
      </c>
      <c r="O2241" s="15"/>
      <c r="P2241" s="16" t="s">
        <v>2798</v>
      </c>
      <c r="Q2241" s="17">
        <v>14499</v>
      </c>
      <c r="R2241" s="18">
        <v>45</v>
      </c>
      <c r="S2241" s="19">
        <v>9170.6174999999985</v>
      </c>
      <c r="T2241" s="20" t="s">
        <v>99</v>
      </c>
      <c r="U2241" s="21" t="s">
        <v>175</v>
      </c>
      <c r="V2241" s="23">
        <v>38</v>
      </c>
      <c r="W2241" s="23">
        <v>4</v>
      </c>
      <c r="X2241" s="24"/>
    </row>
    <row r="2242" spans="1:24" s="1" customFormat="1" ht="17" customHeight="1" x14ac:dyDescent="0.3">
      <c r="A2242" s="25" t="s">
        <v>2784</v>
      </c>
      <c r="B2242" s="25" t="s">
        <v>2791</v>
      </c>
      <c r="C2242" s="12" t="s">
        <v>3067</v>
      </c>
      <c r="D2242" s="86"/>
      <c r="E2242" s="67" t="str">
        <f t="shared" si="48"/>
        <v>Еще фото</v>
      </c>
      <c r="F2242" s="14"/>
      <c r="G2242" s="25" t="s">
        <v>92</v>
      </c>
      <c r="H2242" s="25" t="s">
        <v>93</v>
      </c>
      <c r="I2242" s="25" t="s">
        <v>196</v>
      </c>
      <c r="J2242" s="15" t="s">
        <v>28</v>
      </c>
      <c r="K2242" s="16" t="s">
        <v>45</v>
      </c>
      <c r="L2242" s="88"/>
      <c r="M2242" s="15"/>
      <c r="N2242" s="15" t="s">
        <v>38</v>
      </c>
      <c r="O2242" s="15"/>
      <c r="P2242" s="16" t="s">
        <v>2798</v>
      </c>
      <c r="Q2242" s="17">
        <v>14499</v>
      </c>
      <c r="R2242" s="18">
        <v>45</v>
      </c>
      <c r="S2242" s="19">
        <v>9170.6174999999985</v>
      </c>
      <c r="T2242" s="20" t="s">
        <v>99</v>
      </c>
      <c r="U2242" s="21" t="s">
        <v>100</v>
      </c>
      <c r="V2242" s="23">
        <v>39</v>
      </c>
      <c r="W2242" s="23">
        <v>4</v>
      </c>
      <c r="X2242" s="24"/>
    </row>
    <row r="2243" spans="1:24" s="1" customFormat="1" ht="22.05" customHeight="1" x14ac:dyDescent="0.3">
      <c r="A2243" s="25" t="s">
        <v>2784</v>
      </c>
      <c r="B2243" s="25" t="s">
        <v>2791</v>
      </c>
      <c r="C2243" s="12" t="s">
        <v>3067</v>
      </c>
      <c r="D2243" s="87"/>
      <c r="E2243" s="67" t="str">
        <f t="shared" si="48"/>
        <v>Еще фото</v>
      </c>
      <c r="F2243" s="14"/>
      <c r="G2243" s="25" t="s">
        <v>92</v>
      </c>
      <c r="H2243" s="25" t="s">
        <v>93</v>
      </c>
      <c r="I2243" s="25" t="s">
        <v>196</v>
      </c>
      <c r="J2243" s="15" t="s">
        <v>28</v>
      </c>
      <c r="K2243" s="16" t="s">
        <v>45</v>
      </c>
      <c r="L2243" s="84"/>
      <c r="M2243" s="15"/>
      <c r="N2243" s="15" t="s">
        <v>38</v>
      </c>
      <c r="O2243" s="15"/>
      <c r="P2243" s="16" t="s">
        <v>2798</v>
      </c>
      <c r="Q2243" s="17">
        <v>14499</v>
      </c>
      <c r="R2243" s="18">
        <v>45</v>
      </c>
      <c r="S2243" s="19">
        <v>9170.6174999999985</v>
      </c>
      <c r="T2243" s="20" t="s">
        <v>99</v>
      </c>
      <c r="U2243" s="21" t="s">
        <v>235</v>
      </c>
      <c r="V2243" s="23">
        <v>40</v>
      </c>
      <c r="W2243" s="23">
        <v>1</v>
      </c>
      <c r="X2243" s="24"/>
    </row>
    <row r="2244" spans="1:24" s="1" customFormat="1" ht="21" customHeight="1" x14ac:dyDescent="0.3">
      <c r="A2244" s="11" t="s">
        <v>2784</v>
      </c>
      <c r="B2244" s="11" t="s">
        <v>2791</v>
      </c>
      <c r="C2244" s="27" t="s">
        <v>3068</v>
      </c>
      <c r="D2244" s="85"/>
      <c r="E2244" s="67" t="str">
        <f>HYPERLINK("https://www.google.ru/search?q=101988105&amp;newwindow=1&amp;tbm=isch","Еще фото")</f>
        <v>Еще фото</v>
      </c>
      <c r="F2244" s="14"/>
      <c r="G2244" s="11" t="s">
        <v>92</v>
      </c>
      <c r="H2244" s="11" t="s">
        <v>93</v>
      </c>
      <c r="I2244" s="15" t="s">
        <v>196</v>
      </c>
      <c r="J2244" s="15" t="s">
        <v>28</v>
      </c>
      <c r="K2244" s="16" t="s">
        <v>45</v>
      </c>
      <c r="L2244" s="83"/>
      <c r="M2244" s="15"/>
      <c r="N2244" s="15" t="s">
        <v>132</v>
      </c>
      <c r="O2244" s="15"/>
      <c r="P2244" s="16" t="s">
        <v>2798</v>
      </c>
      <c r="Q2244" s="17">
        <v>14499</v>
      </c>
      <c r="R2244" s="18">
        <v>45</v>
      </c>
      <c r="S2244" s="19">
        <v>9170.6174999999985</v>
      </c>
      <c r="T2244" s="20" t="s">
        <v>99</v>
      </c>
      <c r="U2244" s="21" t="s">
        <v>894</v>
      </c>
      <c r="V2244" s="23">
        <v>35</v>
      </c>
      <c r="W2244" s="23">
        <v>3</v>
      </c>
      <c r="X2244" s="24"/>
    </row>
    <row r="2245" spans="1:24" s="1" customFormat="1" ht="21" customHeight="1" x14ac:dyDescent="0.3">
      <c r="A2245" s="25" t="s">
        <v>2784</v>
      </c>
      <c r="B2245" s="25" t="s">
        <v>2791</v>
      </c>
      <c r="C2245" s="28" t="s">
        <v>3068</v>
      </c>
      <c r="D2245" s="86"/>
      <c r="E2245" s="67" t="str">
        <f>HYPERLINK("https://www.google.ru/search?q=101988105&amp;newwindow=1&amp;tbm=isch","Еще фото")</f>
        <v>Еще фото</v>
      </c>
      <c r="F2245" s="14"/>
      <c r="G2245" s="25" t="s">
        <v>92</v>
      </c>
      <c r="H2245" s="25" t="s">
        <v>93</v>
      </c>
      <c r="I2245" s="25" t="s">
        <v>196</v>
      </c>
      <c r="J2245" s="15" t="s">
        <v>28</v>
      </c>
      <c r="K2245" s="16" t="s">
        <v>45</v>
      </c>
      <c r="L2245" s="88"/>
      <c r="M2245" s="15"/>
      <c r="N2245" s="15" t="s">
        <v>132</v>
      </c>
      <c r="O2245" s="15"/>
      <c r="P2245" s="16" t="s">
        <v>2798</v>
      </c>
      <c r="Q2245" s="17">
        <v>14499</v>
      </c>
      <c r="R2245" s="18">
        <v>45</v>
      </c>
      <c r="S2245" s="19">
        <v>9170.6174999999985</v>
      </c>
      <c r="T2245" s="20" t="s">
        <v>99</v>
      </c>
      <c r="U2245" s="21" t="s">
        <v>170</v>
      </c>
      <c r="V2245" s="23">
        <v>36</v>
      </c>
      <c r="W2245" s="23">
        <v>5</v>
      </c>
      <c r="X2245" s="24"/>
    </row>
    <row r="2246" spans="1:24" s="1" customFormat="1" ht="21" customHeight="1" x14ac:dyDescent="0.3">
      <c r="A2246" s="25" t="s">
        <v>2784</v>
      </c>
      <c r="B2246" s="25" t="s">
        <v>2791</v>
      </c>
      <c r="C2246" s="28" t="s">
        <v>3068</v>
      </c>
      <c r="D2246" s="86"/>
      <c r="E2246" s="67" t="str">
        <f>HYPERLINK("https://www.google.ru/search?q=101988105&amp;newwindow=1&amp;tbm=isch","Еще фото")</f>
        <v>Еще фото</v>
      </c>
      <c r="F2246" s="14"/>
      <c r="G2246" s="25" t="s">
        <v>92</v>
      </c>
      <c r="H2246" s="25" t="s">
        <v>93</v>
      </c>
      <c r="I2246" s="25" t="s">
        <v>196</v>
      </c>
      <c r="J2246" s="15" t="s">
        <v>28</v>
      </c>
      <c r="K2246" s="16" t="s">
        <v>45</v>
      </c>
      <c r="L2246" s="88"/>
      <c r="M2246" s="15"/>
      <c r="N2246" s="15" t="s">
        <v>132</v>
      </c>
      <c r="O2246" s="15"/>
      <c r="P2246" s="16" t="s">
        <v>2798</v>
      </c>
      <c r="Q2246" s="17">
        <v>14499</v>
      </c>
      <c r="R2246" s="18">
        <v>45</v>
      </c>
      <c r="S2246" s="19">
        <v>9170.6174999999985</v>
      </c>
      <c r="T2246" s="20" t="s">
        <v>99</v>
      </c>
      <c r="U2246" s="21" t="s">
        <v>202</v>
      </c>
      <c r="V2246" s="23">
        <v>37</v>
      </c>
      <c r="W2246" s="23">
        <v>9</v>
      </c>
      <c r="X2246" s="24"/>
    </row>
    <row r="2247" spans="1:24" s="1" customFormat="1" ht="21" customHeight="1" x14ac:dyDescent="0.3">
      <c r="A2247" s="25" t="s">
        <v>2784</v>
      </c>
      <c r="B2247" s="25" t="s">
        <v>2791</v>
      </c>
      <c r="C2247" s="28" t="s">
        <v>3068</v>
      </c>
      <c r="D2247" s="86"/>
      <c r="E2247" s="67" t="str">
        <f>HYPERLINK("https://www.google.ru/search?q=101988105&amp;newwindow=1&amp;tbm=isch","Еще фото")</f>
        <v>Еще фото</v>
      </c>
      <c r="F2247" s="14"/>
      <c r="G2247" s="25" t="s">
        <v>92</v>
      </c>
      <c r="H2247" s="25" t="s">
        <v>93</v>
      </c>
      <c r="I2247" s="25" t="s">
        <v>196</v>
      </c>
      <c r="J2247" s="15" t="s">
        <v>28</v>
      </c>
      <c r="K2247" s="16" t="s">
        <v>45</v>
      </c>
      <c r="L2247" s="88"/>
      <c r="M2247" s="15"/>
      <c r="N2247" s="15" t="s">
        <v>132</v>
      </c>
      <c r="O2247" s="15"/>
      <c r="P2247" s="16" t="s">
        <v>2798</v>
      </c>
      <c r="Q2247" s="17">
        <v>14499</v>
      </c>
      <c r="R2247" s="18">
        <v>45</v>
      </c>
      <c r="S2247" s="19">
        <v>9170.6174999999985</v>
      </c>
      <c r="T2247" s="20" t="s">
        <v>99</v>
      </c>
      <c r="U2247" s="21" t="s">
        <v>175</v>
      </c>
      <c r="V2247" s="23">
        <v>38</v>
      </c>
      <c r="W2247" s="23">
        <v>9</v>
      </c>
      <c r="X2247" s="24"/>
    </row>
    <row r="2248" spans="1:24" s="1" customFormat="1" ht="32" customHeight="1" x14ac:dyDescent="0.3">
      <c r="A2248" s="25" t="s">
        <v>2784</v>
      </c>
      <c r="B2248" s="25" t="s">
        <v>2791</v>
      </c>
      <c r="C2248" s="28" t="s">
        <v>3068</v>
      </c>
      <c r="D2248" s="87"/>
      <c r="E2248" s="67" t="str">
        <f>HYPERLINK("https://www.google.ru/search?q=101988105&amp;newwindow=1&amp;tbm=isch","Еще фото")</f>
        <v>Еще фото</v>
      </c>
      <c r="F2248" s="14"/>
      <c r="G2248" s="25" t="s">
        <v>92</v>
      </c>
      <c r="H2248" s="25" t="s">
        <v>93</v>
      </c>
      <c r="I2248" s="25" t="s">
        <v>196</v>
      </c>
      <c r="J2248" s="15" t="s">
        <v>28</v>
      </c>
      <c r="K2248" s="16" t="s">
        <v>45</v>
      </c>
      <c r="L2248" s="84"/>
      <c r="M2248" s="15"/>
      <c r="N2248" s="15" t="s">
        <v>132</v>
      </c>
      <c r="O2248" s="15"/>
      <c r="P2248" s="16" t="s">
        <v>2798</v>
      </c>
      <c r="Q2248" s="17">
        <v>14499</v>
      </c>
      <c r="R2248" s="18">
        <v>45</v>
      </c>
      <c r="S2248" s="19">
        <v>9170.6174999999985</v>
      </c>
      <c r="T2248" s="20" t="s">
        <v>99</v>
      </c>
      <c r="U2248" s="21" t="s">
        <v>100</v>
      </c>
      <c r="V2248" s="23">
        <v>39</v>
      </c>
      <c r="W2248" s="23">
        <v>4</v>
      </c>
      <c r="X2248" s="24"/>
    </row>
    <row r="2249" spans="1:24" s="1" customFormat="1" ht="17" customHeight="1" x14ac:dyDescent="0.3">
      <c r="A2249" s="11" t="s">
        <v>2784</v>
      </c>
      <c r="B2249" s="11" t="s">
        <v>2791</v>
      </c>
      <c r="C2249" s="12" t="s">
        <v>3069</v>
      </c>
      <c r="D2249" s="85"/>
      <c r="E2249" s="67" t="str">
        <f t="shared" ref="E2249:E2254" si="49">HYPERLINK("https://www.google.ru/search?q=101988108&amp;newwindow=1&amp;tbm=isch","Еще фото")</f>
        <v>Еще фото</v>
      </c>
      <c r="F2249" s="14"/>
      <c r="G2249" s="11" t="s">
        <v>92</v>
      </c>
      <c r="H2249" s="11" t="s">
        <v>93</v>
      </c>
      <c r="I2249" s="15" t="s">
        <v>196</v>
      </c>
      <c r="J2249" s="15" t="s">
        <v>28</v>
      </c>
      <c r="K2249" s="16" t="s">
        <v>45</v>
      </c>
      <c r="L2249" s="83"/>
      <c r="M2249" s="15"/>
      <c r="N2249" s="15" t="s">
        <v>265</v>
      </c>
      <c r="O2249" s="15"/>
      <c r="P2249" s="16" t="s">
        <v>2798</v>
      </c>
      <c r="Q2249" s="17">
        <v>14499</v>
      </c>
      <c r="R2249" s="18">
        <v>45</v>
      </c>
      <c r="S2249" s="19">
        <v>9170.6174999999985</v>
      </c>
      <c r="T2249" s="20" t="s">
        <v>99</v>
      </c>
      <c r="U2249" s="21" t="s">
        <v>894</v>
      </c>
      <c r="V2249" s="23">
        <v>35</v>
      </c>
      <c r="W2249" s="23">
        <v>3</v>
      </c>
      <c r="X2249" s="24"/>
    </row>
    <row r="2250" spans="1:24" s="1" customFormat="1" ht="17" customHeight="1" x14ac:dyDescent="0.3">
      <c r="A2250" s="25" t="s">
        <v>2784</v>
      </c>
      <c r="B2250" s="25" t="s">
        <v>2791</v>
      </c>
      <c r="C2250" s="12" t="s">
        <v>3069</v>
      </c>
      <c r="D2250" s="86"/>
      <c r="E2250" s="67" t="str">
        <f t="shared" si="49"/>
        <v>Еще фото</v>
      </c>
      <c r="F2250" s="14"/>
      <c r="G2250" s="25" t="s">
        <v>92</v>
      </c>
      <c r="H2250" s="25" t="s">
        <v>93</v>
      </c>
      <c r="I2250" s="25" t="s">
        <v>196</v>
      </c>
      <c r="J2250" s="15" t="s">
        <v>28</v>
      </c>
      <c r="K2250" s="16" t="s">
        <v>45</v>
      </c>
      <c r="L2250" s="88"/>
      <c r="M2250" s="15"/>
      <c r="N2250" s="15" t="s">
        <v>265</v>
      </c>
      <c r="O2250" s="15"/>
      <c r="P2250" s="16" t="s">
        <v>2798</v>
      </c>
      <c r="Q2250" s="17">
        <v>14499</v>
      </c>
      <c r="R2250" s="18">
        <v>45</v>
      </c>
      <c r="S2250" s="19">
        <v>9170.6174999999985</v>
      </c>
      <c r="T2250" s="20" t="s">
        <v>99</v>
      </c>
      <c r="U2250" s="21" t="s">
        <v>170</v>
      </c>
      <c r="V2250" s="23">
        <v>36</v>
      </c>
      <c r="W2250" s="23">
        <v>5</v>
      </c>
      <c r="X2250" s="24"/>
    </row>
    <row r="2251" spans="1:24" s="1" customFormat="1" ht="17" customHeight="1" x14ac:dyDescent="0.3">
      <c r="A2251" s="25" t="s">
        <v>2784</v>
      </c>
      <c r="B2251" s="25" t="s">
        <v>2791</v>
      </c>
      <c r="C2251" s="12" t="s">
        <v>3069</v>
      </c>
      <c r="D2251" s="86"/>
      <c r="E2251" s="67" t="str">
        <f t="shared" si="49"/>
        <v>Еще фото</v>
      </c>
      <c r="F2251" s="14"/>
      <c r="G2251" s="25" t="s">
        <v>92</v>
      </c>
      <c r="H2251" s="25" t="s">
        <v>93</v>
      </c>
      <c r="I2251" s="25" t="s">
        <v>196</v>
      </c>
      <c r="J2251" s="15" t="s">
        <v>28</v>
      </c>
      <c r="K2251" s="16" t="s">
        <v>45</v>
      </c>
      <c r="L2251" s="88"/>
      <c r="M2251" s="15"/>
      <c r="N2251" s="15" t="s">
        <v>265</v>
      </c>
      <c r="O2251" s="15"/>
      <c r="P2251" s="16" t="s">
        <v>2798</v>
      </c>
      <c r="Q2251" s="17">
        <v>14499</v>
      </c>
      <c r="R2251" s="18">
        <v>45</v>
      </c>
      <c r="S2251" s="19">
        <v>9170.6174999999985</v>
      </c>
      <c r="T2251" s="20" t="s">
        <v>99</v>
      </c>
      <c r="U2251" s="21" t="s">
        <v>202</v>
      </c>
      <c r="V2251" s="23">
        <v>37</v>
      </c>
      <c r="W2251" s="23">
        <v>6</v>
      </c>
      <c r="X2251" s="24"/>
    </row>
    <row r="2252" spans="1:24" s="1" customFormat="1" ht="17" customHeight="1" x14ac:dyDescent="0.3">
      <c r="A2252" s="25" t="s">
        <v>2784</v>
      </c>
      <c r="B2252" s="25" t="s">
        <v>2791</v>
      </c>
      <c r="C2252" s="12" t="s">
        <v>3069</v>
      </c>
      <c r="D2252" s="86"/>
      <c r="E2252" s="67" t="str">
        <f t="shared" si="49"/>
        <v>Еще фото</v>
      </c>
      <c r="F2252" s="14"/>
      <c r="G2252" s="25" t="s">
        <v>92</v>
      </c>
      <c r="H2252" s="25" t="s">
        <v>93</v>
      </c>
      <c r="I2252" s="25" t="s">
        <v>196</v>
      </c>
      <c r="J2252" s="15" t="s">
        <v>28</v>
      </c>
      <c r="K2252" s="16" t="s">
        <v>45</v>
      </c>
      <c r="L2252" s="88"/>
      <c r="M2252" s="15"/>
      <c r="N2252" s="15" t="s">
        <v>265</v>
      </c>
      <c r="O2252" s="15"/>
      <c r="P2252" s="16" t="s">
        <v>2798</v>
      </c>
      <c r="Q2252" s="17">
        <v>14499</v>
      </c>
      <c r="R2252" s="18">
        <v>45</v>
      </c>
      <c r="S2252" s="19">
        <v>9170.6174999999985</v>
      </c>
      <c r="T2252" s="20" t="s">
        <v>99</v>
      </c>
      <c r="U2252" s="21" t="s">
        <v>175</v>
      </c>
      <c r="V2252" s="23">
        <v>38</v>
      </c>
      <c r="W2252" s="23">
        <v>1</v>
      </c>
      <c r="X2252" s="24"/>
    </row>
    <row r="2253" spans="1:24" s="1" customFormat="1" ht="17" customHeight="1" x14ac:dyDescent="0.3">
      <c r="A2253" s="25" t="s">
        <v>2784</v>
      </c>
      <c r="B2253" s="25" t="s">
        <v>2791</v>
      </c>
      <c r="C2253" s="12" t="s">
        <v>3069</v>
      </c>
      <c r="D2253" s="86"/>
      <c r="E2253" s="67" t="str">
        <f t="shared" si="49"/>
        <v>Еще фото</v>
      </c>
      <c r="F2253" s="14"/>
      <c r="G2253" s="25" t="s">
        <v>92</v>
      </c>
      <c r="H2253" s="25" t="s">
        <v>93</v>
      </c>
      <c r="I2253" s="25" t="s">
        <v>196</v>
      </c>
      <c r="J2253" s="15" t="s">
        <v>28</v>
      </c>
      <c r="K2253" s="16" t="s">
        <v>45</v>
      </c>
      <c r="L2253" s="88"/>
      <c r="M2253" s="15"/>
      <c r="N2253" s="15" t="s">
        <v>265</v>
      </c>
      <c r="O2253" s="15"/>
      <c r="P2253" s="16" t="s">
        <v>2798</v>
      </c>
      <c r="Q2253" s="17">
        <v>14499</v>
      </c>
      <c r="R2253" s="18">
        <v>45</v>
      </c>
      <c r="S2253" s="19">
        <v>9170.6174999999985</v>
      </c>
      <c r="T2253" s="20" t="s">
        <v>99</v>
      </c>
      <c r="U2253" s="21" t="s">
        <v>100</v>
      </c>
      <c r="V2253" s="23">
        <v>39</v>
      </c>
      <c r="W2253" s="23">
        <v>2</v>
      </c>
      <c r="X2253" s="24"/>
    </row>
    <row r="2254" spans="1:24" s="1" customFormat="1" ht="22.05" customHeight="1" x14ac:dyDescent="0.3">
      <c r="A2254" s="25" t="s">
        <v>2784</v>
      </c>
      <c r="B2254" s="25" t="s">
        <v>2791</v>
      </c>
      <c r="C2254" s="12" t="s">
        <v>3069</v>
      </c>
      <c r="D2254" s="87"/>
      <c r="E2254" s="67" t="str">
        <f t="shared" si="49"/>
        <v>Еще фото</v>
      </c>
      <c r="F2254" s="14"/>
      <c r="G2254" s="25" t="s">
        <v>92</v>
      </c>
      <c r="H2254" s="25" t="s">
        <v>93</v>
      </c>
      <c r="I2254" s="25" t="s">
        <v>196</v>
      </c>
      <c r="J2254" s="15" t="s">
        <v>28</v>
      </c>
      <c r="K2254" s="16" t="s">
        <v>45</v>
      </c>
      <c r="L2254" s="84"/>
      <c r="M2254" s="15"/>
      <c r="N2254" s="15" t="s">
        <v>265</v>
      </c>
      <c r="O2254" s="15"/>
      <c r="P2254" s="16" t="s">
        <v>2798</v>
      </c>
      <c r="Q2254" s="17">
        <v>14499</v>
      </c>
      <c r="R2254" s="18">
        <v>45</v>
      </c>
      <c r="S2254" s="19">
        <v>9170.6174999999985</v>
      </c>
      <c r="T2254" s="20" t="s">
        <v>99</v>
      </c>
      <c r="U2254" s="21" t="s">
        <v>235</v>
      </c>
      <c r="V2254" s="23">
        <v>40</v>
      </c>
      <c r="W2254" s="23">
        <v>1</v>
      </c>
      <c r="X2254" s="24"/>
    </row>
    <row r="2255" spans="1:24" s="1" customFormat="1" ht="26" customHeight="1" x14ac:dyDescent="0.3">
      <c r="A2255" s="11" t="s">
        <v>2784</v>
      </c>
      <c r="B2255" s="11" t="s">
        <v>3070</v>
      </c>
      <c r="C2255" s="12" t="s">
        <v>3071</v>
      </c>
      <c r="D2255" s="85"/>
      <c r="E2255" s="67" t="str">
        <f>HYPERLINK("https://www.google.ru/search?q=101988113&amp;newwindow=1&amp;tbm=isch","Еще фото")</f>
        <v>Еще фото</v>
      </c>
      <c r="F2255" s="14"/>
      <c r="G2255" s="11" t="s">
        <v>2817</v>
      </c>
      <c r="H2255" s="11" t="s">
        <v>93</v>
      </c>
      <c r="I2255" s="15" t="s">
        <v>196</v>
      </c>
      <c r="J2255" s="15" t="s">
        <v>28</v>
      </c>
      <c r="K2255" s="16" t="s">
        <v>29</v>
      </c>
      <c r="L2255" s="83"/>
      <c r="M2255" s="15"/>
      <c r="N2255" s="15" t="s">
        <v>38</v>
      </c>
      <c r="O2255" s="15"/>
      <c r="P2255" s="16" t="s">
        <v>3072</v>
      </c>
      <c r="Q2255" s="17">
        <v>9899</v>
      </c>
      <c r="R2255" s="18">
        <v>45</v>
      </c>
      <c r="S2255" s="19">
        <v>6261.1174999999994</v>
      </c>
      <c r="T2255" s="20" t="s">
        <v>99</v>
      </c>
      <c r="U2255" s="21" t="s">
        <v>894</v>
      </c>
      <c r="V2255" s="23">
        <v>35</v>
      </c>
      <c r="W2255" s="23">
        <v>2</v>
      </c>
      <c r="X2255" s="24"/>
    </row>
    <row r="2256" spans="1:24" s="1" customFormat="1" ht="26" customHeight="1" x14ac:dyDescent="0.3">
      <c r="A2256" s="25" t="s">
        <v>2784</v>
      </c>
      <c r="B2256" s="25" t="s">
        <v>3070</v>
      </c>
      <c r="C2256" s="12" t="s">
        <v>3071</v>
      </c>
      <c r="D2256" s="86"/>
      <c r="E2256" s="67" t="str">
        <f>HYPERLINK("https://www.google.ru/search?q=101988113&amp;newwindow=1&amp;tbm=isch","Еще фото")</f>
        <v>Еще фото</v>
      </c>
      <c r="F2256" s="14"/>
      <c r="G2256" s="25" t="s">
        <v>2817</v>
      </c>
      <c r="H2256" s="25" t="s">
        <v>93</v>
      </c>
      <c r="I2256" s="25" t="s">
        <v>196</v>
      </c>
      <c r="J2256" s="15" t="s">
        <v>28</v>
      </c>
      <c r="K2256" s="16" t="s">
        <v>29</v>
      </c>
      <c r="L2256" s="88"/>
      <c r="M2256" s="15"/>
      <c r="N2256" s="15" t="s">
        <v>38</v>
      </c>
      <c r="O2256" s="15"/>
      <c r="P2256" s="16" t="s">
        <v>3072</v>
      </c>
      <c r="Q2256" s="17">
        <v>9899</v>
      </c>
      <c r="R2256" s="18">
        <v>45</v>
      </c>
      <c r="S2256" s="19">
        <v>6261.1174999999994</v>
      </c>
      <c r="T2256" s="20" t="s">
        <v>99</v>
      </c>
      <c r="U2256" s="21" t="s">
        <v>170</v>
      </c>
      <c r="V2256" s="23">
        <v>36</v>
      </c>
      <c r="W2256" s="23">
        <v>4</v>
      </c>
      <c r="X2256" s="24"/>
    </row>
    <row r="2257" spans="1:24" s="1" customFormat="1" ht="26" customHeight="1" x14ac:dyDescent="0.3">
      <c r="A2257" s="25" t="s">
        <v>2784</v>
      </c>
      <c r="B2257" s="25" t="s">
        <v>3070</v>
      </c>
      <c r="C2257" s="12" t="s">
        <v>3071</v>
      </c>
      <c r="D2257" s="86"/>
      <c r="E2257" s="67" t="str">
        <f>HYPERLINK("https://www.google.ru/search?q=101988113&amp;newwindow=1&amp;tbm=isch","Еще фото")</f>
        <v>Еще фото</v>
      </c>
      <c r="F2257" s="14"/>
      <c r="G2257" s="25" t="s">
        <v>2817</v>
      </c>
      <c r="H2257" s="25" t="s">
        <v>93</v>
      </c>
      <c r="I2257" s="25" t="s">
        <v>196</v>
      </c>
      <c r="J2257" s="15" t="s">
        <v>28</v>
      </c>
      <c r="K2257" s="16" t="s">
        <v>29</v>
      </c>
      <c r="L2257" s="88"/>
      <c r="M2257" s="15"/>
      <c r="N2257" s="15" t="s">
        <v>38</v>
      </c>
      <c r="O2257" s="15"/>
      <c r="P2257" s="16" t="s">
        <v>3072</v>
      </c>
      <c r="Q2257" s="17">
        <v>9899</v>
      </c>
      <c r="R2257" s="18">
        <v>45</v>
      </c>
      <c r="S2257" s="19">
        <v>6261.1174999999994</v>
      </c>
      <c r="T2257" s="20" t="s">
        <v>99</v>
      </c>
      <c r="U2257" s="21" t="s">
        <v>175</v>
      </c>
      <c r="V2257" s="23">
        <v>38</v>
      </c>
      <c r="W2257" s="23">
        <v>5</v>
      </c>
      <c r="X2257" s="24"/>
    </row>
    <row r="2258" spans="1:24" s="1" customFormat="1" ht="26" customHeight="1" x14ac:dyDescent="0.3">
      <c r="A2258" s="25" t="s">
        <v>2784</v>
      </c>
      <c r="B2258" s="25" t="s">
        <v>3070</v>
      </c>
      <c r="C2258" s="12" t="s">
        <v>3071</v>
      </c>
      <c r="D2258" s="87"/>
      <c r="E2258" s="67" t="str">
        <f>HYPERLINK("https://www.google.ru/search?q=101988113&amp;newwindow=1&amp;tbm=isch","Еще фото")</f>
        <v>Еще фото</v>
      </c>
      <c r="F2258" s="14"/>
      <c r="G2258" s="25" t="s">
        <v>2817</v>
      </c>
      <c r="H2258" s="25" t="s">
        <v>93</v>
      </c>
      <c r="I2258" s="25" t="s">
        <v>196</v>
      </c>
      <c r="J2258" s="15" t="s">
        <v>28</v>
      </c>
      <c r="K2258" s="16" t="s">
        <v>29</v>
      </c>
      <c r="L2258" s="84"/>
      <c r="M2258" s="15"/>
      <c r="N2258" s="15" t="s">
        <v>38</v>
      </c>
      <c r="O2258" s="15"/>
      <c r="P2258" s="16" t="s">
        <v>3072</v>
      </c>
      <c r="Q2258" s="17">
        <v>9899</v>
      </c>
      <c r="R2258" s="18">
        <v>45</v>
      </c>
      <c r="S2258" s="19">
        <v>6261.1174999999994</v>
      </c>
      <c r="T2258" s="20" t="s">
        <v>99</v>
      </c>
      <c r="U2258" s="21" t="s">
        <v>100</v>
      </c>
      <c r="V2258" s="23">
        <v>39</v>
      </c>
      <c r="W2258" s="23">
        <v>1</v>
      </c>
      <c r="X2258" s="24"/>
    </row>
    <row r="2259" spans="1:24" s="1" customFormat="1" ht="108" customHeight="1" x14ac:dyDescent="0.3">
      <c r="A2259" s="11" t="s">
        <v>2784</v>
      </c>
      <c r="B2259" s="11" t="s">
        <v>3073</v>
      </c>
      <c r="C2259" s="12" t="s">
        <v>3074</v>
      </c>
      <c r="D2259" s="13"/>
      <c r="E2259" s="67" t="str">
        <f>HYPERLINK("https://www.google.ru/search?q=101988164&amp;newwindow=1&amp;tbm=isch","Еще фото")</f>
        <v>Еще фото</v>
      </c>
      <c r="F2259" s="14"/>
      <c r="G2259" s="11" t="s">
        <v>153</v>
      </c>
      <c r="H2259" s="11" t="s">
        <v>93</v>
      </c>
      <c r="I2259" s="15" t="s">
        <v>196</v>
      </c>
      <c r="J2259" s="15" t="s">
        <v>28</v>
      </c>
      <c r="K2259" s="16" t="s">
        <v>29</v>
      </c>
      <c r="L2259" s="15"/>
      <c r="M2259" s="15"/>
      <c r="N2259" s="15" t="s">
        <v>55</v>
      </c>
      <c r="O2259" s="15"/>
      <c r="P2259" s="16" t="s">
        <v>3075</v>
      </c>
      <c r="Q2259" s="17">
        <v>9699</v>
      </c>
      <c r="R2259" s="18">
        <v>45</v>
      </c>
      <c r="S2259" s="19">
        <v>6134.6174999999994</v>
      </c>
      <c r="T2259" s="20" t="s">
        <v>99</v>
      </c>
      <c r="U2259" s="21" t="s">
        <v>175</v>
      </c>
      <c r="V2259" s="23">
        <v>38</v>
      </c>
      <c r="W2259" s="23">
        <v>2</v>
      </c>
      <c r="X2259" s="24"/>
    </row>
    <row r="2260" spans="1:24" s="1" customFormat="1" ht="26" customHeight="1" x14ac:dyDescent="0.3">
      <c r="A2260" s="11" t="s">
        <v>2784</v>
      </c>
      <c r="B2260" s="11" t="s">
        <v>3076</v>
      </c>
      <c r="C2260" s="12" t="s">
        <v>3077</v>
      </c>
      <c r="D2260" s="85"/>
      <c r="E2260" s="67" t="str">
        <f>HYPERLINK("https://www.google.ru/search?q=101988168&amp;newwindow=1&amp;tbm=isch","Еще фото")</f>
        <v>Еще фото</v>
      </c>
      <c r="F2260" s="14"/>
      <c r="G2260" s="11" t="s">
        <v>2817</v>
      </c>
      <c r="H2260" s="11" t="s">
        <v>93</v>
      </c>
      <c r="I2260" s="15" t="s">
        <v>196</v>
      </c>
      <c r="J2260" s="15" t="s">
        <v>28</v>
      </c>
      <c r="K2260" s="16" t="s">
        <v>29</v>
      </c>
      <c r="L2260" s="83"/>
      <c r="M2260" s="15"/>
      <c r="N2260" s="15" t="s">
        <v>132</v>
      </c>
      <c r="O2260" s="15"/>
      <c r="P2260" s="16" t="s">
        <v>3078</v>
      </c>
      <c r="Q2260" s="17">
        <v>9699</v>
      </c>
      <c r="R2260" s="18">
        <v>45</v>
      </c>
      <c r="S2260" s="19">
        <v>6134.6174999999994</v>
      </c>
      <c r="T2260" s="20" t="s">
        <v>99</v>
      </c>
      <c r="U2260" s="21" t="s">
        <v>894</v>
      </c>
      <c r="V2260" s="23">
        <v>35</v>
      </c>
      <c r="W2260" s="23">
        <v>4</v>
      </c>
      <c r="X2260" s="24"/>
    </row>
    <row r="2261" spans="1:24" s="1" customFormat="1" ht="26" customHeight="1" x14ac:dyDescent="0.3">
      <c r="A2261" s="25" t="s">
        <v>2784</v>
      </c>
      <c r="B2261" s="25" t="s">
        <v>3076</v>
      </c>
      <c r="C2261" s="12" t="s">
        <v>3077</v>
      </c>
      <c r="D2261" s="86"/>
      <c r="E2261" s="67" t="str">
        <f>HYPERLINK("https://www.google.ru/search?q=101988168&amp;newwindow=1&amp;tbm=isch","Еще фото")</f>
        <v>Еще фото</v>
      </c>
      <c r="F2261" s="14"/>
      <c r="G2261" s="25" t="s">
        <v>2817</v>
      </c>
      <c r="H2261" s="25" t="s">
        <v>93</v>
      </c>
      <c r="I2261" s="25" t="s">
        <v>196</v>
      </c>
      <c r="J2261" s="15" t="s">
        <v>28</v>
      </c>
      <c r="K2261" s="16" t="s">
        <v>29</v>
      </c>
      <c r="L2261" s="88"/>
      <c r="M2261" s="15"/>
      <c r="N2261" s="15" t="s">
        <v>132</v>
      </c>
      <c r="O2261" s="15"/>
      <c r="P2261" s="16" t="s">
        <v>3078</v>
      </c>
      <c r="Q2261" s="17">
        <v>9699</v>
      </c>
      <c r="R2261" s="18">
        <v>45</v>
      </c>
      <c r="S2261" s="19">
        <v>6134.6174999999994</v>
      </c>
      <c r="T2261" s="20" t="s">
        <v>99</v>
      </c>
      <c r="U2261" s="21" t="s">
        <v>170</v>
      </c>
      <c r="V2261" s="23">
        <v>36</v>
      </c>
      <c r="W2261" s="23">
        <v>7</v>
      </c>
      <c r="X2261" s="24"/>
    </row>
    <row r="2262" spans="1:24" s="1" customFormat="1" ht="26" customHeight="1" x14ac:dyDescent="0.3">
      <c r="A2262" s="25" t="s">
        <v>2784</v>
      </c>
      <c r="B2262" s="25" t="s">
        <v>3076</v>
      </c>
      <c r="C2262" s="12" t="s">
        <v>3077</v>
      </c>
      <c r="D2262" s="86"/>
      <c r="E2262" s="67" t="str">
        <f>HYPERLINK("https://www.google.ru/search?q=101988168&amp;newwindow=1&amp;tbm=isch","Еще фото")</f>
        <v>Еще фото</v>
      </c>
      <c r="F2262" s="14"/>
      <c r="G2262" s="25" t="s">
        <v>2817</v>
      </c>
      <c r="H2262" s="25" t="s">
        <v>93</v>
      </c>
      <c r="I2262" s="25" t="s">
        <v>196</v>
      </c>
      <c r="J2262" s="15" t="s">
        <v>28</v>
      </c>
      <c r="K2262" s="16" t="s">
        <v>29</v>
      </c>
      <c r="L2262" s="88"/>
      <c r="M2262" s="15"/>
      <c r="N2262" s="15" t="s">
        <v>132</v>
      </c>
      <c r="O2262" s="15"/>
      <c r="P2262" s="16" t="s">
        <v>3078</v>
      </c>
      <c r="Q2262" s="17">
        <v>9699</v>
      </c>
      <c r="R2262" s="18">
        <v>45</v>
      </c>
      <c r="S2262" s="19">
        <v>6134.6174999999994</v>
      </c>
      <c r="T2262" s="20" t="s">
        <v>99</v>
      </c>
      <c r="U2262" s="21" t="s">
        <v>202</v>
      </c>
      <c r="V2262" s="23">
        <v>37</v>
      </c>
      <c r="W2262" s="23">
        <v>8</v>
      </c>
      <c r="X2262" s="24"/>
    </row>
    <row r="2263" spans="1:24" s="1" customFormat="1" ht="26" customHeight="1" x14ac:dyDescent="0.3">
      <c r="A2263" s="25" t="s">
        <v>2784</v>
      </c>
      <c r="B2263" s="25" t="s">
        <v>3076</v>
      </c>
      <c r="C2263" s="12" t="s">
        <v>3077</v>
      </c>
      <c r="D2263" s="87"/>
      <c r="E2263" s="67" t="str">
        <f>HYPERLINK("https://www.google.ru/search?q=101988168&amp;newwindow=1&amp;tbm=isch","Еще фото")</f>
        <v>Еще фото</v>
      </c>
      <c r="F2263" s="14"/>
      <c r="G2263" s="25" t="s">
        <v>2817</v>
      </c>
      <c r="H2263" s="25" t="s">
        <v>93</v>
      </c>
      <c r="I2263" s="25" t="s">
        <v>196</v>
      </c>
      <c r="J2263" s="15" t="s">
        <v>28</v>
      </c>
      <c r="K2263" s="16" t="s">
        <v>29</v>
      </c>
      <c r="L2263" s="84"/>
      <c r="M2263" s="15"/>
      <c r="N2263" s="15" t="s">
        <v>132</v>
      </c>
      <c r="O2263" s="15"/>
      <c r="P2263" s="16" t="s">
        <v>3078</v>
      </c>
      <c r="Q2263" s="17">
        <v>9699</v>
      </c>
      <c r="R2263" s="18">
        <v>45</v>
      </c>
      <c r="S2263" s="19">
        <v>6134.6174999999994</v>
      </c>
      <c r="T2263" s="20" t="s">
        <v>99</v>
      </c>
      <c r="U2263" s="21" t="s">
        <v>100</v>
      </c>
      <c r="V2263" s="23">
        <v>39</v>
      </c>
      <c r="W2263" s="23">
        <v>4</v>
      </c>
      <c r="X2263" s="24"/>
    </row>
    <row r="2264" spans="1:24" s="1" customFormat="1" ht="108" customHeight="1" x14ac:dyDescent="0.3">
      <c r="A2264" s="11" t="s">
        <v>2724</v>
      </c>
      <c r="B2264" s="11" t="s">
        <v>3079</v>
      </c>
      <c r="C2264" s="12" t="s">
        <v>3080</v>
      </c>
      <c r="D2264" s="13"/>
      <c r="E2264" s="67" t="str">
        <f>HYPERLINK("https://www.google.ru/search?q=743SUC0004092&amp;newwindow=1&amp;tbm=isch","Еще фото")</f>
        <v>Еще фото</v>
      </c>
      <c r="F2264" s="14"/>
      <c r="G2264" s="11" t="s">
        <v>2976</v>
      </c>
      <c r="H2264" s="11" t="s">
        <v>93</v>
      </c>
      <c r="I2264" s="15" t="s">
        <v>196</v>
      </c>
      <c r="J2264" s="15" t="s">
        <v>28</v>
      </c>
      <c r="K2264" s="16" t="s">
        <v>59</v>
      </c>
      <c r="L2264" s="15" t="s">
        <v>3081</v>
      </c>
      <c r="M2264" s="15" t="s">
        <v>61</v>
      </c>
      <c r="N2264" s="15" t="s">
        <v>31</v>
      </c>
      <c r="O2264" s="15"/>
      <c r="P2264" s="16" t="s">
        <v>3082</v>
      </c>
      <c r="Q2264" s="17">
        <v>9980</v>
      </c>
      <c r="R2264" s="18">
        <v>45</v>
      </c>
      <c r="S2264" s="19">
        <v>6312.3499999999995</v>
      </c>
      <c r="T2264" s="20" t="s">
        <v>333</v>
      </c>
      <c r="U2264" s="21" t="s">
        <v>824</v>
      </c>
      <c r="V2264" s="29">
        <v>30.5</v>
      </c>
      <c r="W2264" s="23">
        <v>1</v>
      </c>
      <c r="X2264" s="24"/>
    </row>
    <row r="2265" spans="1:24" s="1" customFormat="1" ht="108" customHeight="1" x14ac:dyDescent="0.3">
      <c r="A2265" s="11" t="s">
        <v>2784</v>
      </c>
      <c r="B2265" s="11" t="s">
        <v>3083</v>
      </c>
      <c r="C2265" s="12" t="s">
        <v>3084</v>
      </c>
      <c r="D2265" s="13"/>
      <c r="E2265" s="67" t="str">
        <f>HYPERLINK("https://www.google.ru/search?q=SB64601-005S03M0014&amp;newwindow=1&amp;tbm=isch","Еще фото")</f>
        <v>Еще фото</v>
      </c>
      <c r="F2265" s="14"/>
      <c r="G2265" s="11" t="s">
        <v>92</v>
      </c>
      <c r="H2265" s="11" t="s">
        <v>93</v>
      </c>
      <c r="I2265" s="15" t="s">
        <v>196</v>
      </c>
      <c r="J2265" s="15" t="s">
        <v>82</v>
      </c>
      <c r="K2265" s="16" t="s">
        <v>59</v>
      </c>
      <c r="L2265" s="15" t="s">
        <v>3085</v>
      </c>
      <c r="M2265" s="15"/>
      <c r="N2265" s="15" t="s">
        <v>38</v>
      </c>
      <c r="O2265" s="15"/>
      <c r="P2265" s="16" t="s">
        <v>3086</v>
      </c>
      <c r="Q2265" s="17">
        <v>6599</v>
      </c>
      <c r="R2265" s="18">
        <v>45</v>
      </c>
      <c r="S2265" s="19">
        <v>4173.8674999999994</v>
      </c>
      <c r="T2265" s="20" t="s">
        <v>99</v>
      </c>
      <c r="U2265" s="21" t="s">
        <v>3087</v>
      </c>
      <c r="V2265" s="23">
        <v>27</v>
      </c>
      <c r="W2265" s="23">
        <v>1</v>
      </c>
      <c r="X2265" s="24"/>
    </row>
    <row r="2266" spans="1:24" s="1" customFormat="1" ht="108" customHeight="1" x14ac:dyDescent="0.3">
      <c r="A2266" s="11" t="s">
        <v>2826</v>
      </c>
      <c r="B2266" s="11" t="s">
        <v>3088</v>
      </c>
      <c r="C2266" s="12" t="s">
        <v>3089</v>
      </c>
      <c r="D2266" s="13"/>
      <c r="E2266" s="67" t="str">
        <f>HYPERLINK("https://www.google.ru/search?q=BF-P03&amp;newwindow=1&amp;tbm=isch","Еще фото")</f>
        <v>Еще фото</v>
      </c>
      <c r="F2266" s="14"/>
      <c r="G2266" s="11" t="s">
        <v>3088</v>
      </c>
      <c r="H2266" s="11" t="s">
        <v>669</v>
      </c>
      <c r="I2266" s="15" t="s">
        <v>952</v>
      </c>
      <c r="J2266" s="15" t="s">
        <v>28</v>
      </c>
      <c r="K2266" s="16" t="s">
        <v>71</v>
      </c>
      <c r="L2266" s="15"/>
      <c r="M2266" s="15"/>
      <c r="N2266" s="15" t="s">
        <v>38</v>
      </c>
      <c r="O2266" s="15"/>
      <c r="P2266" s="16" t="s">
        <v>3090</v>
      </c>
      <c r="Q2266" s="53">
        <v>390</v>
      </c>
      <c r="R2266" s="18">
        <v>59.55</v>
      </c>
      <c r="S2266" s="26">
        <v>181.43549999999999</v>
      </c>
      <c r="T2266" s="20" t="s">
        <v>75</v>
      </c>
      <c r="U2266" s="21" t="s">
        <v>3091</v>
      </c>
      <c r="V2266" s="22" t="s">
        <v>77</v>
      </c>
      <c r="W2266" s="23">
        <v>4</v>
      </c>
      <c r="X2266" s="24"/>
    </row>
    <row r="2267" spans="1:24" s="1" customFormat="1" ht="108" customHeight="1" x14ac:dyDescent="0.3">
      <c r="A2267" s="11" t="s">
        <v>3092</v>
      </c>
      <c r="B2267" s="11" t="s">
        <v>3093</v>
      </c>
      <c r="C2267" s="12" t="s">
        <v>3094</v>
      </c>
      <c r="D2267" s="13"/>
      <c r="E2267" s="67" t="str">
        <f>HYPERLINK("https://www.google.ru/search?q=УТ-00010044&amp;newwindow=1&amp;tbm=isch","Еще фото")</f>
        <v>Еще фото</v>
      </c>
      <c r="F2267" s="14"/>
      <c r="G2267" s="11" t="s">
        <v>3095</v>
      </c>
      <c r="H2267" s="11" t="s">
        <v>669</v>
      </c>
      <c r="I2267" s="15" t="s">
        <v>952</v>
      </c>
      <c r="J2267" s="15" t="s">
        <v>162</v>
      </c>
      <c r="K2267" s="16" t="s">
        <v>71</v>
      </c>
      <c r="L2267" s="15" t="s">
        <v>3096</v>
      </c>
      <c r="M2267" s="15"/>
      <c r="N2267" s="15" t="s">
        <v>2193</v>
      </c>
      <c r="O2267" s="15"/>
      <c r="P2267" s="16" t="s">
        <v>3097</v>
      </c>
      <c r="Q2267" s="17">
        <v>3190</v>
      </c>
      <c r="R2267" s="18">
        <v>46.78</v>
      </c>
      <c r="S2267" s="19">
        <v>1952.4354999999998</v>
      </c>
      <c r="T2267" s="20"/>
      <c r="U2267" s="21" t="s">
        <v>2532</v>
      </c>
      <c r="V2267" s="22"/>
      <c r="W2267" s="23">
        <v>2</v>
      </c>
      <c r="X2267" s="24"/>
    </row>
    <row r="2268" spans="1:24" s="1" customFormat="1" ht="108" customHeight="1" x14ac:dyDescent="0.3">
      <c r="A2268" s="11" t="s">
        <v>2869</v>
      </c>
      <c r="B2268" s="11" t="s">
        <v>3098</v>
      </c>
      <c r="C2268" s="12" t="s">
        <v>3099</v>
      </c>
      <c r="D2268" s="13"/>
      <c r="E2268" s="67" t="str">
        <f>HYPERLINK("https://www.google.ru/search?q=DR10217985080013&amp;newwindow=1&amp;tbm=isch","Еще фото")</f>
        <v>Еще фото</v>
      </c>
      <c r="F2268" s="14"/>
      <c r="G2268" s="11" t="s">
        <v>433</v>
      </c>
      <c r="H2268" s="11" t="s">
        <v>27</v>
      </c>
      <c r="I2268" s="15" t="s">
        <v>434</v>
      </c>
      <c r="J2268" s="15" t="s">
        <v>28</v>
      </c>
      <c r="K2268" s="16" t="s">
        <v>29</v>
      </c>
      <c r="L2268" s="15" t="s">
        <v>3100</v>
      </c>
      <c r="M2268" s="15"/>
      <c r="N2268" s="15" t="s">
        <v>38</v>
      </c>
      <c r="O2268" s="15"/>
      <c r="P2268" s="16" t="s">
        <v>2783</v>
      </c>
      <c r="Q2268" s="17">
        <v>12990</v>
      </c>
      <c r="R2268" s="18">
        <v>49.13</v>
      </c>
      <c r="S2268" s="19">
        <v>7598.9354999999996</v>
      </c>
      <c r="T2268" s="20" t="s">
        <v>99</v>
      </c>
      <c r="U2268" s="21" t="s">
        <v>442</v>
      </c>
      <c r="V2268" s="22" t="s">
        <v>3101</v>
      </c>
      <c r="W2268" s="23">
        <v>1</v>
      </c>
      <c r="X2268" s="24"/>
    </row>
    <row r="2269" spans="1:24" s="1" customFormat="1" ht="52.05" customHeight="1" x14ac:dyDescent="0.3">
      <c r="A2269" s="11" t="s">
        <v>2731</v>
      </c>
      <c r="B2269" s="11" t="s">
        <v>3102</v>
      </c>
      <c r="C2269" s="12" t="s">
        <v>3103</v>
      </c>
      <c r="D2269" s="81"/>
      <c r="E2269" s="67" t="str">
        <f>HYPERLINK("https://www.google.ru/search?q=TB20WL11W8785-1-1672&amp;newwindow=1&amp;tbm=isch","Еще фото")</f>
        <v>Еще фото</v>
      </c>
      <c r="F2269" s="14"/>
      <c r="G2269" s="11" t="s">
        <v>3104</v>
      </c>
      <c r="H2269" s="11" t="s">
        <v>27</v>
      </c>
      <c r="I2269" s="15" t="s">
        <v>301</v>
      </c>
      <c r="J2269" s="15" t="s">
        <v>28</v>
      </c>
      <c r="K2269" s="16" t="s">
        <v>29</v>
      </c>
      <c r="L2269" s="83" t="s">
        <v>3105</v>
      </c>
      <c r="M2269" s="15" t="s">
        <v>61</v>
      </c>
      <c r="N2269" s="15" t="s">
        <v>225</v>
      </c>
      <c r="O2269" s="15"/>
      <c r="P2269" s="16" t="s">
        <v>1795</v>
      </c>
      <c r="Q2269" s="17">
        <v>3599</v>
      </c>
      <c r="R2269" s="18">
        <v>89.23</v>
      </c>
      <c r="S2269" s="26">
        <v>445.93549999999993</v>
      </c>
      <c r="T2269" s="20" t="s">
        <v>99</v>
      </c>
      <c r="U2269" s="21" t="s">
        <v>442</v>
      </c>
      <c r="V2269" s="22" t="s">
        <v>1910</v>
      </c>
      <c r="W2269" s="23">
        <v>1</v>
      </c>
      <c r="X2269" s="24"/>
    </row>
    <row r="2270" spans="1:24" s="1" customFormat="1" ht="61.05" customHeight="1" x14ac:dyDescent="0.3">
      <c r="A2270" s="25" t="s">
        <v>2731</v>
      </c>
      <c r="B2270" s="25" t="s">
        <v>3102</v>
      </c>
      <c r="C2270" s="12" t="s">
        <v>3103</v>
      </c>
      <c r="D2270" s="82"/>
      <c r="E2270" s="67" t="str">
        <f>HYPERLINK("https://www.google.ru/search?q=TB20WL11W8785-1-1672&amp;newwindow=1&amp;tbm=isch","Еще фото")</f>
        <v>Еще фото</v>
      </c>
      <c r="F2270" s="14"/>
      <c r="G2270" s="25" t="s">
        <v>3104</v>
      </c>
      <c r="H2270" s="25" t="s">
        <v>27</v>
      </c>
      <c r="I2270" s="25" t="s">
        <v>301</v>
      </c>
      <c r="J2270" s="15" t="s">
        <v>28</v>
      </c>
      <c r="K2270" s="16" t="s">
        <v>29</v>
      </c>
      <c r="L2270" s="84"/>
      <c r="M2270" s="15" t="s">
        <v>61</v>
      </c>
      <c r="N2270" s="15" t="s">
        <v>225</v>
      </c>
      <c r="O2270" s="15"/>
      <c r="P2270" s="16" t="s">
        <v>1795</v>
      </c>
      <c r="Q2270" s="17">
        <v>3599</v>
      </c>
      <c r="R2270" s="18">
        <v>89.23</v>
      </c>
      <c r="S2270" s="26">
        <v>445.93549999999993</v>
      </c>
      <c r="T2270" s="20" t="s">
        <v>99</v>
      </c>
      <c r="U2270" s="21" t="s">
        <v>34</v>
      </c>
      <c r="V2270" s="22" t="s">
        <v>35</v>
      </c>
      <c r="W2270" s="23">
        <v>5</v>
      </c>
      <c r="X2270" s="24"/>
    </row>
    <row r="2271" spans="1:24" s="1" customFormat="1" ht="108" customHeight="1" x14ac:dyDescent="0.3">
      <c r="A2271" s="11" t="s">
        <v>2731</v>
      </c>
      <c r="B2271" s="11" t="s">
        <v>3102</v>
      </c>
      <c r="C2271" s="12" t="s">
        <v>3106</v>
      </c>
      <c r="D2271" s="13"/>
      <c r="E2271" s="67" t="str">
        <f>HYPERLINK("https://www.google.ru/search?q=TB20WL11W8785-1-1359&amp;newwindow=1&amp;tbm=isch","Еще фото")</f>
        <v>Еще фото</v>
      </c>
      <c r="F2271" s="14"/>
      <c r="G2271" s="11" t="s">
        <v>3104</v>
      </c>
      <c r="H2271" s="11" t="s">
        <v>27</v>
      </c>
      <c r="I2271" s="15" t="s">
        <v>301</v>
      </c>
      <c r="J2271" s="15" t="s">
        <v>162</v>
      </c>
      <c r="K2271" s="16" t="s">
        <v>29</v>
      </c>
      <c r="L2271" s="15" t="s">
        <v>3107</v>
      </c>
      <c r="M2271" s="15" t="s">
        <v>61</v>
      </c>
      <c r="N2271" s="15" t="s">
        <v>55</v>
      </c>
      <c r="O2271" s="15"/>
      <c r="P2271" s="16" t="s">
        <v>1795</v>
      </c>
      <c r="Q2271" s="17">
        <v>3699</v>
      </c>
      <c r="R2271" s="18">
        <v>88.71</v>
      </c>
      <c r="S2271" s="26">
        <v>480.43549999999993</v>
      </c>
      <c r="T2271" s="20" t="s">
        <v>99</v>
      </c>
      <c r="U2271" s="21" t="s">
        <v>34</v>
      </c>
      <c r="V2271" s="22" t="s">
        <v>35</v>
      </c>
      <c r="W2271" s="23">
        <v>2</v>
      </c>
      <c r="X2271" s="24"/>
    </row>
    <row r="2272" spans="1:24" s="1" customFormat="1" ht="35" customHeight="1" x14ac:dyDescent="0.3">
      <c r="A2272" s="11" t="s">
        <v>2834</v>
      </c>
      <c r="B2272" s="11" t="s">
        <v>3108</v>
      </c>
      <c r="C2272" s="12" t="s">
        <v>3109</v>
      </c>
      <c r="D2272" s="85"/>
      <c r="E2272" s="67" t="str">
        <f>HYPERLINK("https://www.google.ru/search?q=6128TL2002-203&amp;newwindow=1&amp;tbm=isch","Еще фото")</f>
        <v>Еще фото</v>
      </c>
      <c r="F2272" s="14"/>
      <c r="G2272" s="11" t="s">
        <v>306</v>
      </c>
      <c r="H2272" s="11" t="s">
        <v>27</v>
      </c>
      <c r="I2272" s="15" t="s">
        <v>301</v>
      </c>
      <c r="J2272" s="15" t="s">
        <v>28</v>
      </c>
      <c r="K2272" s="16" t="s">
        <v>29</v>
      </c>
      <c r="L2272" s="83" t="s">
        <v>3110</v>
      </c>
      <c r="M2272" s="15"/>
      <c r="N2272" s="15" t="s">
        <v>122</v>
      </c>
      <c r="O2272" s="15"/>
      <c r="P2272" s="16" t="s">
        <v>3111</v>
      </c>
      <c r="Q2272" s="17">
        <v>5350</v>
      </c>
      <c r="R2272" s="18">
        <v>88.64</v>
      </c>
      <c r="S2272" s="26">
        <v>698.93549999999993</v>
      </c>
      <c r="T2272" s="20" t="s">
        <v>99</v>
      </c>
      <c r="U2272" s="21" t="s">
        <v>40</v>
      </c>
      <c r="V2272" s="22" t="s">
        <v>53</v>
      </c>
      <c r="W2272" s="23">
        <v>2</v>
      </c>
      <c r="X2272" s="24"/>
    </row>
    <row r="2273" spans="1:24" s="1" customFormat="1" ht="35" customHeight="1" x14ac:dyDescent="0.3">
      <c r="A2273" s="25" t="s">
        <v>2834</v>
      </c>
      <c r="B2273" s="25" t="s">
        <v>3108</v>
      </c>
      <c r="C2273" s="12" t="s">
        <v>3109</v>
      </c>
      <c r="D2273" s="86"/>
      <c r="E2273" s="67" t="str">
        <f>HYPERLINK("https://www.google.ru/search?q=6128TL2002-203&amp;newwindow=1&amp;tbm=isch","Еще фото")</f>
        <v>Еще фото</v>
      </c>
      <c r="F2273" s="14"/>
      <c r="G2273" s="25" t="s">
        <v>306</v>
      </c>
      <c r="H2273" s="25" t="s">
        <v>27</v>
      </c>
      <c r="I2273" s="25" t="s">
        <v>301</v>
      </c>
      <c r="J2273" s="15" t="s">
        <v>28</v>
      </c>
      <c r="K2273" s="16" t="s">
        <v>29</v>
      </c>
      <c r="L2273" s="88"/>
      <c r="M2273" s="15"/>
      <c r="N2273" s="15" t="s">
        <v>122</v>
      </c>
      <c r="O2273" s="15"/>
      <c r="P2273" s="16" t="s">
        <v>3111</v>
      </c>
      <c r="Q2273" s="17">
        <v>5350</v>
      </c>
      <c r="R2273" s="18">
        <v>88.64</v>
      </c>
      <c r="S2273" s="26">
        <v>698.93549999999993</v>
      </c>
      <c r="T2273" s="20" t="s">
        <v>99</v>
      </c>
      <c r="U2273" s="21" t="s">
        <v>42</v>
      </c>
      <c r="V2273" s="22" t="s">
        <v>41</v>
      </c>
      <c r="W2273" s="23">
        <v>2</v>
      </c>
      <c r="X2273" s="24"/>
    </row>
    <row r="2274" spans="1:24" s="1" customFormat="1" ht="37.049999999999997" customHeight="1" x14ac:dyDescent="0.3">
      <c r="A2274" s="25" t="s">
        <v>2834</v>
      </c>
      <c r="B2274" s="25" t="s">
        <v>3108</v>
      </c>
      <c r="C2274" s="12" t="s">
        <v>3109</v>
      </c>
      <c r="D2274" s="87"/>
      <c r="E2274" s="67" t="str">
        <f>HYPERLINK("https://www.google.ru/search?q=6128TL2002-203&amp;newwindow=1&amp;tbm=isch","Еще фото")</f>
        <v>Еще фото</v>
      </c>
      <c r="F2274" s="14"/>
      <c r="G2274" s="25" t="s">
        <v>306</v>
      </c>
      <c r="H2274" s="25" t="s">
        <v>27</v>
      </c>
      <c r="I2274" s="25" t="s">
        <v>301</v>
      </c>
      <c r="J2274" s="15" t="s">
        <v>28</v>
      </c>
      <c r="K2274" s="16" t="s">
        <v>29</v>
      </c>
      <c r="L2274" s="84"/>
      <c r="M2274" s="15"/>
      <c r="N2274" s="15" t="s">
        <v>122</v>
      </c>
      <c r="O2274" s="15"/>
      <c r="P2274" s="16" t="s">
        <v>3111</v>
      </c>
      <c r="Q2274" s="17">
        <v>5350</v>
      </c>
      <c r="R2274" s="18">
        <v>88.64</v>
      </c>
      <c r="S2274" s="26">
        <v>698.93549999999993</v>
      </c>
      <c r="T2274" s="20" t="s">
        <v>99</v>
      </c>
      <c r="U2274" s="21" t="s">
        <v>2838</v>
      </c>
      <c r="V2274" s="22" t="s">
        <v>43</v>
      </c>
      <c r="W2274" s="23">
        <v>1</v>
      </c>
      <c r="X2274" s="24"/>
    </row>
    <row r="2275" spans="1:24" s="1" customFormat="1" ht="52.05" customHeight="1" x14ac:dyDescent="0.3">
      <c r="A2275" s="11" t="s">
        <v>2731</v>
      </c>
      <c r="B2275" s="11" t="s">
        <v>3112</v>
      </c>
      <c r="C2275" s="12" t="s">
        <v>3113</v>
      </c>
      <c r="D2275" s="81"/>
      <c r="E2275" s="67" t="str">
        <f>HYPERLINK("https://www.google.ru/search?q=TB19MA17W1268-1-1005&amp;newwindow=1&amp;tbm=isch","Еще фото")</f>
        <v>Еще фото</v>
      </c>
      <c r="F2275" s="14"/>
      <c r="G2275" s="11" t="s">
        <v>2502</v>
      </c>
      <c r="H2275" s="11" t="s">
        <v>27</v>
      </c>
      <c r="I2275" s="15" t="s">
        <v>301</v>
      </c>
      <c r="J2275" s="15" t="s">
        <v>162</v>
      </c>
      <c r="K2275" s="16" t="s">
        <v>45</v>
      </c>
      <c r="L2275" s="83" t="s">
        <v>3114</v>
      </c>
      <c r="M2275" s="15"/>
      <c r="N2275" s="15" t="s">
        <v>218</v>
      </c>
      <c r="O2275" s="15"/>
      <c r="P2275" s="16" t="s">
        <v>106</v>
      </c>
      <c r="Q2275" s="17">
        <v>8299</v>
      </c>
      <c r="R2275" s="18">
        <v>83.16</v>
      </c>
      <c r="S2275" s="19">
        <v>1607.4354999999998</v>
      </c>
      <c r="T2275" s="20" t="s">
        <v>99</v>
      </c>
      <c r="U2275" s="21" t="s">
        <v>42</v>
      </c>
      <c r="V2275" s="22" t="s">
        <v>49</v>
      </c>
      <c r="W2275" s="23">
        <v>3</v>
      </c>
      <c r="X2275" s="24"/>
    </row>
    <row r="2276" spans="1:24" s="1" customFormat="1" ht="61.05" customHeight="1" x14ac:dyDescent="0.3">
      <c r="A2276" s="25" t="s">
        <v>2731</v>
      </c>
      <c r="B2276" s="25" t="s">
        <v>3112</v>
      </c>
      <c r="C2276" s="12" t="s">
        <v>3113</v>
      </c>
      <c r="D2276" s="82"/>
      <c r="E2276" s="67" t="str">
        <f>HYPERLINK("https://www.google.ru/search?q=TB19MA17W1268-1-1005&amp;newwindow=1&amp;tbm=isch","Еще фото")</f>
        <v>Еще фото</v>
      </c>
      <c r="F2276" s="14"/>
      <c r="G2276" s="25" t="s">
        <v>2502</v>
      </c>
      <c r="H2276" s="25" t="s">
        <v>27</v>
      </c>
      <c r="I2276" s="25" t="s">
        <v>301</v>
      </c>
      <c r="J2276" s="15" t="s">
        <v>162</v>
      </c>
      <c r="K2276" s="16" t="s">
        <v>45</v>
      </c>
      <c r="L2276" s="84"/>
      <c r="M2276" s="15"/>
      <c r="N2276" s="15" t="s">
        <v>218</v>
      </c>
      <c r="O2276" s="15"/>
      <c r="P2276" s="16" t="s">
        <v>106</v>
      </c>
      <c r="Q2276" s="17">
        <v>8299</v>
      </c>
      <c r="R2276" s="18">
        <v>83.16</v>
      </c>
      <c r="S2276" s="19">
        <v>1607.4354999999998</v>
      </c>
      <c r="T2276" s="20" t="s">
        <v>99</v>
      </c>
      <c r="U2276" s="21" t="s">
        <v>493</v>
      </c>
      <c r="V2276" s="22" t="s">
        <v>2745</v>
      </c>
      <c r="W2276" s="23">
        <v>2</v>
      </c>
      <c r="X2276" s="24"/>
    </row>
    <row r="2277" spans="1:24" s="1" customFormat="1" ht="108" customHeight="1" x14ac:dyDescent="0.3">
      <c r="A2277" s="11" t="s">
        <v>2731</v>
      </c>
      <c r="B2277" s="11" t="s">
        <v>3112</v>
      </c>
      <c r="C2277" s="12" t="s">
        <v>3115</v>
      </c>
      <c r="D2277" s="13"/>
      <c r="E2277" s="67" t="str">
        <f>HYPERLINK("https://www.google.ru/search?q=TB19MA17W1268-1-1611&amp;newwindow=1&amp;tbm=isch","Еще фото")</f>
        <v>Еще фото</v>
      </c>
      <c r="F2277" s="14"/>
      <c r="G2277" s="11" t="s">
        <v>2502</v>
      </c>
      <c r="H2277" s="11" t="s">
        <v>27</v>
      </c>
      <c r="I2277" s="15" t="s">
        <v>301</v>
      </c>
      <c r="J2277" s="15" t="s">
        <v>162</v>
      </c>
      <c r="K2277" s="16" t="s">
        <v>45</v>
      </c>
      <c r="L2277" s="15" t="s">
        <v>3114</v>
      </c>
      <c r="M2277" s="15"/>
      <c r="N2277" s="15" t="s">
        <v>55</v>
      </c>
      <c r="O2277" s="15"/>
      <c r="P2277" s="16" t="s">
        <v>106</v>
      </c>
      <c r="Q2277" s="17">
        <v>8299</v>
      </c>
      <c r="R2277" s="18">
        <v>81.95</v>
      </c>
      <c r="S2277" s="19">
        <v>1722.4354999999998</v>
      </c>
      <c r="T2277" s="20" t="s">
        <v>99</v>
      </c>
      <c r="U2277" s="21" t="s">
        <v>493</v>
      </c>
      <c r="V2277" s="22" t="s">
        <v>2745</v>
      </c>
      <c r="W2277" s="23">
        <v>1</v>
      </c>
      <c r="X2277" s="24"/>
    </row>
    <row r="2278" spans="1:24" s="1" customFormat="1" ht="26" customHeight="1" x14ac:dyDescent="0.3">
      <c r="A2278" s="11" t="s">
        <v>2731</v>
      </c>
      <c r="B2278" s="11" t="s">
        <v>3116</v>
      </c>
      <c r="C2278" s="12" t="s">
        <v>3117</v>
      </c>
      <c r="D2278" s="85"/>
      <c r="E2278" s="67" t="str">
        <f>HYPERLINK("https://www.google.ru/search?q=TB23ML01W1533-1-1001&amp;newwindow=1&amp;tbm=isch","Еще фото")</f>
        <v>Еще фото</v>
      </c>
      <c r="F2278" s="14"/>
      <c r="G2278" s="11" t="s">
        <v>3118</v>
      </c>
      <c r="H2278" s="11" t="s">
        <v>27</v>
      </c>
      <c r="I2278" s="15" t="s">
        <v>301</v>
      </c>
      <c r="J2278" s="15" t="s">
        <v>28</v>
      </c>
      <c r="K2278" s="16" t="s">
        <v>45</v>
      </c>
      <c r="L2278" s="83" t="s">
        <v>3119</v>
      </c>
      <c r="M2278" s="15"/>
      <c r="N2278" s="15" t="s">
        <v>38</v>
      </c>
      <c r="O2278" s="15" t="s">
        <v>2523</v>
      </c>
      <c r="P2278" s="16" t="s">
        <v>106</v>
      </c>
      <c r="Q2278" s="17">
        <v>7599</v>
      </c>
      <c r="R2278" s="18">
        <v>80.55</v>
      </c>
      <c r="S2278" s="19">
        <v>1699.4354999999998</v>
      </c>
      <c r="T2278" s="20" t="s">
        <v>99</v>
      </c>
      <c r="U2278" s="21" t="s">
        <v>34</v>
      </c>
      <c r="V2278" s="22" t="s">
        <v>41</v>
      </c>
      <c r="W2278" s="23">
        <v>2</v>
      </c>
      <c r="X2278" s="24"/>
    </row>
    <row r="2279" spans="1:24" s="1" customFormat="1" ht="26" customHeight="1" x14ac:dyDescent="0.3">
      <c r="A2279" s="25" t="s">
        <v>2731</v>
      </c>
      <c r="B2279" s="25" t="s">
        <v>3116</v>
      </c>
      <c r="C2279" s="12" t="s">
        <v>3117</v>
      </c>
      <c r="D2279" s="86"/>
      <c r="E2279" s="67" t="str">
        <f>HYPERLINK("https://www.google.ru/search?q=TB23ML01W1533-1-1001&amp;newwindow=1&amp;tbm=isch","Еще фото")</f>
        <v>Еще фото</v>
      </c>
      <c r="F2279" s="14"/>
      <c r="G2279" s="25" t="s">
        <v>3118</v>
      </c>
      <c r="H2279" s="25" t="s">
        <v>27</v>
      </c>
      <c r="I2279" s="25" t="s">
        <v>301</v>
      </c>
      <c r="J2279" s="15" t="s">
        <v>28</v>
      </c>
      <c r="K2279" s="16" t="s">
        <v>45</v>
      </c>
      <c r="L2279" s="88"/>
      <c r="M2279" s="15"/>
      <c r="N2279" s="15" t="s">
        <v>38</v>
      </c>
      <c r="O2279" s="15" t="s">
        <v>2523</v>
      </c>
      <c r="P2279" s="16" t="s">
        <v>106</v>
      </c>
      <c r="Q2279" s="17">
        <v>7599</v>
      </c>
      <c r="R2279" s="18">
        <v>80.55</v>
      </c>
      <c r="S2279" s="19">
        <v>1699.4354999999998</v>
      </c>
      <c r="T2279" s="20" t="s">
        <v>99</v>
      </c>
      <c r="U2279" s="21" t="s">
        <v>52</v>
      </c>
      <c r="V2279" s="22" t="s">
        <v>43</v>
      </c>
      <c r="W2279" s="23">
        <v>6</v>
      </c>
      <c r="X2279" s="24"/>
    </row>
    <row r="2280" spans="1:24" s="1" customFormat="1" ht="26" customHeight="1" x14ac:dyDescent="0.3">
      <c r="A2280" s="25" t="s">
        <v>2731</v>
      </c>
      <c r="B2280" s="25" t="s">
        <v>3116</v>
      </c>
      <c r="C2280" s="12" t="s">
        <v>3117</v>
      </c>
      <c r="D2280" s="86"/>
      <c r="E2280" s="67" t="str">
        <f>HYPERLINK("https://www.google.ru/search?q=TB23ML01W1533-1-1001&amp;newwindow=1&amp;tbm=isch","Еще фото")</f>
        <v>Еще фото</v>
      </c>
      <c r="F2280" s="14"/>
      <c r="G2280" s="25" t="s">
        <v>3118</v>
      </c>
      <c r="H2280" s="25" t="s">
        <v>27</v>
      </c>
      <c r="I2280" s="25" t="s">
        <v>301</v>
      </c>
      <c r="J2280" s="15" t="s">
        <v>28</v>
      </c>
      <c r="K2280" s="16" t="s">
        <v>45</v>
      </c>
      <c r="L2280" s="88"/>
      <c r="M2280" s="15"/>
      <c r="N2280" s="15" t="s">
        <v>38</v>
      </c>
      <c r="O2280" s="15" t="s">
        <v>2523</v>
      </c>
      <c r="P2280" s="16" t="s">
        <v>106</v>
      </c>
      <c r="Q2280" s="17">
        <v>7599</v>
      </c>
      <c r="R2280" s="18">
        <v>80.55</v>
      </c>
      <c r="S2280" s="19">
        <v>1699.4354999999998</v>
      </c>
      <c r="T2280" s="20" t="s">
        <v>99</v>
      </c>
      <c r="U2280" s="21" t="s">
        <v>40</v>
      </c>
      <c r="V2280" s="22" t="s">
        <v>48</v>
      </c>
      <c r="W2280" s="23">
        <v>3</v>
      </c>
      <c r="X2280" s="24"/>
    </row>
    <row r="2281" spans="1:24" s="1" customFormat="1" ht="26" customHeight="1" x14ac:dyDescent="0.3">
      <c r="A2281" s="25" t="s">
        <v>2731</v>
      </c>
      <c r="B2281" s="25" t="s">
        <v>3116</v>
      </c>
      <c r="C2281" s="12" t="s">
        <v>3117</v>
      </c>
      <c r="D2281" s="87"/>
      <c r="E2281" s="67" t="str">
        <f>HYPERLINK("https://www.google.ru/search?q=TB23ML01W1533-1-1001&amp;newwindow=1&amp;tbm=isch","Еще фото")</f>
        <v>Еще фото</v>
      </c>
      <c r="F2281" s="14"/>
      <c r="G2281" s="25" t="s">
        <v>3118</v>
      </c>
      <c r="H2281" s="25" t="s">
        <v>27</v>
      </c>
      <c r="I2281" s="25" t="s">
        <v>301</v>
      </c>
      <c r="J2281" s="15" t="s">
        <v>28</v>
      </c>
      <c r="K2281" s="16" t="s">
        <v>45</v>
      </c>
      <c r="L2281" s="84"/>
      <c r="M2281" s="15"/>
      <c r="N2281" s="15" t="s">
        <v>38</v>
      </c>
      <c r="O2281" s="15" t="s">
        <v>2523</v>
      </c>
      <c r="P2281" s="16" t="s">
        <v>106</v>
      </c>
      <c r="Q2281" s="17">
        <v>7599</v>
      </c>
      <c r="R2281" s="18">
        <v>80.55</v>
      </c>
      <c r="S2281" s="19">
        <v>1699.4354999999998</v>
      </c>
      <c r="T2281" s="20" t="s">
        <v>99</v>
      </c>
      <c r="U2281" s="21" t="s">
        <v>42</v>
      </c>
      <c r="V2281" s="22" t="s">
        <v>49</v>
      </c>
      <c r="W2281" s="23">
        <v>3</v>
      </c>
      <c r="X2281" s="24"/>
    </row>
    <row r="2282" spans="1:24" s="1" customFormat="1" ht="108" customHeight="1" x14ac:dyDescent="0.3">
      <c r="A2282" s="11" t="s">
        <v>2731</v>
      </c>
      <c r="B2282" s="11" t="s">
        <v>3102</v>
      </c>
      <c r="C2282" s="12" t="s">
        <v>3120</v>
      </c>
      <c r="D2282" s="13"/>
      <c r="E2282" s="67" t="str">
        <f>HYPERLINK("https://www.google.ru/search?q=TB20WL11W8785-1-1057&amp;newwindow=1&amp;tbm=isch","Еще фото")</f>
        <v>Еще фото</v>
      </c>
      <c r="F2282" s="14"/>
      <c r="G2282" s="11" t="s">
        <v>3104</v>
      </c>
      <c r="H2282" s="11" t="s">
        <v>27</v>
      </c>
      <c r="I2282" s="15" t="s">
        <v>301</v>
      </c>
      <c r="J2282" s="15" t="s">
        <v>28</v>
      </c>
      <c r="K2282" s="16" t="s">
        <v>29</v>
      </c>
      <c r="L2282" s="15" t="s">
        <v>3121</v>
      </c>
      <c r="M2282" s="15" t="s">
        <v>61</v>
      </c>
      <c r="N2282" s="15" t="s">
        <v>73</v>
      </c>
      <c r="O2282" s="15" t="s">
        <v>400</v>
      </c>
      <c r="P2282" s="16" t="s">
        <v>1795</v>
      </c>
      <c r="Q2282" s="17">
        <v>3599</v>
      </c>
      <c r="R2282" s="18">
        <v>68.94</v>
      </c>
      <c r="S2282" s="19">
        <v>1285.4354999999998</v>
      </c>
      <c r="T2282" s="20" t="s">
        <v>99</v>
      </c>
      <c r="U2282" s="21" t="s">
        <v>442</v>
      </c>
      <c r="V2282" s="22" t="s">
        <v>1910</v>
      </c>
      <c r="W2282" s="23">
        <v>2</v>
      </c>
      <c r="X2282" s="24"/>
    </row>
    <row r="2283" spans="1:24" s="1" customFormat="1" ht="108" customHeight="1" x14ac:dyDescent="0.3">
      <c r="A2283" s="11" t="s">
        <v>2834</v>
      </c>
      <c r="B2283" s="11" t="s">
        <v>3122</v>
      </c>
      <c r="C2283" s="12" t="s">
        <v>3123</v>
      </c>
      <c r="D2283" s="13"/>
      <c r="E2283" s="67" t="str">
        <f>HYPERLINK("https://www.google.ru/search?q=6136TT2025-000&amp;newwindow=1&amp;tbm=isch","Еще фото")</f>
        <v>Еще фото</v>
      </c>
      <c r="F2283" s="14"/>
      <c r="G2283" s="11" t="s">
        <v>3124</v>
      </c>
      <c r="H2283" s="11" t="s">
        <v>27</v>
      </c>
      <c r="I2283" s="15" t="s">
        <v>301</v>
      </c>
      <c r="J2283" s="15" t="s">
        <v>28</v>
      </c>
      <c r="K2283" s="16" t="s">
        <v>29</v>
      </c>
      <c r="L2283" s="15" t="s">
        <v>3125</v>
      </c>
      <c r="M2283" s="15"/>
      <c r="N2283" s="15" t="s">
        <v>38</v>
      </c>
      <c r="O2283" s="15"/>
      <c r="P2283" s="16" t="s">
        <v>74</v>
      </c>
      <c r="Q2283" s="17">
        <v>5999</v>
      </c>
      <c r="R2283" s="18">
        <v>67.7</v>
      </c>
      <c r="S2283" s="19">
        <v>2228.4354999999996</v>
      </c>
      <c r="T2283" s="20" t="s">
        <v>99</v>
      </c>
      <c r="U2283" s="21" t="s">
        <v>40</v>
      </c>
      <c r="V2283" s="22" t="s">
        <v>53</v>
      </c>
      <c r="W2283" s="23">
        <v>2</v>
      </c>
      <c r="X2283" s="24"/>
    </row>
    <row r="2284" spans="1:24" s="1" customFormat="1" ht="108" customHeight="1" x14ac:dyDescent="0.3">
      <c r="A2284" s="11" t="s">
        <v>2731</v>
      </c>
      <c r="B2284" s="11" t="s">
        <v>3126</v>
      </c>
      <c r="C2284" s="12" t="s">
        <v>3127</v>
      </c>
      <c r="D2284" s="13"/>
      <c r="E2284" s="67" t="str">
        <f>HYPERLINK("https://www.google.ru/search?q=TB21ML06W9343-1-1001&amp;newwindow=1&amp;tbm=isch","Еще фото")</f>
        <v>Еще фото</v>
      </c>
      <c r="F2284" s="14"/>
      <c r="G2284" s="11" t="s">
        <v>3128</v>
      </c>
      <c r="H2284" s="11" t="s">
        <v>27</v>
      </c>
      <c r="I2284" s="15" t="s">
        <v>301</v>
      </c>
      <c r="J2284" s="15" t="s">
        <v>28</v>
      </c>
      <c r="K2284" s="16" t="s">
        <v>45</v>
      </c>
      <c r="L2284" s="15" t="s">
        <v>3129</v>
      </c>
      <c r="M2284" s="15" t="s">
        <v>2514</v>
      </c>
      <c r="N2284" s="15" t="s">
        <v>38</v>
      </c>
      <c r="O2284" s="15" t="s">
        <v>2523</v>
      </c>
      <c r="P2284" s="16" t="s">
        <v>2744</v>
      </c>
      <c r="Q2284" s="17">
        <v>7899</v>
      </c>
      <c r="R2284" s="18">
        <v>67.37</v>
      </c>
      <c r="S2284" s="19">
        <v>2964.4354999999996</v>
      </c>
      <c r="T2284" s="20" t="s">
        <v>99</v>
      </c>
      <c r="U2284" s="21" t="s">
        <v>52</v>
      </c>
      <c r="V2284" s="22" t="s">
        <v>43</v>
      </c>
      <c r="W2284" s="23">
        <v>1</v>
      </c>
      <c r="X2284" s="24"/>
    </row>
    <row r="2285" spans="1:24" s="1" customFormat="1" ht="108" customHeight="1" x14ac:dyDescent="0.3">
      <c r="A2285" s="11" t="s">
        <v>2751</v>
      </c>
      <c r="B2285" s="11" t="s">
        <v>3130</v>
      </c>
      <c r="C2285" s="12" t="s">
        <v>3131</v>
      </c>
      <c r="D2285" s="13"/>
      <c r="E2285" s="67" t="str">
        <f>HYPERLINK("https://www.google.ru/search?q=215977-MS515&amp;newwindow=1&amp;tbm=isch","Еще фото")</f>
        <v>Еще фото</v>
      </c>
      <c r="F2285" s="14"/>
      <c r="G2285" s="11" t="s">
        <v>300</v>
      </c>
      <c r="H2285" s="11" t="s">
        <v>27</v>
      </c>
      <c r="I2285" s="15" t="s">
        <v>301</v>
      </c>
      <c r="J2285" s="15" t="s">
        <v>28</v>
      </c>
      <c r="K2285" s="16" t="s">
        <v>45</v>
      </c>
      <c r="L2285" s="15" t="s">
        <v>3132</v>
      </c>
      <c r="M2285" s="15" t="s">
        <v>61</v>
      </c>
      <c r="N2285" s="15" t="s">
        <v>38</v>
      </c>
      <c r="O2285" s="15" t="s">
        <v>400</v>
      </c>
      <c r="P2285" s="16" t="s">
        <v>3133</v>
      </c>
      <c r="Q2285" s="17">
        <v>11999</v>
      </c>
      <c r="R2285" s="18">
        <v>64.77</v>
      </c>
      <c r="S2285" s="19">
        <v>4861.9355000000005</v>
      </c>
      <c r="T2285" s="20" t="s">
        <v>33</v>
      </c>
      <c r="U2285" s="21" t="s">
        <v>34</v>
      </c>
      <c r="V2285" s="22" t="s">
        <v>53</v>
      </c>
      <c r="W2285" s="23">
        <v>1</v>
      </c>
      <c r="X2285" s="24"/>
    </row>
    <row r="2286" spans="1:24" s="1" customFormat="1" ht="52.05" customHeight="1" x14ac:dyDescent="0.3">
      <c r="A2286" s="11" t="s">
        <v>2834</v>
      </c>
      <c r="B2286" s="11" t="s">
        <v>3108</v>
      </c>
      <c r="C2286" s="12" t="s">
        <v>3134</v>
      </c>
      <c r="D2286" s="81"/>
      <c r="E2286" s="67" t="str">
        <f>HYPERLINK("https://www.google.ru/search?q=6128TL2002-000&amp;newwindow=1&amp;tbm=isch","Еще фото")</f>
        <v>Еще фото</v>
      </c>
      <c r="F2286" s="14"/>
      <c r="G2286" s="11" t="s">
        <v>306</v>
      </c>
      <c r="H2286" s="11" t="s">
        <v>27</v>
      </c>
      <c r="I2286" s="15" t="s">
        <v>301</v>
      </c>
      <c r="J2286" s="15" t="s">
        <v>28</v>
      </c>
      <c r="K2286" s="16" t="s">
        <v>29</v>
      </c>
      <c r="L2286" s="83" t="s">
        <v>3110</v>
      </c>
      <c r="M2286" s="15"/>
      <c r="N2286" s="15" t="s">
        <v>38</v>
      </c>
      <c r="O2286" s="15"/>
      <c r="P2286" s="16" t="s">
        <v>3111</v>
      </c>
      <c r="Q2286" s="17">
        <v>5350</v>
      </c>
      <c r="R2286" s="18">
        <v>64.709999999999994</v>
      </c>
      <c r="S2286" s="19">
        <v>2170.9354999999996</v>
      </c>
      <c r="T2286" s="20" t="s">
        <v>99</v>
      </c>
      <c r="U2286" s="21" t="s">
        <v>42</v>
      </c>
      <c r="V2286" s="22" t="s">
        <v>41</v>
      </c>
      <c r="W2286" s="23">
        <v>3</v>
      </c>
      <c r="X2286" s="24"/>
    </row>
    <row r="2287" spans="1:24" s="1" customFormat="1" ht="61.05" customHeight="1" x14ac:dyDescent="0.3">
      <c r="A2287" s="25" t="s">
        <v>2834</v>
      </c>
      <c r="B2287" s="25" t="s">
        <v>3108</v>
      </c>
      <c r="C2287" s="12" t="s">
        <v>3134</v>
      </c>
      <c r="D2287" s="82"/>
      <c r="E2287" s="67" t="str">
        <f>HYPERLINK("https://www.google.ru/search?q=6128TL2002-000&amp;newwindow=1&amp;tbm=isch","Еще фото")</f>
        <v>Еще фото</v>
      </c>
      <c r="F2287" s="14"/>
      <c r="G2287" s="25" t="s">
        <v>306</v>
      </c>
      <c r="H2287" s="25" t="s">
        <v>27</v>
      </c>
      <c r="I2287" s="25" t="s">
        <v>301</v>
      </c>
      <c r="J2287" s="15" t="s">
        <v>28</v>
      </c>
      <c r="K2287" s="16" t="s">
        <v>29</v>
      </c>
      <c r="L2287" s="84"/>
      <c r="M2287" s="15"/>
      <c r="N2287" s="15" t="s">
        <v>38</v>
      </c>
      <c r="O2287" s="15"/>
      <c r="P2287" s="16" t="s">
        <v>3111</v>
      </c>
      <c r="Q2287" s="17">
        <v>5350</v>
      </c>
      <c r="R2287" s="18">
        <v>64.709999999999994</v>
      </c>
      <c r="S2287" s="19">
        <v>2170.9354999999996</v>
      </c>
      <c r="T2287" s="20" t="s">
        <v>99</v>
      </c>
      <c r="U2287" s="21" t="s">
        <v>2838</v>
      </c>
      <c r="V2287" s="22" t="s">
        <v>43</v>
      </c>
      <c r="W2287" s="23">
        <v>2</v>
      </c>
      <c r="X2287" s="24"/>
    </row>
    <row r="2288" spans="1:24" s="1" customFormat="1" ht="108" customHeight="1" x14ac:dyDescent="0.3">
      <c r="A2288" s="11" t="s">
        <v>2869</v>
      </c>
      <c r="B2288" s="11" t="s">
        <v>3135</v>
      </c>
      <c r="C2288" s="12" t="s">
        <v>3136</v>
      </c>
      <c r="D2288" s="13"/>
      <c r="E2288" s="67" t="str">
        <f>HYPERLINK("https://www.google.ru/search?q=DR10217884380013&amp;newwindow=1&amp;tbm=isch","Еще фото")</f>
        <v>Еще фото</v>
      </c>
      <c r="F2288" s="14"/>
      <c r="G2288" s="11" t="s">
        <v>3124</v>
      </c>
      <c r="H2288" s="11" t="s">
        <v>27</v>
      </c>
      <c r="I2288" s="15" t="s">
        <v>301</v>
      </c>
      <c r="J2288" s="15" t="s">
        <v>28</v>
      </c>
      <c r="K2288" s="16" t="s">
        <v>45</v>
      </c>
      <c r="L2288" s="15" t="s">
        <v>3137</v>
      </c>
      <c r="M2288" s="15"/>
      <c r="N2288" s="15" t="s">
        <v>38</v>
      </c>
      <c r="O2288" s="15"/>
      <c r="P2288" s="16" t="s">
        <v>2783</v>
      </c>
      <c r="Q2288" s="17">
        <v>8290</v>
      </c>
      <c r="R2288" s="18">
        <v>64.680000000000007</v>
      </c>
      <c r="S2288" s="19">
        <v>3366.9354999999996</v>
      </c>
      <c r="T2288" s="20" t="s">
        <v>99</v>
      </c>
      <c r="U2288" s="21" t="s">
        <v>34</v>
      </c>
      <c r="V2288" s="22" t="s">
        <v>41</v>
      </c>
      <c r="W2288" s="23">
        <v>2</v>
      </c>
      <c r="X2288" s="24"/>
    </row>
    <row r="2289" spans="1:24" s="1" customFormat="1" ht="35" customHeight="1" x14ac:dyDescent="0.3">
      <c r="A2289" s="11" t="s">
        <v>2751</v>
      </c>
      <c r="B2289" s="11" t="s">
        <v>3130</v>
      </c>
      <c r="C2289" s="12" t="s">
        <v>3138</v>
      </c>
      <c r="D2289" s="85"/>
      <c r="E2289" s="67" t="str">
        <f>HYPERLINK("https://www.google.ru/search?q=214511-BS008&amp;newwindow=1&amp;tbm=isch","Еще фото")</f>
        <v>Еще фото</v>
      </c>
      <c r="F2289" s="14"/>
      <c r="G2289" s="11" t="s">
        <v>300</v>
      </c>
      <c r="H2289" s="11" t="s">
        <v>27</v>
      </c>
      <c r="I2289" s="15" t="s">
        <v>301</v>
      </c>
      <c r="J2289" s="15" t="s">
        <v>28</v>
      </c>
      <c r="K2289" s="16" t="s">
        <v>45</v>
      </c>
      <c r="L2289" s="83" t="s">
        <v>3139</v>
      </c>
      <c r="M2289" s="15" t="s">
        <v>61</v>
      </c>
      <c r="N2289" s="15" t="s">
        <v>31</v>
      </c>
      <c r="O2289" s="15" t="s">
        <v>400</v>
      </c>
      <c r="P2289" s="16" t="s">
        <v>3140</v>
      </c>
      <c r="Q2289" s="17">
        <v>7599</v>
      </c>
      <c r="R2289" s="18">
        <v>61.6</v>
      </c>
      <c r="S2289" s="19">
        <v>3355.4354999999996</v>
      </c>
      <c r="T2289" s="20" t="s">
        <v>33</v>
      </c>
      <c r="U2289" s="21" t="s">
        <v>442</v>
      </c>
      <c r="V2289" s="22" t="s">
        <v>35</v>
      </c>
      <c r="W2289" s="23">
        <v>2</v>
      </c>
      <c r="X2289" s="24"/>
    </row>
    <row r="2290" spans="1:24" s="1" customFormat="1" ht="35" customHeight="1" x14ac:dyDescent="0.3">
      <c r="A2290" s="25" t="s">
        <v>2751</v>
      </c>
      <c r="B2290" s="25" t="s">
        <v>3130</v>
      </c>
      <c r="C2290" s="12" t="s">
        <v>3138</v>
      </c>
      <c r="D2290" s="86"/>
      <c r="E2290" s="67" t="str">
        <f>HYPERLINK("https://www.google.ru/search?q=214511-BS008&amp;newwindow=1&amp;tbm=isch","Еще фото")</f>
        <v>Еще фото</v>
      </c>
      <c r="F2290" s="14"/>
      <c r="G2290" s="25" t="s">
        <v>300</v>
      </c>
      <c r="H2290" s="25" t="s">
        <v>27</v>
      </c>
      <c r="I2290" s="25" t="s">
        <v>301</v>
      </c>
      <c r="J2290" s="15" t="s">
        <v>28</v>
      </c>
      <c r="K2290" s="16" t="s">
        <v>45</v>
      </c>
      <c r="L2290" s="88"/>
      <c r="M2290" s="15" t="s">
        <v>61</v>
      </c>
      <c r="N2290" s="15" t="s">
        <v>31</v>
      </c>
      <c r="O2290" s="15" t="s">
        <v>400</v>
      </c>
      <c r="P2290" s="16" t="s">
        <v>3140</v>
      </c>
      <c r="Q2290" s="17">
        <v>7599</v>
      </c>
      <c r="R2290" s="18">
        <v>61.6</v>
      </c>
      <c r="S2290" s="19">
        <v>3355.4354999999996</v>
      </c>
      <c r="T2290" s="20" t="s">
        <v>33</v>
      </c>
      <c r="U2290" s="21" t="s">
        <v>34</v>
      </c>
      <c r="V2290" s="22" t="s">
        <v>53</v>
      </c>
      <c r="W2290" s="23">
        <v>6</v>
      </c>
      <c r="X2290" s="24"/>
    </row>
    <row r="2291" spans="1:24" s="1" customFormat="1" ht="37.049999999999997" customHeight="1" x14ac:dyDescent="0.3">
      <c r="A2291" s="25" t="s">
        <v>2751</v>
      </c>
      <c r="B2291" s="25" t="s">
        <v>3130</v>
      </c>
      <c r="C2291" s="12" t="s">
        <v>3138</v>
      </c>
      <c r="D2291" s="87"/>
      <c r="E2291" s="67" t="str">
        <f>HYPERLINK("https://www.google.ru/search?q=214511-BS008&amp;newwindow=1&amp;tbm=isch","Еще фото")</f>
        <v>Еще фото</v>
      </c>
      <c r="F2291" s="14"/>
      <c r="G2291" s="25" t="s">
        <v>300</v>
      </c>
      <c r="H2291" s="25" t="s">
        <v>27</v>
      </c>
      <c r="I2291" s="25" t="s">
        <v>301</v>
      </c>
      <c r="J2291" s="15" t="s">
        <v>28</v>
      </c>
      <c r="K2291" s="16" t="s">
        <v>45</v>
      </c>
      <c r="L2291" s="84"/>
      <c r="M2291" s="15" t="s">
        <v>61</v>
      </c>
      <c r="N2291" s="15" t="s">
        <v>31</v>
      </c>
      <c r="O2291" s="15" t="s">
        <v>400</v>
      </c>
      <c r="P2291" s="16" t="s">
        <v>3140</v>
      </c>
      <c r="Q2291" s="17">
        <v>7599</v>
      </c>
      <c r="R2291" s="18">
        <v>61.6</v>
      </c>
      <c r="S2291" s="19">
        <v>3355.4354999999996</v>
      </c>
      <c r="T2291" s="20" t="s">
        <v>33</v>
      </c>
      <c r="U2291" s="21" t="s">
        <v>52</v>
      </c>
      <c r="V2291" s="22" t="s">
        <v>41</v>
      </c>
      <c r="W2291" s="23">
        <v>1</v>
      </c>
      <c r="X2291" s="24"/>
    </row>
    <row r="2292" spans="1:24" s="1" customFormat="1" ht="108" customHeight="1" x14ac:dyDescent="0.3">
      <c r="A2292" s="11" t="s">
        <v>2869</v>
      </c>
      <c r="B2292" s="11" t="s">
        <v>3141</v>
      </c>
      <c r="C2292" s="12" t="s">
        <v>3142</v>
      </c>
      <c r="D2292" s="13"/>
      <c r="E2292" s="67" t="str">
        <f>HYPERLINK("https://www.google.ru/search?q=DR10217985280013&amp;newwindow=1&amp;tbm=isch","Еще фото")</f>
        <v>Еще фото</v>
      </c>
      <c r="F2292" s="14"/>
      <c r="G2292" s="11" t="s">
        <v>306</v>
      </c>
      <c r="H2292" s="11" t="s">
        <v>27</v>
      </c>
      <c r="I2292" s="15" t="s">
        <v>301</v>
      </c>
      <c r="J2292" s="15" t="s">
        <v>28</v>
      </c>
      <c r="K2292" s="16" t="s">
        <v>29</v>
      </c>
      <c r="L2292" s="15" t="s">
        <v>3143</v>
      </c>
      <c r="M2292" s="15"/>
      <c r="N2292" s="15" t="s">
        <v>38</v>
      </c>
      <c r="O2292" s="15"/>
      <c r="P2292" s="16" t="s">
        <v>2783</v>
      </c>
      <c r="Q2292" s="17">
        <v>7490</v>
      </c>
      <c r="R2292" s="18">
        <v>55.7</v>
      </c>
      <c r="S2292" s="19">
        <v>3815.4354999999996</v>
      </c>
      <c r="T2292" s="20" t="s">
        <v>99</v>
      </c>
      <c r="U2292" s="21" t="s">
        <v>34</v>
      </c>
      <c r="V2292" s="22" t="s">
        <v>1910</v>
      </c>
      <c r="W2292" s="23">
        <v>2</v>
      </c>
      <c r="X2292" s="24"/>
    </row>
    <row r="2293" spans="1:24" s="1" customFormat="1" ht="108" customHeight="1" x14ac:dyDescent="0.3">
      <c r="A2293" s="11" t="s">
        <v>2731</v>
      </c>
      <c r="B2293" s="11" t="s">
        <v>3102</v>
      </c>
      <c r="C2293" s="12" t="s">
        <v>3144</v>
      </c>
      <c r="D2293" s="13"/>
      <c r="E2293" s="67" t="str">
        <f>HYPERLINK("https://www.google.ru/search?q=TB20WL11W8785-1-1801&amp;newwindow=1&amp;tbm=isch","Еще фото")</f>
        <v>Еще фото</v>
      </c>
      <c r="F2293" s="14"/>
      <c r="G2293" s="11" t="s">
        <v>3104</v>
      </c>
      <c r="H2293" s="11" t="s">
        <v>27</v>
      </c>
      <c r="I2293" s="15" t="s">
        <v>301</v>
      </c>
      <c r="J2293" s="15" t="s">
        <v>28</v>
      </c>
      <c r="K2293" s="16" t="s">
        <v>29</v>
      </c>
      <c r="L2293" s="15" t="s">
        <v>3105</v>
      </c>
      <c r="M2293" s="15" t="s">
        <v>61</v>
      </c>
      <c r="N2293" s="15" t="s">
        <v>413</v>
      </c>
      <c r="O2293" s="15" t="s">
        <v>400</v>
      </c>
      <c r="P2293" s="16" t="s">
        <v>1795</v>
      </c>
      <c r="Q2293" s="17">
        <v>3899</v>
      </c>
      <c r="R2293" s="18">
        <v>50</v>
      </c>
      <c r="S2293" s="19">
        <v>2241.9249999999997</v>
      </c>
      <c r="T2293" s="20" t="s">
        <v>99</v>
      </c>
      <c r="U2293" s="21" t="s">
        <v>52</v>
      </c>
      <c r="V2293" s="22" t="s">
        <v>53</v>
      </c>
      <c r="W2293" s="23">
        <v>1</v>
      </c>
      <c r="X2293" s="24"/>
    </row>
    <row r="2294" spans="1:24" s="1" customFormat="1" ht="108" customHeight="1" x14ac:dyDescent="0.3">
      <c r="A2294" s="11" t="s">
        <v>2784</v>
      </c>
      <c r="B2294" s="11" t="s">
        <v>3145</v>
      </c>
      <c r="C2294" s="12" t="s">
        <v>3146</v>
      </c>
      <c r="D2294" s="13"/>
      <c r="E2294" s="67" t="str">
        <f>HYPERLINK("https://www.google.ru/search?q=101510960&amp;newwindow=1&amp;tbm=isch","Еще фото")</f>
        <v>Еще фото</v>
      </c>
      <c r="F2294" s="14"/>
      <c r="G2294" s="11" t="s">
        <v>3124</v>
      </c>
      <c r="H2294" s="11" t="s">
        <v>27</v>
      </c>
      <c r="I2294" s="15" t="s">
        <v>301</v>
      </c>
      <c r="J2294" s="15" t="s">
        <v>28</v>
      </c>
      <c r="K2294" s="16" t="s">
        <v>29</v>
      </c>
      <c r="L2294" s="15"/>
      <c r="M2294" s="15"/>
      <c r="N2294" s="15" t="s">
        <v>38</v>
      </c>
      <c r="O2294" s="15"/>
      <c r="P2294" s="16" t="s">
        <v>3147</v>
      </c>
      <c r="Q2294" s="17">
        <v>7399</v>
      </c>
      <c r="R2294" s="18">
        <v>48</v>
      </c>
      <c r="S2294" s="19">
        <v>4424.6019999999999</v>
      </c>
      <c r="T2294" s="20" t="s">
        <v>99</v>
      </c>
      <c r="U2294" s="21" t="s">
        <v>40</v>
      </c>
      <c r="V2294" s="22" t="s">
        <v>43</v>
      </c>
      <c r="W2294" s="23">
        <v>1</v>
      </c>
      <c r="X2294" s="24"/>
    </row>
    <row r="2295" spans="1:24" s="1" customFormat="1" ht="108" customHeight="1" x14ac:dyDescent="0.3">
      <c r="A2295" s="11" t="s">
        <v>2784</v>
      </c>
      <c r="B2295" s="11" t="s">
        <v>3148</v>
      </c>
      <c r="C2295" s="12" t="s">
        <v>3149</v>
      </c>
      <c r="D2295" s="13"/>
      <c r="E2295" s="67" t="str">
        <f>HYPERLINK("https://www.google.ru/search?q=101943613&amp;newwindow=1&amp;tbm=isch","Еще фото")</f>
        <v>Еще фото</v>
      </c>
      <c r="F2295" s="14"/>
      <c r="G2295" s="11" t="s">
        <v>306</v>
      </c>
      <c r="H2295" s="11" t="s">
        <v>27</v>
      </c>
      <c r="I2295" s="15" t="s">
        <v>301</v>
      </c>
      <c r="J2295" s="15" t="s">
        <v>28</v>
      </c>
      <c r="K2295" s="16" t="s">
        <v>29</v>
      </c>
      <c r="L2295" s="15"/>
      <c r="M2295" s="15"/>
      <c r="N2295" s="15" t="s">
        <v>212</v>
      </c>
      <c r="O2295" s="15"/>
      <c r="P2295" s="16" t="s">
        <v>74</v>
      </c>
      <c r="Q2295" s="17">
        <v>5999</v>
      </c>
      <c r="R2295" s="18">
        <v>45</v>
      </c>
      <c r="S2295" s="19">
        <v>3794.3674999999994</v>
      </c>
      <c r="T2295" s="20" t="s">
        <v>99</v>
      </c>
      <c r="U2295" s="21" t="s">
        <v>34</v>
      </c>
      <c r="V2295" s="22" t="s">
        <v>35</v>
      </c>
      <c r="W2295" s="23">
        <v>1</v>
      </c>
      <c r="X2295" s="24"/>
    </row>
    <row r="2296" spans="1:24" s="1" customFormat="1" ht="35" customHeight="1" x14ac:dyDescent="0.3">
      <c r="A2296" s="11" t="s">
        <v>2784</v>
      </c>
      <c r="B2296" s="11" t="s">
        <v>3150</v>
      </c>
      <c r="C2296" s="12" t="s">
        <v>3151</v>
      </c>
      <c r="D2296" s="85"/>
      <c r="E2296" s="67" t="str">
        <f>HYPERLINK("https://www.google.ru/search?q=101989884&amp;newwindow=1&amp;tbm=isch","Еще фото")</f>
        <v>Еще фото</v>
      </c>
      <c r="F2296" s="14"/>
      <c r="G2296" s="11" t="s">
        <v>140</v>
      </c>
      <c r="H2296" s="11" t="s">
        <v>27</v>
      </c>
      <c r="I2296" s="15" t="s">
        <v>301</v>
      </c>
      <c r="J2296" s="15" t="s">
        <v>28</v>
      </c>
      <c r="K2296" s="16" t="s">
        <v>45</v>
      </c>
      <c r="L2296" s="83"/>
      <c r="M2296" s="15"/>
      <c r="N2296" s="15" t="s">
        <v>423</v>
      </c>
      <c r="O2296" s="15"/>
      <c r="P2296" s="16" t="s">
        <v>74</v>
      </c>
      <c r="Q2296" s="17">
        <v>9999</v>
      </c>
      <c r="R2296" s="18">
        <v>45</v>
      </c>
      <c r="S2296" s="19">
        <v>6324.3674999999994</v>
      </c>
      <c r="T2296" s="20" t="s">
        <v>99</v>
      </c>
      <c r="U2296" s="21" t="s">
        <v>40</v>
      </c>
      <c r="V2296" s="22" t="s">
        <v>48</v>
      </c>
      <c r="W2296" s="23">
        <v>1</v>
      </c>
      <c r="X2296" s="24"/>
    </row>
    <row r="2297" spans="1:24" s="1" customFormat="1" ht="35" customHeight="1" x14ac:dyDescent="0.3">
      <c r="A2297" s="25" t="s">
        <v>2784</v>
      </c>
      <c r="B2297" s="25" t="s">
        <v>3150</v>
      </c>
      <c r="C2297" s="12" t="s">
        <v>3151</v>
      </c>
      <c r="D2297" s="86"/>
      <c r="E2297" s="67" t="str">
        <f>HYPERLINK("https://www.google.ru/search?q=101989884&amp;newwindow=1&amp;tbm=isch","Еще фото")</f>
        <v>Еще фото</v>
      </c>
      <c r="F2297" s="14"/>
      <c r="G2297" s="25" t="s">
        <v>140</v>
      </c>
      <c r="H2297" s="25" t="s">
        <v>27</v>
      </c>
      <c r="I2297" s="25" t="s">
        <v>301</v>
      </c>
      <c r="J2297" s="15" t="s">
        <v>28</v>
      </c>
      <c r="K2297" s="16" t="s">
        <v>45</v>
      </c>
      <c r="L2297" s="88"/>
      <c r="M2297" s="15"/>
      <c r="N2297" s="15" t="s">
        <v>423</v>
      </c>
      <c r="O2297" s="15"/>
      <c r="P2297" s="16" t="s">
        <v>74</v>
      </c>
      <c r="Q2297" s="17">
        <v>9999</v>
      </c>
      <c r="R2297" s="18">
        <v>45</v>
      </c>
      <c r="S2297" s="19">
        <v>6324.3674999999994</v>
      </c>
      <c r="T2297" s="20" t="s">
        <v>99</v>
      </c>
      <c r="U2297" s="21" t="s">
        <v>42</v>
      </c>
      <c r="V2297" s="22" t="s">
        <v>49</v>
      </c>
      <c r="W2297" s="23">
        <v>2</v>
      </c>
      <c r="X2297" s="24"/>
    </row>
    <row r="2298" spans="1:24" s="1" customFormat="1" ht="37.049999999999997" customHeight="1" x14ac:dyDescent="0.3">
      <c r="A2298" s="25" t="s">
        <v>2784</v>
      </c>
      <c r="B2298" s="25" t="s">
        <v>3150</v>
      </c>
      <c r="C2298" s="12" t="s">
        <v>3151</v>
      </c>
      <c r="D2298" s="87"/>
      <c r="E2298" s="67" t="str">
        <f>HYPERLINK("https://www.google.ru/search?q=101989884&amp;newwindow=1&amp;tbm=isch","Еще фото")</f>
        <v>Еще фото</v>
      </c>
      <c r="F2298" s="14"/>
      <c r="G2298" s="25" t="s">
        <v>140</v>
      </c>
      <c r="H2298" s="25" t="s">
        <v>27</v>
      </c>
      <c r="I2298" s="25" t="s">
        <v>301</v>
      </c>
      <c r="J2298" s="15" t="s">
        <v>28</v>
      </c>
      <c r="K2298" s="16" t="s">
        <v>45</v>
      </c>
      <c r="L2298" s="84"/>
      <c r="M2298" s="15"/>
      <c r="N2298" s="15" t="s">
        <v>423</v>
      </c>
      <c r="O2298" s="15"/>
      <c r="P2298" s="16" t="s">
        <v>74</v>
      </c>
      <c r="Q2298" s="17">
        <v>9999</v>
      </c>
      <c r="R2298" s="18">
        <v>45</v>
      </c>
      <c r="S2298" s="19">
        <v>6324.3674999999994</v>
      </c>
      <c r="T2298" s="20" t="s">
        <v>99</v>
      </c>
      <c r="U2298" s="21" t="s">
        <v>2838</v>
      </c>
      <c r="V2298" s="22" t="s">
        <v>2745</v>
      </c>
      <c r="W2298" s="23">
        <v>2</v>
      </c>
      <c r="X2298" s="24"/>
    </row>
    <row r="2299" spans="1:24" s="1" customFormat="1" ht="108" customHeight="1" x14ac:dyDescent="0.3">
      <c r="A2299" s="11" t="s">
        <v>2784</v>
      </c>
      <c r="B2299" s="11" t="s">
        <v>3150</v>
      </c>
      <c r="C2299" s="12" t="s">
        <v>3152</v>
      </c>
      <c r="D2299" s="13"/>
      <c r="E2299" s="67" t="str">
        <f>HYPERLINK("https://www.google.ru/search?q=101989888&amp;newwindow=1&amp;tbm=isch","Еще фото")</f>
        <v>Еще фото</v>
      </c>
      <c r="F2299" s="14"/>
      <c r="G2299" s="11" t="s">
        <v>140</v>
      </c>
      <c r="H2299" s="11" t="s">
        <v>27</v>
      </c>
      <c r="I2299" s="15" t="s">
        <v>301</v>
      </c>
      <c r="J2299" s="15" t="s">
        <v>28</v>
      </c>
      <c r="K2299" s="16" t="s">
        <v>45</v>
      </c>
      <c r="L2299" s="15"/>
      <c r="M2299" s="15"/>
      <c r="N2299" s="15" t="s">
        <v>31</v>
      </c>
      <c r="O2299" s="15"/>
      <c r="P2299" s="16" t="s">
        <v>74</v>
      </c>
      <c r="Q2299" s="17">
        <v>9999</v>
      </c>
      <c r="R2299" s="18">
        <v>45</v>
      </c>
      <c r="S2299" s="19">
        <v>6324.3674999999994</v>
      </c>
      <c r="T2299" s="20" t="s">
        <v>99</v>
      </c>
      <c r="U2299" s="21" t="s">
        <v>2838</v>
      </c>
      <c r="V2299" s="22" t="s">
        <v>2745</v>
      </c>
      <c r="W2299" s="23">
        <v>1</v>
      </c>
      <c r="X2299" s="24"/>
    </row>
    <row r="2300" spans="1:24" s="1" customFormat="1" ht="35" customHeight="1" x14ac:dyDescent="0.3">
      <c r="A2300" s="11" t="s">
        <v>2784</v>
      </c>
      <c r="B2300" s="11" t="s">
        <v>3153</v>
      </c>
      <c r="C2300" s="12" t="s">
        <v>3154</v>
      </c>
      <c r="D2300" s="85"/>
      <c r="E2300" s="67" t="str">
        <f>HYPERLINK("https://www.google.ru/search?q=101989942&amp;newwindow=1&amp;tbm=isch","Еще фото")</f>
        <v>Еще фото</v>
      </c>
      <c r="F2300" s="14"/>
      <c r="G2300" s="11" t="s">
        <v>306</v>
      </c>
      <c r="H2300" s="11" t="s">
        <v>27</v>
      </c>
      <c r="I2300" s="15" t="s">
        <v>301</v>
      </c>
      <c r="J2300" s="15" t="s">
        <v>28</v>
      </c>
      <c r="K2300" s="16" t="s">
        <v>29</v>
      </c>
      <c r="L2300" s="83"/>
      <c r="M2300" s="15"/>
      <c r="N2300" s="15" t="s">
        <v>38</v>
      </c>
      <c r="O2300" s="15"/>
      <c r="P2300" s="16" t="s">
        <v>2787</v>
      </c>
      <c r="Q2300" s="17">
        <v>6999</v>
      </c>
      <c r="R2300" s="18">
        <v>45</v>
      </c>
      <c r="S2300" s="19">
        <v>4426.8674999999994</v>
      </c>
      <c r="T2300" s="20" t="s">
        <v>99</v>
      </c>
      <c r="U2300" s="21" t="s">
        <v>52</v>
      </c>
      <c r="V2300" s="22" t="s">
        <v>41</v>
      </c>
      <c r="W2300" s="23">
        <v>3</v>
      </c>
      <c r="X2300" s="24"/>
    </row>
    <row r="2301" spans="1:24" s="1" customFormat="1" ht="35" customHeight="1" x14ac:dyDescent="0.3">
      <c r="A2301" s="25" t="s">
        <v>2784</v>
      </c>
      <c r="B2301" s="25" t="s">
        <v>3153</v>
      </c>
      <c r="C2301" s="12" t="s">
        <v>3154</v>
      </c>
      <c r="D2301" s="86"/>
      <c r="E2301" s="67" t="str">
        <f>HYPERLINK("https://www.google.ru/search?q=101989942&amp;newwindow=1&amp;tbm=isch","Еще фото")</f>
        <v>Еще фото</v>
      </c>
      <c r="F2301" s="14"/>
      <c r="G2301" s="25" t="s">
        <v>306</v>
      </c>
      <c r="H2301" s="25" t="s">
        <v>27</v>
      </c>
      <c r="I2301" s="25" t="s">
        <v>301</v>
      </c>
      <c r="J2301" s="15" t="s">
        <v>28</v>
      </c>
      <c r="K2301" s="16" t="s">
        <v>29</v>
      </c>
      <c r="L2301" s="88"/>
      <c r="M2301" s="15"/>
      <c r="N2301" s="15" t="s">
        <v>38</v>
      </c>
      <c r="O2301" s="15"/>
      <c r="P2301" s="16" t="s">
        <v>2787</v>
      </c>
      <c r="Q2301" s="17">
        <v>6999</v>
      </c>
      <c r="R2301" s="18">
        <v>45</v>
      </c>
      <c r="S2301" s="19">
        <v>4426.8674999999994</v>
      </c>
      <c r="T2301" s="20" t="s">
        <v>99</v>
      </c>
      <c r="U2301" s="21" t="s">
        <v>40</v>
      </c>
      <c r="V2301" s="22" t="s">
        <v>43</v>
      </c>
      <c r="W2301" s="23">
        <v>3</v>
      </c>
      <c r="X2301" s="24"/>
    </row>
    <row r="2302" spans="1:24" s="1" customFormat="1" ht="37.049999999999997" customHeight="1" x14ac:dyDescent="0.3">
      <c r="A2302" s="25" t="s">
        <v>2784</v>
      </c>
      <c r="B2302" s="25" t="s">
        <v>3153</v>
      </c>
      <c r="C2302" s="12" t="s">
        <v>3154</v>
      </c>
      <c r="D2302" s="87"/>
      <c r="E2302" s="67" t="str">
        <f>HYPERLINK("https://www.google.ru/search?q=101989942&amp;newwindow=1&amp;tbm=isch","Еще фото")</f>
        <v>Еще фото</v>
      </c>
      <c r="F2302" s="14"/>
      <c r="G2302" s="25" t="s">
        <v>306</v>
      </c>
      <c r="H2302" s="25" t="s">
        <v>27</v>
      </c>
      <c r="I2302" s="25" t="s">
        <v>301</v>
      </c>
      <c r="J2302" s="15" t="s">
        <v>28</v>
      </c>
      <c r="K2302" s="16" t="s">
        <v>29</v>
      </c>
      <c r="L2302" s="84"/>
      <c r="M2302" s="15"/>
      <c r="N2302" s="15" t="s">
        <v>38</v>
      </c>
      <c r="O2302" s="15"/>
      <c r="P2302" s="16" t="s">
        <v>2787</v>
      </c>
      <c r="Q2302" s="17">
        <v>6999</v>
      </c>
      <c r="R2302" s="18">
        <v>45</v>
      </c>
      <c r="S2302" s="19">
        <v>4426.8674999999994</v>
      </c>
      <c r="T2302" s="20" t="s">
        <v>99</v>
      </c>
      <c r="U2302" s="21" t="s">
        <v>42</v>
      </c>
      <c r="V2302" s="22" t="s">
        <v>48</v>
      </c>
      <c r="W2302" s="23">
        <v>4</v>
      </c>
      <c r="X2302" s="24"/>
    </row>
    <row r="2303" spans="1:24" s="1" customFormat="1" ht="52.05" customHeight="1" x14ac:dyDescent="0.3">
      <c r="A2303" s="11" t="s">
        <v>2784</v>
      </c>
      <c r="B2303" s="11" t="s">
        <v>3145</v>
      </c>
      <c r="C2303" s="12" t="s">
        <v>3155</v>
      </c>
      <c r="D2303" s="81"/>
      <c r="E2303" s="67" t="str">
        <f>HYPERLINK("https://www.google.ru/search?q=101989997&amp;newwindow=1&amp;tbm=isch","Еще фото")</f>
        <v>Еще фото</v>
      </c>
      <c r="F2303" s="14"/>
      <c r="G2303" s="11" t="s">
        <v>3124</v>
      </c>
      <c r="H2303" s="11" t="s">
        <v>27</v>
      </c>
      <c r="I2303" s="15" t="s">
        <v>301</v>
      </c>
      <c r="J2303" s="15" t="s">
        <v>28</v>
      </c>
      <c r="K2303" s="16" t="s">
        <v>29</v>
      </c>
      <c r="L2303" s="83"/>
      <c r="M2303" s="15"/>
      <c r="N2303" s="15" t="s">
        <v>38</v>
      </c>
      <c r="O2303" s="15"/>
      <c r="P2303" s="16" t="s">
        <v>2787</v>
      </c>
      <c r="Q2303" s="17">
        <v>8999</v>
      </c>
      <c r="R2303" s="18">
        <v>45</v>
      </c>
      <c r="S2303" s="19">
        <v>5691.8674999999994</v>
      </c>
      <c r="T2303" s="20" t="s">
        <v>99</v>
      </c>
      <c r="U2303" s="21" t="s">
        <v>52</v>
      </c>
      <c r="V2303" s="22" t="s">
        <v>41</v>
      </c>
      <c r="W2303" s="23">
        <v>1</v>
      </c>
      <c r="X2303" s="24"/>
    </row>
    <row r="2304" spans="1:24" s="1" customFormat="1" ht="61.05" customHeight="1" x14ac:dyDescent="0.3">
      <c r="A2304" s="25" t="s">
        <v>2784</v>
      </c>
      <c r="B2304" s="25" t="s">
        <v>3145</v>
      </c>
      <c r="C2304" s="12" t="s">
        <v>3155</v>
      </c>
      <c r="D2304" s="82"/>
      <c r="E2304" s="67" t="str">
        <f>HYPERLINK("https://www.google.ru/search?q=101989997&amp;newwindow=1&amp;tbm=isch","Еще фото")</f>
        <v>Еще фото</v>
      </c>
      <c r="F2304" s="14"/>
      <c r="G2304" s="25" t="s">
        <v>3124</v>
      </c>
      <c r="H2304" s="25" t="s">
        <v>27</v>
      </c>
      <c r="I2304" s="25" t="s">
        <v>301</v>
      </c>
      <c r="J2304" s="15" t="s">
        <v>28</v>
      </c>
      <c r="K2304" s="16" t="s">
        <v>29</v>
      </c>
      <c r="L2304" s="84"/>
      <c r="M2304" s="15"/>
      <c r="N2304" s="15" t="s">
        <v>38</v>
      </c>
      <c r="O2304" s="15"/>
      <c r="P2304" s="16" t="s">
        <v>2787</v>
      </c>
      <c r="Q2304" s="17">
        <v>8999</v>
      </c>
      <c r="R2304" s="18">
        <v>45</v>
      </c>
      <c r="S2304" s="19">
        <v>5691.8674999999994</v>
      </c>
      <c r="T2304" s="20" t="s">
        <v>99</v>
      </c>
      <c r="U2304" s="21" t="s">
        <v>42</v>
      </c>
      <c r="V2304" s="22" t="s">
        <v>48</v>
      </c>
      <c r="W2304" s="23">
        <v>3</v>
      </c>
      <c r="X2304" s="24"/>
    </row>
    <row r="2305" spans="1:24" s="1" customFormat="1" ht="52.05" customHeight="1" x14ac:dyDescent="0.3">
      <c r="A2305" s="11" t="s">
        <v>2784</v>
      </c>
      <c r="B2305" s="11" t="s">
        <v>3156</v>
      </c>
      <c r="C2305" s="12" t="s">
        <v>3157</v>
      </c>
      <c r="D2305" s="81"/>
      <c r="E2305" s="67" t="str">
        <f>HYPERLINK("https://www.google.ru/search?q=101990002&amp;newwindow=1&amp;tbm=isch","Еще фото")</f>
        <v>Еще фото</v>
      </c>
      <c r="F2305" s="14"/>
      <c r="G2305" s="11" t="s">
        <v>3124</v>
      </c>
      <c r="H2305" s="11" t="s">
        <v>27</v>
      </c>
      <c r="I2305" s="15" t="s">
        <v>301</v>
      </c>
      <c r="J2305" s="15" t="s">
        <v>28</v>
      </c>
      <c r="K2305" s="16" t="s">
        <v>29</v>
      </c>
      <c r="L2305" s="83"/>
      <c r="M2305" s="15"/>
      <c r="N2305" s="15" t="s">
        <v>38</v>
      </c>
      <c r="O2305" s="15"/>
      <c r="P2305" s="16" t="s">
        <v>2787</v>
      </c>
      <c r="Q2305" s="17">
        <v>8999</v>
      </c>
      <c r="R2305" s="18">
        <v>45</v>
      </c>
      <c r="S2305" s="19">
        <v>5691.8674999999994</v>
      </c>
      <c r="T2305" s="20" t="s">
        <v>99</v>
      </c>
      <c r="U2305" s="21" t="s">
        <v>34</v>
      </c>
      <c r="V2305" s="22" t="s">
        <v>35</v>
      </c>
      <c r="W2305" s="23">
        <v>1</v>
      </c>
      <c r="X2305" s="24"/>
    </row>
    <row r="2306" spans="1:24" s="1" customFormat="1" ht="61.05" customHeight="1" x14ac:dyDescent="0.3">
      <c r="A2306" s="25" t="s">
        <v>2784</v>
      </c>
      <c r="B2306" s="25" t="s">
        <v>3156</v>
      </c>
      <c r="C2306" s="12" t="s">
        <v>3157</v>
      </c>
      <c r="D2306" s="82"/>
      <c r="E2306" s="67" t="str">
        <f>HYPERLINK("https://www.google.ru/search?q=101990002&amp;newwindow=1&amp;tbm=isch","Еще фото")</f>
        <v>Еще фото</v>
      </c>
      <c r="F2306" s="14"/>
      <c r="G2306" s="25" t="s">
        <v>3124</v>
      </c>
      <c r="H2306" s="25" t="s">
        <v>27</v>
      </c>
      <c r="I2306" s="25" t="s">
        <v>301</v>
      </c>
      <c r="J2306" s="15" t="s">
        <v>28</v>
      </c>
      <c r="K2306" s="16" t="s">
        <v>29</v>
      </c>
      <c r="L2306" s="84"/>
      <c r="M2306" s="15"/>
      <c r="N2306" s="15" t="s">
        <v>38</v>
      </c>
      <c r="O2306" s="15"/>
      <c r="P2306" s="16" t="s">
        <v>2787</v>
      </c>
      <c r="Q2306" s="17">
        <v>8999</v>
      </c>
      <c r="R2306" s="18">
        <v>45</v>
      </c>
      <c r="S2306" s="19">
        <v>5691.8674999999994</v>
      </c>
      <c r="T2306" s="20" t="s">
        <v>99</v>
      </c>
      <c r="U2306" s="21" t="s">
        <v>52</v>
      </c>
      <c r="V2306" s="22" t="s">
        <v>41</v>
      </c>
      <c r="W2306" s="23">
        <v>1</v>
      </c>
      <c r="X2306" s="24"/>
    </row>
    <row r="2307" spans="1:24" s="1" customFormat="1" ht="52.05" customHeight="1" x14ac:dyDescent="0.3">
      <c r="A2307" s="11" t="s">
        <v>2784</v>
      </c>
      <c r="B2307" s="11" t="s">
        <v>3158</v>
      </c>
      <c r="C2307" s="12" t="s">
        <v>3159</v>
      </c>
      <c r="D2307" s="81"/>
      <c r="E2307" s="67" t="str">
        <f>HYPERLINK("https://www.google.ru/search?q=101990036&amp;newwindow=1&amp;tbm=isch","Еще фото")</f>
        <v>Еще фото</v>
      </c>
      <c r="F2307" s="14"/>
      <c r="G2307" s="11" t="s">
        <v>140</v>
      </c>
      <c r="H2307" s="11" t="s">
        <v>27</v>
      </c>
      <c r="I2307" s="15" t="s">
        <v>301</v>
      </c>
      <c r="J2307" s="15" t="s">
        <v>28</v>
      </c>
      <c r="K2307" s="16" t="s">
        <v>29</v>
      </c>
      <c r="L2307" s="83"/>
      <c r="M2307" s="15"/>
      <c r="N2307" s="15" t="s">
        <v>38</v>
      </c>
      <c r="O2307" s="15"/>
      <c r="P2307" s="16" t="s">
        <v>74</v>
      </c>
      <c r="Q2307" s="17">
        <v>8999</v>
      </c>
      <c r="R2307" s="18">
        <v>45</v>
      </c>
      <c r="S2307" s="19">
        <v>5691.8674999999994</v>
      </c>
      <c r="T2307" s="20" t="s">
        <v>99</v>
      </c>
      <c r="U2307" s="21" t="s">
        <v>40</v>
      </c>
      <c r="V2307" s="22" t="s">
        <v>43</v>
      </c>
      <c r="W2307" s="23">
        <v>1</v>
      </c>
      <c r="X2307" s="24"/>
    </row>
    <row r="2308" spans="1:24" s="1" customFormat="1" ht="61.05" customHeight="1" x14ac:dyDescent="0.3">
      <c r="A2308" s="25" t="s">
        <v>2784</v>
      </c>
      <c r="B2308" s="25" t="s">
        <v>3158</v>
      </c>
      <c r="C2308" s="12" t="s">
        <v>3159</v>
      </c>
      <c r="D2308" s="82"/>
      <c r="E2308" s="67" t="str">
        <f>HYPERLINK("https://www.google.ru/search?q=101990036&amp;newwindow=1&amp;tbm=isch","Еще фото")</f>
        <v>Еще фото</v>
      </c>
      <c r="F2308" s="14"/>
      <c r="G2308" s="25" t="s">
        <v>140</v>
      </c>
      <c r="H2308" s="25" t="s">
        <v>27</v>
      </c>
      <c r="I2308" s="25" t="s">
        <v>301</v>
      </c>
      <c r="J2308" s="15" t="s">
        <v>28</v>
      </c>
      <c r="K2308" s="16" t="s">
        <v>29</v>
      </c>
      <c r="L2308" s="84"/>
      <c r="M2308" s="15"/>
      <c r="N2308" s="15" t="s">
        <v>38</v>
      </c>
      <c r="O2308" s="15"/>
      <c r="P2308" s="16" t="s">
        <v>74</v>
      </c>
      <c r="Q2308" s="17">
        <v>8999</v>
      </c>
      <c r="R2308" s="18">
        <v>45</v>
      </c>
      <c r="S2308" s="19">
        <v>5691.8674999999994</v>
      </c>
      <c r="T2308" s="20" t="s">
        <v>99</v>
      </c>
      <c r="U2308" s="21" t="s">
        <v>42</v>
      </c>
      <c r="V2308" s="22" t="s">
        <v>48</v>
      </c>
      <c r="W2308" s="23">
        <v>1</v>
      </c>
      <c r="X2308" s="24"/>
    </row>
    <row r="2309" spans="1:24" s="1" customFormat="1" ht="52.05" customHeight="1" x14ac:dyDescent="0.3">
      <c r="A2309" s="11" t="s">
        <v>2784</v>
      </c>
      <c r="B2309" s="11" t="s">
        <v>3158</v>
      </c>
      <c r="C2309" s="12" t="s">
        <v>3160</v>
      </c>
      <c r="D2309" s="81"/>
      <c r="E2309" s="67" t="str">
        <f>HYPERLINK("https://www.google.ru/search?q=101990038&amp;newwindow=1&amp;tbm=isch","Еще фото")</f>
        <v>Еще фото</v>
      </c>
      <c r="F2309" s="14"/>
      <c r="G2309" s="11" t="s">
        <v>140</v>
      </c>
      <c r="H2309" s="11" t="s">
        <v>27</v>
      </c>
      <c r="I2309" s="15" t="s">
        <v>301</v>
      </c>
      <c r="J2309" s="15" t="s">
        <v>28</v>
      </c>
      <c r="K2309" s="16" t="s">
        <v>29</v>
      </c>
      <c r="L2309" s="83"/>
      <c r="M2309" s="15"/>
      <c r="N2309" s="15" t="s">
        <v>84</v>
      </c>
      <c r="O2309" s="15"/>
      <c r="P2309" s="16" t="s">
        <v>74</v>
      </c>
      <c r="Q2309" s="17">
        <v>8999</v>
      </c>
      <c r="R2309" s="18">
        <v>45</v>
      </c>
      <c r="S2309" s="19">
        <v>5691.8674999999994</v>
      </c>
      <c r="T2309" s="20" t="s">
        <v>99</v>
      </c>
      <c r="U2309" s="21" t="s">
        <v>52</v>
      </c>
      <c r="V2309" s="22" t="s">
        <v>41</v>
      </c>
      <c r="W2309" s="23">
        <v>2</v>
      </c>
      <c r="X2309" s="24"/>
    </row>
    <row r="2310" spans="1:24" s="1" customFormat="1" ht="61.05" customHeight="1" x14ac:dyDescent="0.3">
      <c r="A2310" s="25" t="s">
        <v>2784</v>
      </c>
      <c r="B2310" s="25" t="s">
        <v>3158</v>
      </c>
      <c r="C2310" s="12" t="s">
        <v>3160</v>
      </c>
      <c r="D2310" s="82"/>
      <c r="E2310" s="67" t="str">
        <f>HYPERLINK("https://www.google.ru/search?q=101990038&amp;newwindow=1&amp;tbm=isch","Еще фото")</f>
        <v>Еще фото</v>
      </c>
      <c r="F2310" s="14"/>
      <c r="G2310" s="25" t="s">
        <v>140</v>
      </c>
      <c r="H2310" s="25" t="s">
        <v>27</v>
      </c>
      <c r="I2310" s="25" t="s">
        <v>301</v>
      </c>
      <c r="J2310" s="15" t="s">
        <v>28</v>
      </c>
      <c r="K2310" s="16" t="s">
        <v>29</v>
      </c>
      <c r="L2310" s="84"/>
      <c r="M2310" s="15"/>
      <c r="N2310" s="15" t="s">
        <v>84</v>
      </c>
      <c r="O2310" s="15"/>
      <c r="P2310" s="16" t="s">
        <v>74</v>
      </c>
      <c r="Q2310" s="17">
        <v>8999</v>
      </c>
      <c r="R2310" s="18">
        <v>45</v>
      </c>
      <c r="S2310" s="19">
        <v>5691.8674999999994</v>
      </c>
      <c r="T2310" s="20" t="s">
        <v>99</v>
      </c>
      <c r="U2310" s="21" t="s">
        <v>40</v>
      </c>
      <c r="V2310" s="22" t="s">
        <v>43</v>
      </c>
      <c r="W2310" s="23">
        <v>1</v>
      </c>
      <c r="X2310" s="24"/>
    </row>
    <row r="2311" spans="1:24" s="1" customFormat="1" ht="108" customHeight="1" x14ac:dyDescent="0.3">
      <c r="A2311" s="11" t="s">
        <v>2834</v>
      </c>
      <c r="B2311" s="11" t="s">
        <v>3161</v>
      </c>
      <c r="C2311" s="12" t="s">
        <v>3162</v>
      </c>
      <c r="D2311" s="13"/>
      <c r="E2311" s="67" t="str">
        <f>HYPERLINK("https://www.google.ru/search?q=6134TT1006-000&amp;newwindow=1&amp;tbm=isch","Еще фото")</f>
        <v>Еще фото</v>
      </c>
      <c r="F2311" s="14"/>
      <c r="G2311" s="11" t="s">
        <v>516</v>
      </c>
      <c r="H2311" s="11" t="s">
        <v>27</v>
      </c>
      <c r="I2311" s="15" t="s">
        <v>301</v>
      </c>
      <c r="J2311" s="15" t="s">
        <v>28</v>
      </c>
      <c r="K2311" s="16" t="s">
        <v>45</v>
      </c>
      <c r="L2311" s="15" t="s">
        <v>3163</v>
      </c>
      <c r="M2311" s="15"/>
      <c r="N2311" s="15" t="s">
        <v>38</v>
      </c>
      <c r="O2311" s="15"/>
      <c r="P2311" s="16" t="s">
        <v>74</v>
      </c>
      <c r="Q2311" s="17">
        <v>7599</v>
      </c>
      <c r="R2311" s="18">
        <v>45</v>
      </c>
      <c r="S2311" s="19">
        <v>4806.3674999999994</v>
      </c>
      <c r="T2311" s="20" t="s">
        <v>99</v>
      </c>
      <c r="U2311" s="21" t="s">
        <v>2838</v>
      </c>
      <c r="V2311" s="22" t="s">
        <v>43</v>
      </c>
      <c r="W2311" s="23">
        <v>1</v>
      </c>
      <c r="X2311" s="24"/>
    </row>
    <row r="2312" spans="1:24" s="1" customFormat="1" ht="108" customHeight="1" x14ac:dyDescent="0.3">
      <c r="A2312" s="11" t="s">
        <v>2731</v>
      </c>
      <c r="B2312" s="11" t="s">
        <v>3164</v>
      </c>
      <c r="C2312" s="12" t="s">
        <v>3165</v>
      </c>
      <c r="D2312" s="13"/>
      <c r="E2312" s="67" t="str">
        <f>HYPERLINK("https://www.google.ru/search?q=TB24WL07S9735-1-1613&amp;newwindow=1&amp;tbm=isch","Еще фото")</f>
        <v>Еще фото</v>
      </c>
      <c r="F2312" s="14"/>
      <c r="G2312" s="11" t="s">
        <v>315</v>
      </c>
      <c r="H2312" s="11" t="s">
        <v>27</v>
      </c>
      <c r="I2312" s="15" t="s">
        <v>316</v>
      </c>
      <c r="J2312" s="15" t="s">
        <v>28</v>
      </c>
      <c r="K2312" s="16" t="s">
        <v>29</v>
      </c>
      <c r="L2312" s="15" t="s">
        <v>3166</v>
      </c>
      <c r="M2312" s="15"/>
      <c r="N2312" s="15" t="s">
        <v>413</v>
      </c>
      <c r="O2312" s="15"/>
      <c r="P2312" s="16" t="s">
        <v>3167</v>
      </c>
      <c r="Q2312" s="17">
        <v>1899</v>
      </c>
      <c r="R2312" s="18">
        <v>74.84</v>
      </c>
      <c r="S2312" s="26">
        <v>549.43549999999993</v>
      </c>
      <c r="T2312" s="20" t="s">
        <v>99</v>
      </c>
      <c r="U2312" s="21" t="s">
        <v>442</v>
      </c>
      <c r="V2312" s="22" t="s">
        <v>1910</v>
      </c>
      <c r="W2312" s="23">
        <v>5</v>
      </c>
      <c r="X2312" s="24"/>
    </row>
    <row r="2313" spans="1:24" s="1" customFormat="1" ht="108" customHeight="1" x14ac:dyDescent="0.3">
      <c r="A2313" s="11" t="s">
        <v>2834</v>
      </c>
      <c r="B2313" s="11" t="s">
        <v>3168</v>
      </c>
      <c r="C2313" s="12" t="s">
        <v>3169</v>
      </c>
      <c r="D2313" s="13"/>
      <c r="E2313" s="67" t="str">
        <f>HYPERLINK("https://www.google.ru/search?q=6224TX1001-100&amp;newwindow=1&amp;tbm=isch","Еще фото")</f>
        <v>Еще фото</v>
      </c>
      <c r="F2313" s="14"/>
      <c r="G2313" s="11" t="s">
        <v>315</v>
      </c>
      <c r="H2313" s="11" t="s">
        <v>27</v>
      </c>
      <c r="I2313" s="15" t="s">
        <v>316</v>
      </c>
      <c r="J2313" s="15" t="s">
        <v>28</v>
      </c>
      <c r="K2313" s="16" t="s">
        <v>45</v>
      </c>
      <c r="L2313" s="15" t="s">
        <v>3170</v>
      </c>
      <c r="M2313" s="15"/>
      <c r="N2313" s="15" t="s">
        <v>173</v>
      </c>
      <c r="O2313" s="15"/>
      <c r="P2313" s="16" t="s">
        <v>3171</v>
      </c>
      <c r="Q2313" s="17">
        <v>4250</v>
      </c>
      <c r="R2313" s="18">
        <v>67.349999999999994</v>
      </c>
      <c r="S2313" s="19">
        <v>1595.9354999999998</v>
      </c>
      <c r="T2313" s="20" t="s">
        <v>99</v>
      </c>
      <c r="U2313" s="21" t="s">
        <v>40</v>
      </c>
      <c r="V2313" s="22" t="s">
        <v>53</v>
      </c>
      <c r="W2313" s="23">
        <v>1</v>
      </c>
      <c r="X2313" s="24"/>
    </row>
    <row r="2314" spans="1:24" s="1" customFormat="1" ht="52.05" customHeight="1" x14ac:dyDescent="0.3">
      <c r="A2314" s="11" t="s">
        <v>2869</v>
      </c>
      <c r="B2314" s="11" t="s">
        <v>3172</v>
      </c>
      <c r="C2314" s="12" t="s">
        <v>3173</v>
      </c>
      <c r="D2314" s="81"/>
      <c r="E2314" s="67" t="str">
        <f>HYPERLINK("https://www.google.ru/search?q=DR10217911955050&amp;newwindow=1&amp;tbm=isch","Еще фото")</f>
        <v>Еще фото</v>
      </c>
      <c r="F2314" s="14"/>
      <c r="G2314" s="11" t="s">
        <v>315</v>
      </c>
      <c r="H2314" s="11" t="s">
        <v>27</v>
      </c>
      <c r="I2314" s="15" t="s">
        <v>316</v>
      </c>
      <c r="J2314" s="15" t="s">
        <v>360</v>
      </c>
      <c r="K2314" s="16" t="s">
        <v>29</v>
      </c>
      <c r="L2314" s="83" t="s">
        <v>3174</v>
      </c>
      <c r="M2314" s="15"/>
      <c r="N2314" s="15" t="s">
        <v>3175</v>
      </c>
      <c r="O2314" s="15"/>
      <c r="P2314" s="16" t="s">
        <v>106</v>
      </c>
      <c r="Q2314" s="17">
        <v>5990</v>
      </c>
      <c r="R2314" s="18">
        <v>65.31</v>
      </c>
      <c r="S2314" s="19">
        <v>2389.4354999999996</v>
      </c>
      <c r="T2314" s="20" t="s">
        <v>99</v>
      </c>
      <c r="U2314" s="21" t="s">
        <v>442</v>
      </c>
      <c r="V2314" s="22" t="s">
        <v>3101</v>
      </c>
      <c r="W2314" s="23">
        <v>1</v>
      </c>
      <c r="X2314" s="24"/>
    </row>
    <row r="2315" spans="1:24" s="1" customFormat="1" ht="61.05" customHeight="1" x14ac:dyDescent="0.3">
      <c r="A2315" s="25" t="s">
        <v>2869</v>
      </c>
      <c r="B2315" s="25" t="s">
        <v>3172</v>
      </c>
      <c r="C2315" s="12" t="s">
        <v>3173</v>
      </c>
      <c r="D2315" s="82"/>
      <c r="E2315" s="67" t="str">
        <f>HYPERLINK("https://www.google.ru/search?q=DR10217911955050&amp;newwindow=1&amp;tbm=isch","Еще фото")</f>
        <v>Еще фото</v>
      </c>
      <c r="F2315" s="14"/>
      <c r="G2315" s="25" t="s">
        <v>315</v>
      </c>
      <c r="H2315" s="25" t="s">
        <v>27</v>
      </c>
      <c r="I2315" s="25" t="s">
        <v>316</v>
      </c>
      <c r="J2315" s="15" t="s">
        <v>360</v>
      </c>
      <c r="K2315" s="16" t="s">
        <v>29</v>
      </c>
      <c r="L2315" s="84"/>
      <c r="M2315" s="15"/>
      <c r="N2315" s="15" t="s">
        <v>3175</v>
      </c>
      <c r="O2315" s="15"/>
      <c r="P2315" s="16" t="s">
        <v>106</v>
      </c>
      <c r="Q2315" s="17">
        <v>5990</v>
      </c>
      <c r="R2315" s="18">
        <v>65.31</v>
      </c>
      <c r="S2315" s="19">
        <v>2389.4354999999996</v>
      </c>
      <c r="T2315" s="20" t="s">
        <v>99</v>
      </c>
      <c r="U2315" s="21" t="s">
        <v>34</v>
      </c>
      <c r="V2315" s="22" t="s">
        <v>1910</v>
      </c>
      <c r="W2315" s="23">
        <v>3</v>
      </c>
      <c r="X2315" s="24"/>
    </row>
    <row r="2316" spans="1:24" s="1" customFormat="1" ht="108" customHeight="1" x14ac:dyDescent="0.3">
      <c r="A2316" s="11" t="s">
        <v>2834</v>
      </c>
      <c r="B2316" s="11" t="s">
        <v>3168</v>
      </c>
      <c r="C2316" s="12" t="s">
        <v>3176</v>
      </c>
      <c r="D2316" s="13"/>
      <c r="E2316" s="67" t="str">
        <f>HYPERLINK("https://www.google.ru/search?q=6227TX2013-100&amp;newwindow=1&amp;tbm=isch","Еще фото")</f>
        <v>Еще фото</v>
      </c>
      <c r="F2316" s="14"/>
      <c r="G2316" s="11" t="s">
        <v>315</v>
      </c>
      <c r="H2316" s="11" t="s">
        <v>27</v>
      </c>
      <c r="I2316" s="15" t="s">
        <v>316</v>
      </c>
      <c r="J2316" s="15" t="s">
        <v>28</v>
      </c>
      <c r="K2316" s="16" t="s">
        <v>29</v>
      </c>
      <c r="L2316" s="15" t="s">
        <v>3177</v>
      </c>
      <c r="M2316" s="15"/>
      <c r="N2316" s="15" t="s">
        <v>173</v>
      </c>
      <c r="O2316" s="15"/>
      <c r="P2316" s="16" t="s">
        <v>3171</v>
      </c>
      <c r="Q2316" s="17">
        <v>4250</v>
      </c>
      <c r="R2316" s="18">
        <v>64.989999999999995</v>
      </c>
      <c r="S2316" s="19">
        <v>1710.9354999999998</v>
      </c>
      <c r="T2316" s="20" t="s">
        <v>99</v>
      </c>
      <c r="U2316" s="21" t="s">
        <v>2838</v>
      </c>
      <c r="V2316" s="22" t="s">
        <v>43</v>
      </c>
      <c r="W2316" s="23">
        <v>1</v>
      </c>
      <c r="X2316" s="24"/>
    </row>
    <row r="2317" spans="1:24" s="1" customFormat="1" ht="108" customHeight="1" x14ac:dyDescent="0.3">
      <c r="A2317" s="11" t="s">
        <v>2731</v>
      </c>
      <c r="B2317" s="11" t="s">
        <v>3178</v>
      </c>
      <c r="C2317" s="12" t="s">
        <v>3179</v>
      </c>
      <c r="D2317" s="13"/>
      <c r="E2317" s="67" t="str">
        <f>HYPERLINK("https://www.google.ru/search?q=TB24ML07S1380-1-1002&amp;newwindow=1&amp;tbm=isch","Еще фото")</f>
        <v>Еще фото</v>
      </c>
      <c r="F2317" s="14"/>
      <c r="G2317" s="11" t="s">
        <v>315</v>
      </c>
      <c r="H2317" s="11" t="s">
        <v>27</v>
      </c>
      <c r="I2317" s="15" t="s">
        <v>316</v>
      </c>
      <c r="J2317" s="15" t="s">
        <v>28</v>
      </c>
      <c r="K2317" s="16" t="s">
        <v>45</v>
      </c>
      <c r="L2317" s="15" t="s">
        <v>3180</v>
      </c>
      <c r="M2317" s="15"/>
      <c r="N2317" s="15" t="s">
        <v>31</v>
      </c>
      <c r="O2317" s="15"/>
      <c r="P2317" s="16" t="s">
        <v>3167</v>
      </c>
      <c r="Q2317" s="17">
        <v>2099</v>
      </c>
      <c r="R2317" s="18">
        <v>50</v>
      </c>
      <c r="S2317" s="19">
        <v>1206.925</v>
      </c>
      <c r="T2317" s="20" t="s">
        <v>99</v>
      </c>
      <c r="U2317" s="21" t="s">
        <v>52</v>
      </c>
      <c r="V2317" s="22" t="s">
        <v>43</v>
      </c>
      <c r="W2317" s="23">
        <v>5</v>
      </c>
      <c r="X2317" s="24"/>
    </row>
    <row r="2318" spans="1:24" s="1" customFormat="1" ht="108" customHeight="1" x14ac:dyDescent="0.3">
      <c r="A2318" s="11" t="s">
        <v>2869</v>
      </c>
      <c r="B2318" s="11" t="s">
        <v>3181</v>
      </c>
      <c r="C2318" s="12" t="s">
        <v>3182</v>
      </c>
      <c r="D2318" s="13"/>
      <c r="E2318" s="67" t="str">
        <f>HYPERLINK("https://www.google.ru/search?q=DR10217411850122&amp;newwindow=1&amp;tbm=isch","Еще фото")</f>
        <v>Еще фото</v>
      </c>
      <c r="F2318" s="14"/>
      <c r="G2318" s="11" t="s">
        <v>1668</v>
      </c>
      <c r="H2318" s="11" t="s">
        <v>27</v>
      </c>
      <c r="I2318" s="15" t="s">
        <v>316</v>
      </c>
      <c r="J2318" s="15" t="s">
        <v>360</v>
      </c>
      <c r="K2318" s="16" t="s">
        <v>29</v>
      </c>
      <c r="L2318" s="15" t="s">
        <v>3183</v>
      </c>
      <c r="M2318" s="15"/>
      <c r="N2318" s="15" t="s">
        <v>212</v>
      </c>
      <c r="O2318" s="15"/>
      <c r="P2318" s="16" t="s">
        <v>3184</v>
      </c>
      <c r="Q2318" s="17">
        <v>3799</v>
      </c>
      <c r="R2318" s="18">
        <v>47.35</v>
      </c>
      <c r="S2318" s="19">
        <v>2299.9884999999999</v>
      </c>
      <c r="T2318" s="20" t="s">
        <v>99</v>
      </c>
      <c r="U2318" s="21" t="s">
        <v>442</v>
      </c>
      <c r="V2318" s="22" t="s">
        <v>3101</v>
      </c>
      <c r="W2318" s="23">
        <v>2</v>
      </c>
      <c r="X2318" s="24"/>
    </row>
    <row r="2319" spans="1:24" s="1" customFormat="1" ht="108" customHeight="1" x14ac:dyDescent="0.3">
      <c r="A2319" s="11" t="s">
        <v>2751</v>
      </c>
      <c r="B2319" s="11" t="s">
        <v>3185</v>
      </c>
      <c r="C2319" s="12" t="s">
        <v>3186</v>
      </c>
      <c r="D2319" s="13"/>
      <c r="E2319" s="67" t="str">
        <f>HYPERLINK("https://www.google.ru/search?q=113331-YS094&amp;newwindow=1&amp;tbm=isch","Еще фото")</f>
        <v>Еще фото</v>
      </c>
      <c r="F2319" s="14"/>
      <c r="G2319" s="11" t="s">
        <v>315</v>
      </c>
      <c r="H2319" s="11" t="s">
        <v>27</v>
      </c>
      <c r="I2319" s="15" t="s">
        <v>316</v>
      </c>
      <c r="J2319" s="15" t="s">
        <v>28</v>
      </c>
      <c r="K2319" s="16" t="s">
        <v>29</v>
      </c>
      <c r="L2319" s="15" t="s">
        <v>3187</v>
      </c>
      <c r="M2319" s="15" t="s">
        <v>61</v>
      </c>
      <c r="N2319" s="15" t="s">
        <v>218</v>
      </c>
      <c r="O2319" s="15" t="s">
        <v>400</v>
      </c>
      <c r="P2319" s="16" t="s">
        <v>2575</v>
      </c>
      <c r="Q2319" s="17">
        <v>2999</v>
      </c>
      <c r="R2319" s="18">
        <v>46.65</v>
      </c>
      <c r="S2319" s="19">
        <v>1839.9884999999999</v>
      </c>
      <c r="T2319" s="20" t="s">
        <v>33</v>
      </c>
      <c r="U2319" s="21" t="s">
        <v>442</v>
      </c>
      <c r="V2319" s="22" t="s">
        <v>1910</v>
      </c>
      <c r="W2319" s="23">
        <v>1</v>
      </c>
      <c r="X2319" s="24"/>
    </row>
    <row r="2320" spans="1:24" s="1" customFormat="1" ht="108" customHeight="1" x14ac:dyDescent="0.3">
      <c r="A2320" s="11" t="s">
        <v>2869</v>
      </c>
      <c r="B2320" s="11" t="s">
        <v>3188</v>
      </c>
      <c r="C2320" s="12" t="s">
        <v>3189</v>
      </c>
      <c r="D2320" s="13"/>
      <c r="E2320" s="67" t="str">
        <f>HYPERLINK("https://www.google.ru/search?q=DR10217913020002&amp;newwindow=1&amp;tbm=isch","Еще фото")</f>
        <v>Еще фото</v>
      </c>
      <c r="F2320" s="14"/>
      <c r="G2320" s="11" t="s">
        <v>315</v>
      </c>
      <c r="H2320" s="11" t="s">
        <v>27</v>
      </c>
      <c r="I2320" s="15" t="s">
        <v>316</v>
      </c>
      <c r="J2320" s="15" t="s">
        <v>360</v>
      </c>
      <c r="K2320" s="16" t="s">
        <v>45</v>
      </c>
      <c r="L2320" s="15" t="s">
        <v>3190</v>
      </c>
      <c r="M2320" s="15"/>
      <c r="N2320" s="15" t="s">
        <v>173</v>
      </c>
      <c r="O2320" s="15"/>
      <c r="P2320" s="16" t="s">
        <v>106</v>
      </c>
      <c r="Q2320" s="17">
        <v>5990</v>
      </c>
      <c r="R2320" s="18">
        <v>46.58</v>
      </c>
      <c r="S2320" s="19">
        <v>3679.9884999999995</v>
      </c>
      <c r="T2320" s="20" t="s">
        <v>99</v>
      </c>
      <c r="U2320" s="21" t="s">
        <v>493</v>
      </c>
      <c r="V2320" s="22" t="s">
        <v>3191</v>
      </c>
      <c r="W2320" s="23">
        <v>1</v>
      </c>
      <c r="X2320" s="24"/>
    </row>
    <row r="2321" spans="1:24" s="1" customFormat="1" ht="108" customHeight="1" x14ac:dyDescent="0.3">
      <c r="A2321" s="11" t="s">
        <v>2869</v>
      </c>
      <c r="B2321" s="11" t="s">
        <v>3192</v>
      </c>
      <c r="C2321" s="12" t="s">
        <v>3193</v>
      </c>
      <c r="D2321" s="13"/>
      <c r="E2321" s="67" t="str">
        <f>HYPERLINK("https://www.google.ru/search?q=DR10217421045054&amp;newwindow=1&amp;tbm=isch","Еще фото")</f>
        <v>Еще фото</v>
      </c>
      <c r="F2321" s="14"/>
      <c r="G2321" s="11" t="s">
        <v>315</v>
      </c>
      <c r="H2321" s="11" t="s">
        <v>27</v>
      </c>
      <c r="I2321" s="15" t="s">
        <v>316</v>
      </c>
      <c r="J2321" s="15" t="s">
        <v>360</v>
      </c>
      <c r="K2321" s="16" t="s">
        <v>29</v>
      </c>
      <c r="L2321" s="15" t="s">
        <v>3194</v>
      </c>
      <c r="M2321" s="15"/>
      <c r="N2321" s="15" t="s">
        <v>3195</v>
      </c>
      <c r="O2321" s="15"/>
      <c r="P2321" s="16" t="s">
        <v>106</v>
      </c>
      <c r="Q2321" s="17">
        <v>2799</v>
      </c>
      <c r="R2321" s="18">
        <v>46.41</v>
      </c>
      <c r="S2321" s="19">
        <v>1724.9884999999999</v>
      </c>
      <c r="T2321" s="20" t="s">
        <v>99</v>
      </c>
      <c r="U2321" s="21" t="s">
        <v>442</v>
      </c>
      <c r="V2321" s="22" t="s">
        <v>3101</v>
      </c>
      <c r="W2321" s="23">
        <v>3</v>
      </c>
      <c r="X2321" s="24"/>
    </row>
    <row r="2322" spans="1:24" s="1" customFormat="1" ht="108" customHeight="1" x14ac:dyDescent="0.3">
      <c r="A2322" s="11" t="s">
        <v>2869</v>
      </c>
      <c r="B2322" s="11" t="s">
        <v>3196</v>
      </c>
      <c r="C2322" s="12" t="s">
        <v>3197</v>
      </c>
      <c r="D2322" s="13"/>
      <c r="E2322" s="67" t="str">
        <f>HYPERLINK("https://www.google.ru/search?q=DR10217414020002&amp;newwindow=1&amp;tbm=isch","Еще фото")</f>
        <v>Еще фото</v>
      </c>
      <c r="F2322" s="14"/>
      <c r="G2322" s="11" t="s">
        <v>315</v>
      </c>
      <c r="H2322" s="11" t="s">
        <v>27</v>
      </c>
      <c r="I2322" s="15" t="s">
        <v>316</v>
      </c>
      <c r="J2322" s="15" t="s">
        <v>360</v>
      </c>
      <c r="K2322" s="16" t="s">
        <v>29</v>
      </c>
      <c r="L2322" s="15" t="s">
        <v>3198</v>
      </c>
      <c r="M2322" s="15"/>
      <c r="N2322" s="15" t="s">
        <v>173</v>
      </c>
      <c r="O2322" s="15"/>
      <c r="P2322" s="16" t="s">
        <v>3199</v>
      </c>
      <c r="Q2322" s="17">
        <v>3099</v>
      </c>
      <c r="R2322" s="18">
        <v>45</v>
      </c>
      <c r="S2322" s="19">
        <v>1960.1174999999998</v>
      </c>
      <c r="T2322" s="20" t="s">
        <v>99</v>
      </c>
      <c r="U2322" s="21" t="s">
        <v>52</v>
      </c>
      <c r="V2322" s="22" t="s">
        <v>53</v>
      </c>
      <c r="W2322" s="23">
        <v>1</v>
      </c>
      <c r="X2322" s="24"/>
    </row>
    <row r="2323" spans="1:24" s="1" customFormat="1" ht="108" customHeight="1" x14ac:dyDescent="0.3">
      <c r="A2323" s="11" t="s">
        <v>3200</v>
      </c>
      <c r="B2323" s="11" t="s">
        <v>3201</v>
      </c>
      <c r="C2323" s="12" t="s">
        <v>3202</v>
      </c>
      <c r="D2323" s="13"/>
      <c r="E2323" s="67" t="str">
        <f>HYPERLINK("https://www.google.ru/search?q=80-317-02-00&amp;newwindow=1&amp;tbm=isch","Еще фото")</f>
        <v>Еще фото</v>
      </c>
      <c r="F2323" s="14"/>
      <c r="G2323" s="11" t="s">
        <v>2387</v>
      </c>
      <c r="H2323" s="11" t="s">
        <v>69</v>
      </c>
      <c r="I2323" s="15" t="s">
        <v>2387</v>
      </c>
      <c r="J2323" s="15" t="s">
        <v>28</v>
      </c>
      <c r="K2323" s="16" t="s">
        <v>29</v>
      </c>
      <c r="L2323" s="15" t="s">
        <v>3203</v>
      </c>
      <c r="M2323" s="15"/>
      <c r="N2323" s="15" t="s">
        <v>132</v>
      </c>
      <c r="O2323" s="15"/>
      <c r="P2323" s="16" t="s">
        <v>3204</v>
      </c>
      <c r="Q2323" s="17">
        <v>4299</v>
      </c>
      <c r="R2323" s="18">
        <v>57.95</v>
      </c>
      <c r="S2323" s="19">
        <v>2078.9354999999996</v>
      </c>
      <c r="T2323" s="20" t="s">
        <v>75</v>
      </c>
      <c r="U2323" s="21" t="s">
        <v>3205</v>
      </c>
      <c r="V2323" s="22" t="s">
        <v>3206</v>
      </c>
      <c r="W2323" s="23">
        <v>1</v>
      </c>
      <c r="X2323" s="24"/>
    </row>
    <row r="2324" spans="1:24" s="1" customFormat="1" ht="108" customHeight="1" x14ac:dyDescent="0.3">
      <c r="A2324" s="11" t="s">
        <v>3207</v>
      </c>
      <c r="B2324" s="11" t="s">
        <v>3208</v>
      </c>
      <c r="C2324" s="12" t="s">
        <v>3209</v>
      </c>
      <c r="D2324" s="13"/>
      <c r="E2324" s="67" t="str">
        <f>HYPERLINK("https://www.google.ru/search?q=67147-990&amp;newwindow=1&amp;tbm=isch","Еще фото")</f>
        <v>Еще фото</v>
      </c>
      <c r="F2324" s="14"/>
      <c r="G2324" s="11" t="s">
        <v>2653</v>
      </c>
      <c r="H2324" s="11" t="s">
        <v>69</v>
      </c>
      <c r="I2324" s="15" t="s">
        <v>2387</v>
      </c>
      <c r="J2324" s="15" t="s">
        <v>28</v>
      </c>
      <c r="K2324" s="16" t="s">
        <v>71</v>
      </c>
      <c r="L2324" s="15"/>
      <c r="M2324" s="15"/>
      <c r="N2324" s="15" t="s">
        <v>38</v>
      </c>
      <c r="O2324" s="15"/>
      <c r="P2324" s="16" t="s">
        <v>3210</v>
      </c>
      <c r="Q2324" s="17">
        <v>3799</v>
      </c>
      <c r="R2324" s="18">
        <v>30</v>
      </c>
      <c r="S2324" s="19">
        <v>3058.1950000000002</v>
      </c>
      <c r="T2324" s="20" t="s">
        <v>75</v>
      </c>
      <c r="U2324" s="21" t="s">
        <v>3211</v>
      </c>
      <c r="V2324" s="22" t="s">
        <v>77</v>
      </c>
      <c r="W2324" s="23">
        <v>2</v>
      </c>
      <c r="X2324" s="24"/>
    </row>
    <row r="2325" spans="1:24" s="1" customFormat="1" ht="52.05" customHeight="1" x14ac:dyDescent="0.3">
      <c r="A2325" s="11" t="s">
        <v>2834</v>
      </c>
      <c r="B2325" s="11" t="s">
        <v>3212</v>
      </c>
      <c r="C2325" s="12" t="s">
        <v>3213</v>
      </c>
      <c r="D2325" s="81"/>
      <c r="E2325" s="67" t="str">
        <f>HYPERLINK("https://www.google.ru/search?q=6227DK1009-432&amp;newwindow=1&amp;tbm=isch","Еще фото")</f>
        <v>Еще фото</v>
      </c>
      <c r="F2325" s="14"/>
      <c r="G2325" s="11" t="s">
        <v>439</v>
      </c>
      <c r="H2325" s="11" t="s">
        <v>27</v>
      </c>
      <c r="I2325" s="15" t="s">
        <v>439</v>
      </c>
      <c r="J2325" s="15" t="s">
        <v>28</v>
      </c>
      <c r="K2325" s="16" t="s">
        <v>45</v>
      </c>
      <c r="L2325" s="83" t="s">
        <v>3214</v>
      </c>
      <c r="M2325" s="15"/>
      <c r="N2325" s="15" t="s">
        <v>31</v>
      </c>
      <c r="O2325" s="15"/>
      <c r="P2325" s="16" t="s">
        <v>106</v>
      </c>
      <c r="Q2325" s="17">
        <v>3599</v>
      </c>
      <c r="R2325" s="18">
        <v>89.23</v>
      </c>
      <c r="S2325" s="26">
        <v>445.93549999999993</v>
      </c>
      <c r="T2325" s="20" t="s">
        <v>99</v>
      </c>
      <c r="U2325" s="21" t="s">
        <v>2838</v>
      </c>
      <c r="V2325" s="22" t="s">
        <v>43</v>
      </c>
      <c r="W2325" s="23">
        <v>1</v>
      </c>
      <c r="X2325" s="24"/>
    </row>
    <row r="2326" spans="1:24" s="1" customFormat="1" ht="61.05" customHeight="1" x14ac:dyDescent="0.3">
      <c r="A2326" s="25" t="s">
        <v>2834</v>
      </c>
      <c r="B2326" s="25" t="s">
        <v>3212</v>
      </c>
      <c r="C2326" s="12" t="s">
        <v>3213</v>
      </c>
      <c r="D2326" s="82"/>
      <c r="E2326" s="67" t="str">
        <f>HYPERLINK("https://www.google.ru/search?q=6227DK1009-432&amp;newwindow=1&amp;tbm=isch","Еще фото")</f>
        <v>Еще фото</v>
      </c>
      <c r="F2326" s="14"/>
      <c r="G2326" s="25" t="s">
        <v>439</v>
      </c>
      <c r="H2326" s="25" t="s">
        <v>27</v>
      </c>
      <c r="I2326" s="25" t="s">
        <v>439</v>
      </c>
      <c r="J2326" s="15" t="s">
        <v>28</v>
      </c>
      <c r="K2326" s="16" t="s">
        <v>45</v>
      </c>
      <c r="L2326" s="84"/>
      <c r="M2326" s="15"/>
      <c r="N2326" s="15" t="s">
        <v>31</v>
      </c>
      <c r="O2326" s="15"/>
      <c r="P2326" s="16" t="s">
        <v>106</v>
      </c>
      <c r="Q2326" s="17">
        <v>3599</v>
      </c>
      <c r="R2326" s="18">
        <v>89.23</v>
      </c>
      <c r="S2326" s="26">
        <v>445.93549999999993</v>
      </c>
      <c r="T2326" s="20" t="s">
        <v>99</v>
      </c>
      <c r="U2326" s="21" t="s">
        <v>1847</v>
      </c>
      <c r="V2326" s="22" t="s">
        <v>48</v>
      </c>
      <c r="W2326" s="23">
        <v>1</v>
      </c>
      <c r="X2326" s="24"/>
    </row>
    <row r="2327" spans="1:24" s="1" customFormat="1" ht="52.05" customHeight="1" x14ac:dyDescent="0.3">
      <c r="A2327" s="11" t="s">
        <v>2751</v>
      </c>
      <c r="B2327" s="11" t="s">
        <v>3215</v>
      </c>
      <c r="C2327" s="12" t="s">
        <v>3216</v>
      </c>
      <c r="D2327" s="81"/>
      <c r="E2327" s="67" t="str">
        <f>HYPERLINK("https://www.google.ru/search?q=212969-RM005&amp;newwindow=1&amp;tbm=isch","Еще фото")</f>
        <v>Еще фото</v>
      </c>
      <c r="F2327" s="14"/>
      <c r="G2327" s="11" t="s">
        <v>439</v>
      </c>
      <c r="H2327" s="11" t="s">
        <v>27</v>
      </c>
      <c r="I2327" s="15" t="s">
        <v>439</v>
      </c>
      <c r="J2327" s="15" t="s">
        <v>28</v>
      </c>
      <c r="K2327" s="16" t="s">
        <v>45</v>
      </c>
      <c r="L2327" s="83" t="s">
        <v>3217</v>
      </c>
      <c r="M2327" s="15" t="s">
        <v>61</v>
      </c>
      <c r="N2327" s="15" t="s">
        <v>73</v>
      </c>
      <c r="O2327" s="15" t="s">
        <v>400</v>
      </c>
      <c r="P2327" s="16" t="s">
        <v>74</v>
      </c>
      <c r="Q2327" s="17">
        <v>2999</v>
      </c>
      <c r="R2327" s="18">
        <v>80.069999999999993</v>
      </c>
      <c r="S2327" s="26">
        <v>687.43549999999993</v>
      </c>
      <c r="T2327" s="20" t="s">
        <v>33</v>
      </c>
      <c r="U2327" s="21" t="s">
        <v>442</v>
      </c>
      <c r="V2327" s="22" t="s">
        <v>35</v>
      </c>
      <c r="W2327" s="23">
        <v>3</v>
      </c>
      <c r="X2327" s="24"/>
    </row>
    <row r="2328" spans="1:24" s="1" customFormat="1" ht="61.05" customHeight="1" x14ac:dyDescent="0.3">
      <c r="A2328" s="25" t="s">
        <v>2751</v>
      </c>
      <c r="B2328" s="25" t="s">
        <v>3215</v>
      </c>
      <c r="C2328" s="12" t="s">
        <v>3216</v>
      </c>
      <c r="D2328" s="82"/>
      <c r="E2328" s="67" t="str">
        <f>HYPERLINK("https://www.google.ru/search?q=212969-RM005&amp;newwindow=1&amp;tbm=isch","Еще фото")</f>
        <v>Еще фото</v>
      </c>
      <c r="F2328" s="14"/>
      <c r="G2328" s="25" t="s">
        <v>439</v>
      </c>
      <c r="H2328" s="25" t="s">
        <v>27</v>
      </c>
      <c r="I2328" s="25" t="s">
        <v>439</v>
      </c>
      <c r="J2328" s="15" t="s">
        <v>28</v>
      </c>
      <c r="K2328" s="16" t="s">
        <v>45</v>
      </c>
      <c r="L2328" s="84"/>
      <c r="M2328" s="15" t="s">
        <v>61</v>
      </c>
      <c r="N2328" s="15" t="s">
        <v>73</v>
      </c>
      <c r="O2328" s="15" t="s">
        <v>400</v>
      </c>
      <c r="P2328" s="16" t="s">
        <v>74</v>
      </c>
      <c r="Q2328" s="17">
        <v>2999</v>
      </c>
      <c r="R2328" s="18">
        <v>80.069999999999993</v>
      </c>
      <c r="S2328" s="26">
        <v>687.43549999999993</v>
      </c>
      <c r="T2328" s="20" t="s">
        <v>33</v>
      </c>
      <c r="U2328" s="21" t="s">
        <v>34</v>
      </c>
      <c r="V2328" s="22" t="s">
        <v>53</v>
      </c>
      <c r="W2328" s="23">
        <v>5</v>
      </c>
      <c r="X2328" s="24"/>
    </row>
    <row r="2329" spans="1:24" s="1" customFormat="1" ht="26" customHeight="1" x14ac:dyDescent="0.3">
      <c r="A2329" s="11" t="s">
        <v>2751</v>
      </c>
      <c r="B2329" s="11" t="s">
        <v>3215</v>
      </c>
      <c r="C2329" s="12" t="s">
        <v>3218</v>
      </c>
      <c r="D2329" s="85"/>
      <c r="E2329" s="67" t="str">
        <f>HYPERLINK("https://www.google.ru/search?q=114093-WW001&amp;newwindow=1&amp;tbm=isch","Еще фото")</f>
        <v>Еще фото</v>
      </c>
      <c r="F2329" s="14"/>
      <c r="G2329" s="11" t="s">
        <v>439</v>
      </c>
      <c r="H2329" s="11" t="s">
        <v>27</v>
      </c>
      <c r="I2329" s="15" t="s">
        <v>439</v>
      </c>
      <c r="J2329" s="15" t="s">
        <v>28</v>
      </c>
      <c r="K2329" s="16" t="s">
        <v>29</v>
      </c>
      <c r="L2329" s="83" t="s">
        <v>3219</v>
      </c>
      <c r="M2329" s="15" t="s">
        <v>61</v>
      </c>
      <c r="N2329" s="15" t="s">
        <v>173</v>
      </c>
      <c r="O2329" s="15" t="s">
        <v>400</v>
      </c>
      <c r="P2329" s="16" t="s">
        <v>525</v>
      </c>
      <c r="Q2329" s="17">
        <v>1799</v>
      </c>
      <c r="R2329" s="18">
        <v>79.56</v>
      </c>
      <c r="S2329" s="26">
        <v>422.93549999999993</v>
      </c>
      <c r="T2329" s="20" t="s">
        <v>33</v>
      </c>
      <c r="U2329" s="21" t="s">
        <v>442</v>
      </c>
      <c r="V2329" s="22" t="s">
        <v>1910</v>
      </c>
      <c r="W2329" s="23">
        <v>8</v>
      </c>
      <c r="X2329" s="24"/>
    </row>
    <row r="2330" spans="1:24" s="1" customFormat="1" ht="26" customHeight="1" x14ac:dyDescent="0.3">
      <c r="A2330" s="25" t="s">
        <v>2751</v>
      </c>
      <c r="B2330" s="25" t="s">
        <v>3215</v>
      </c>
      <c r="C2330" s="12" t="s">
        <v>3218</v>
      </c>
      <c r="D2330" s="86"/>
      <c r="E2330" s="67" t="str">
        <f>HYPERLINK("https://www.google.ru/search?q=114093-WW001&amp;newwindow=1&amp;tbm=isch","Еще фото")</f>
        <v>Еще фото</v>
      </c>
      <c r="F2330" s="14"/>
      <c r="G2330" s="25" t="s">
        <v>439</v>
      </c>
      <c r="H2330" s="25" t="s">
        <v>27</v>
      </c>
      <c r="I2330" s="25" t="s">
        <v>439</v>
      </c>
      <c r="J2330" s="15" t="s">
        <v>28</v>
      </c>
      <c r="K2330" s="16" t="s">
        <v>29</v>
      </c>
      <c r="L2330" s="88"/>
      <c r="M2330" s="15" t="s">
        <v>61</v>
      </c>
      <c r="N2330" s="15" t="s">
        <v>173</v>
      </c>
      <c r="O2330" s="15" t="s">
        <v>400</v>
      </c>
      <c r="P2330" s="16" t="s">
        <v>525</v>
      </c>
      <c r="Q2330" s="17">
        <v>1799</v>
      </c>
      <c r="R2330" s="18">
        <v>79.56</v>
      </c>
      <c r="S2330" s="26">
        <v>422.93549999999993</v>
      </c>
      <c r="T2330" s="20" t="s">
        <v>33</v>
      </c>
      <c r="U2330" s="21" t="s">
        <v>34</v>
      </c>
      <c r="V2330" s="22" t="s">
        <v>35</v>
      </c>
      <c r="W2330" s="23">
        <v>2</v>
      </c>
      <c r="X2330" s="24"/>
    </row>
    <row r="2331" spans="1:24" s="1" customFormat="1" ht="26" customHeight="1" x14ac:dyDescent="0.3">
      <c r="A2331" s="25" t="s">
        <v>2751</v>
      </c>
      <c r="B2331" s="25" t="s">
        <v>3215</v>
      </c>
      <c r="C2331" s="12" t="s">
        <v>3218</v>
      </c>
      <c r="D2331" s="86"/>
      <c r="E2331" s="67" t="str">
        <f>HYPERLINK("https://www.google.ru/search?q=114093-WW001&amp;newwindow=1&amp;tbm=isch","Еще фото")</f>
        <v>Еще фото</v>
      </c>
      <c r="F2331" s="14"/>
      <c r="G2331" s="25" t="s">
        <v>439</v>
      </c>
      <c r="H2331" s="25" t="s">
        <v>27</v>
      </c>
      <c r="I2331" s="25" t="s">
        <v>439</v>
      </c>
      <c r="J2331" s="15" t="s">
        <v>28</v>
      </c>
      <c r="K2331" s="16" t="s">
        <v>29</v>
      </c>
      <c r="L2331" s="88"/>
      <c r="M2331" s="15" t="s">
        <v>61</v>
      </c>
      <c r="N2331" s="15" t="s">
        <v>173</v>
      </c>
      <c r="O2331" s="15" t="s">
        <v>400</v>
      </c>
      <c r="P2331" s="16" t="s">
        <v>525</v>
      </c>
      <c r="Q2331" s="17">
        <v>1799</v>
      </c>
      <c r="R2331" s="18">
        <v>79.56</v>
      </c>
      <c r="S2331" s="26">
        <v>422.93549999999993</v>
      </c>
      <c r="T2331" s="20" t="s">
        <v>33</v>
      </c>
      <c r="U2331" s="21" t="s">
        <v>52</v>
      </c>
      <c r="V2331" s="22" t="s">
        <v>53</v>
      </c>
      <c r="W2331" s="23">
        <v>2</v>
      </c>
      <c r="X2331" s="24"/>
    </row>
    <row r="2332" spans="1:24" s="1" customFormat="1" ht="26" customHeight="1" x14ac:dyDescent="0.3">
      <c r="A2332" s="25" t="s">
        <v>2751</v>
      </c>
      <c r="B2332" s="25" t="s">
        <v>3215</v>
      </c>
      <c r="C2332" s="12" t="s">
        <v>3218</v>
      </c>
      <c r="D2332" s="87"/>
      <c r="E2332" s="67" t="str">
        <f>HYPERLINK("https://www.google.ru/search?q=114093-WW001&amp;newwindow=1&amp;tbm=isch","Еще фото")</f>
        <v>Еще фото</v>
      </c>
      <c r="F2332" s="14"/>
      <c r="G2332" s="25" t="s">
        <v>439</v>
      </c>
      <c r="H2332" s="25" t="s">
        <v>27</v>
      </c>
      <c r="I2332" s="25" t="s">
        <v>439</v>
      </c>
      <c r="J2332" s="15" t="s">
        <v>28</v>
      </c>
      <c r="K2332" s="16" t="s">
        <v>29</v>
      </c>
      <c r="L2332" s="84"/>
      <c r="M2332" s="15" t="s">
        <v>61</v>
      </c>
      <c r="N2332" s="15" t="s">
        <v>173</v>
      </c>
      <c r="O2332" s="15" t="s">
        <v>400</v>
      </c>
      <c r="P2332" s="16" t="s">
        <v>525</v>
      </c>
      <c r="Q2332" s="17">
        <v>1799</v>
      </c>
      <c r="R2332" s="18">
        <v>79.56</v>
      </c>
      <c r="S2332" s="26">
        <v>422.93549999999993</v>
      </c>
      <c r="T2332" s="20" t="s">
        <v>33</v>
      </c>
      <c r="U2332" s="21" t="s">
        <v>42</v>
      </c>
      <c r="V2332" s="22" t="s">
        <v>48</v>
      </c>
      <c r="W2332" s="23">
        <v>2</v>
      </c>
      <c r="X2332" s="24"/>
    </row>
    <row r="2333" spans="1:24" s="1" customFormat="1" ht="108" customHeight="1" x14ac:dyDescent="0.3">
      <c r="A2333" s="11" t="s">
        <v>2751</v>
      </c>
      <c r="B2333" s="11" t="s">
        <v>3215</v>
      </c>
      <c r="C2333" s="12" t="s">
        <v>3220</v>
      </c>
      <c r="D2333" s="13"/>
      <c r="E2333" s="67" t="str">
        <f>HYPERLINK("https://www.google.ru/search?q=111345-KK001&amp;newwindow=1&amp;tbm=isch","Еще фото")</f>
        <v>Еще фото</v>
      </c>
      <c r="F2333" s="14"/>
      <c r="G2333" s="11" t="s">
        <v>439</v>
      </c>
      <c r="H2333" s="11" t="s">
        <v>27</v>
      </c>
      <c r="I2333" s="15" t="s">
        <v>439</v>
      </c>
      <c r="J2333" s="15" t="s">
        <v>28</v>
      </c>
      <c r="K2333" s="16" t="s">
        <v>29</v>
      </c>
      <c r="L2333" s="15" t="s">
        <v>3221</v>
      </c>
      <c r="M2333" s="15" t="s">
        <v>61</v>
      </c>
      <c r="N2333" s="15" t="s">
        <v>38</v>
      </c>
      <c r="O2333" s="15" t="s">
        <v>400</v>
      </c>
      <c r="P2333" s="16" t="s">
        <v>3222</v>
      </c>
      <c r="Q2333" s="17">
        <v>2199</v>
      </c>
      <c r="R2333" s="18">
        <v>68.72</v>
      </c>
      <c r="S2333" s="26">
        <v>790.93549999999993</v>
      </c>
      <c r="T2333" s="20" t="s">
        <v>33</v>
      </c>
      <c r="U2333" s="21" t="s">
        <v>442</v>
      </c>
      <c r="V2333" s="22" t="s">
        <v>1910</v>
      </c>
      <c r="W2333" s="23">
        <v>7</v>
      </c>
      <c r="X2333" s="24"/>
    </row>
    <row r="2334" spans="1:24" s="1" customFormat="1" ht="108" customHeight="1" x14ac:dyDescent="0.3">
      <c r="A2334" s="11" t="s">
        <v>2834</v>
      </c>
      <c r="B2334" s="11" t="s">
        <v>3223</v>
      </c>
      <c r="C2334" s="12" t="s">
        <v>3224</v>
      </c>
      <c r="D2334" s="13"/>
      <c r="E2334" s="67" t="str">
        <f>HYPERLINK("https://www.google.ru/search?q=6223DK2011-000&amp;newwindow=1&amp;tbm=isch","Еще фото")</f>
        <v>Еще фото</v>
      </c>
      <c r="F2334" s="14"/>
      <c r="G2334" s="11" t="s">
        <v>439</v>
      </c>
      <c r="H2334" s="11" t="s">
        <v>27</v>
      </c>
      <c r="I2334" s="15" t="s">
        <v>439</v>
      </c>
      <c r="J2334" s="15" t="s">
        <v>28</v>
      </c>
      <c r="K2334" s="16" t="s">
        <v>29</v>
      </c>
      <c r="L2334" s="15" t="s">
        <v>3225</v>
      </c>
      <c r="M2334" s="15"/>
      <c r="N2334" s="15" t="s">
        <v>38</v>
      </c>
      <c r="O2334" s="15"/>
      <c r="P2334" s="16" t="s">
        <v>3226</v>
      </c>
      <c r="Q2334" s="17">
        <v>3750</v>
      </c>
      <c r="R2334" s="18">
        <v>67.790000000000006</v>
      </c>
      <c r="S2334" s="19">
        <v>1388.9354999999998</v>
      </c>
      <c r="T2334" s="20" t="s">
        <v>99</v>
      </c>
      <c r="U2334" s="21" t="s">
        <v>1847</v>
      </c>
      <c r="V2334" s="22" t="s">
        <v>48</v>
      </c>
      <c r="W2334" s="23">
        <v>2</v>
      </c>
      <c r="X2334" s="24"/>
    </row>
    <row r="2335" spans="1:24" s="1" customFormat="1" ht="108" customHeight="1" x14ac:dyDescent="0.3">
      <c r="A2335" s="11" t="s">
        <v>2731</v>
      </c>
      <c r="B2335" s="11" t="s">
        <v>2756</v>
      </c>
      <c r="C2335" s="12" t="s">
        <v>3227</v>
      </c>
      <c r="D2335" s="13"/>
      <c r="E2335" s="67" t="str">
        <f>HYPERLINK("https://www.google.ru/search?q=TB22WL09S0115-1-1002&amp;newwindow=1&amp;tbm=isch","Еще фото")</f>
        <v>Еще фото</v>
      </c>
      <c r="F2335" s="14"/>
      <c r="G2335" s="11" t="s">
        <v>3228</v>
      </c>
      <c r="H2335" s="11" t="s">
        <v>27</v>
      </c>
      <c r="I2335" s="15" t="s">
        <v>439</v>
      </c>
      <c r="J2335" s="15" t="s">
        <v>162</v>
      </c>
      <c r="K2335" s="16" t="s">
        <v>29</v>
      </c>
      <c r="L2335" s="15" t="s">
        <v>3229</v>
      </c>
      <c r="M2335" s="15" t="s">
        <v>61</v>
      </c>
      <c r="N2335" s="15" t="s">
        <v>31</v>
      </c>
      <c r="O2335" s="15"/>
      <c r="P2335" s="16" t="s">
        <v>3230</v>
      </c>
      <c r="Q2335" s="17">
        <v>2499</v>
      </c>
      <c r="R2335" s="18">
        <v>55.27</v>
      </c>
      <c r="S2335" s="19">
        <v>1285.4354999999998</v>
      </c>
      <c r="T2335" s="20" t="s">
        <v>99</v>
      </c>
      <c r="U2335" s="21" t="s">
        <v>442</v>
      </c>
      <c r="V2335" s="22" t="s">
        <v>1910</v>
      </c>
      <c r="W2335" s="23">
        <v>3</v>
      </c>
      <c r="X2335" s="24"/>
    </row>
    <row r="2336" spans="1:24" s="1" customFormat="1" ht="108" customHeight="1" x14ac:dyDescent="0.3">
      <c r="A2336" s="11" t="s">
        <v>2731</v>
      </c>
      <c r="B2336" s="11" t="s">
        <v>3231</v>
      </c>
      <c r="C2336" s="12" t="s">
        <v>3232</v>
      </c>
      <c r="D2336" s="13"/>
      <c r="E2336" s="67" t="str">
        <f>HYPERLINK("https://www.google.ru/search?q=TB23ML15S0631-1-1001&amp;newwindow=1&amp;tbm=isch","Еще фото")</f>
        <v>Еще фото</v>
      </c>
      <c r="F2336" s="14"/>
      <c r="G2336" s="11" t="s">
        <v>439</v>
      </c>
      <c r="H2336" s="11" t="s">
        <v>27</v>
      </c>
      <c r="I2336" s="15" t="s">
        <v>439</v>
      </c>
      <c r="J2336" s="15" t="s">
        <v>162</v>
      </c>
      <c r="K2336" s="16" t="s">
        <v>45</v>
      </c>
      <c r="L2336" s="15" t="s">
        <v>3233</v>
      </c>
      <c r="M2336" s="15" t="s">
        <v>61</v>
      </c>
      <c r="N2336" s="15" t="s">
        <v>38</v>
      </c>
      <c r="O2336" s="15"/>
      <c r="P2336" s="16" t="s">
        <v>3234</v>
      </c>
      <c r="Q2336" s="17">
        <v>3399</v>
      </c>
      <c r="R2336" s="18">
        <v>49.99</v>
      </c>
      <c r="S2336" s="19">
        <v>1954.9884999999999</v>
      </c>
      <c r="T2336" s="20" t="s">
        <v>99</v>
      </c>
      <c r="U2336" s="21" t="s">
        <v>42</v>
      </c>
      <c r="V2336" s="22" t="s">
        <v>49</v>
      </c>
      <c r="W2336" s="23">
        <v>1</v>
      </c>
      <c r="X2336" s="24"/>
    </row>
    <row r="2337" spans="1:24" s="1" customFormat="1" ht="52.05" customHeight="1" x14ac:dyDescent="0.3">
      <c r="A2337" s="11" t="s">
        <v>2751</v>
      </c>
      <c r="B2337" s="11" t="s">
        <v>3235</v>
      </c>
      <c r="C2337" s="12" t="s">
        <v>3236</v>
      </c>
      <c r="D2337" s="81"/>
      <c r="E2337" s="67" t="str">
        <f>HYPERLINK("https://www.google.ru/search?q=112194-KK001&amp;newwindow=1&amp;tbm=isch","Еще фото")</f>
        <v>Еще фото</v>
      </c>
      <c r="F2337" s="14"/>
      <c r="G2337" s="11" t="s">
        <v>446</v>
      </c>
      <c r="H2337" s="11" t="s">
        <v>27</v>
      </c>
      <c r="I2337" s="15" t="s">
        <v>447</v>
      </c>
      <c r="J2337" s="15" t="s">
        <v>28</v>
      </c>
      <c r="K2337" s="16" t="s">
        <v>29</v>
      </c>
      <c r="L2337" s="83" t="s">
        <v>3237</v>
      </c>
      <c r="M2337" s="15" t="s">
        <v>61</v>
      </c>
      <c r="N2337" s="15" t="s">
        <v>38</v>
      </c>
      <c r="O2337" s="15" t="s">
        <v>400</v>
      </c>
      <c r="P2337" s="16" t="s">
        <v>85</v>
      </c>
      <c r="Q2337" s="17">
        <v>2799</v>
      </c>
      <c r="R2337" s="18">
        <v>68.28</v>
      </c>
      <c r="S2337" s="26">
        <v>1020.9354999999999</v>
      </c>
      <c r="T2337" s="20" t="s">
        <v>33</v>
      </c>
      <c r="U2337" s="21" t="s">
        <v>442</v>
      </c>
      <c r="V2337" s="22" t="s">
        <v>1910</v>
      </c>
      <c r="W2337" s="23">
        <v>2</v>
      </c>
      <c r="X2337" s="24"/>
    </row>
    <row r="2338" spans="1:24" s="1" customFormat="1" ht="61.05" customHeight="1" x14ac:dyDescent="0.3">
      <c r="A2338" s="25" t="s">
        <v>2751</v>
      </c>
      <c r="B2338" s="25" t="s">
        <v>3235</v>
      </c>
      <c r="C2338" s="12" t="s">
        <v>3236</v>
      </c>
      <c r="D2338" s="82"/>
      <c r="E2338" s="67" t="str">
        <f>HYPERLINK("https://www.google.ru/search?q=112194-KK001&amp;newwindow=1&amp;tbm=isch","Еще фото")</f>
        <v>Еще фото</v>
      </c>
      <c r="F2338" s="14"/>
      <c r="G2338" s="25" t="s">
        <v>446</v>
      </c>
      <c r="H2338" s="25" t="s">
        <v>27</v>
      </c>
      <c r="I2338" s="25" t="s">
        <v>447</v>
      </c>
      <c r="J2338" s="15" t="s">
        <v>28</v>
      </c>
      <c r="K2338" s="16" t="s">
        <v>29</v>
      </c>
      <c r="L2338" s="84"/>
      <c r="M2338" s="15" t="s">
        <v>61</v>
      </c>
      <c r="N2338" s="15" t="s">
        <v>38</v>
      </c>
      <c r="O2338" s="15" t="s">
        <v>400</v>
      </c>
      <c r="P2338" s="16" t="s">
        <v>85</v>
      </c>
      <c r="Q2338" s="17">
        <v>2799</v>
      </c>
      <c r="R2338" s="18">
        <v>68.28</v>
      </c>
      <c r="S2338" s="26">
        <v>1020.9354999999999</v>
      </c>
      <c r="T2338" s="20" t="s">
        <v>33</v>
      </c>
      <c r="U2338" s="21" t="s">
        <v>34</v>
      </c>
      <c r="V2338" s="22" t="s">
        <v>35</v>
      </c>
      <c r="W2338" s="23">
        <v>5</v>
      </c>
      <c r="X2338" s="24"/>
    </row>
  </sheetData>
  <autoFilter ref="A3:X2338" xr:uid="{00000000-0009-0000-0000-000000000000}"/>
  <mergeCells count="942">
    <mergeCell ref="D5:D6"/>
    <mergeCell ref="L5:L6"/>
    <mergeCell ref="D7:D8"/>
    <mergeCell ref="L7:L8"/>
    <mergeCell ref="D9:D12"/>
    <mergeCell ref="L9:L12"/>
    <mergeCell ref="D16:D18"/>
    <mergeCell ref="L16:L18"/>
    <mergeCell ref="D21:D24"/>
    <mergeCell ref="L21:L24"/>
    <mergeCell ref="D32:D33"/>
    <mergeCell ref="L32:L33"/>
    <mergeCell ref="D34:D35"/>
    <mergeCell ref="L34:L35"/>
    <mergeCell ref="D37:D38"/>
    <mergeCell ref="L37:L38"/>
    <mergeCell ref="D45:D48"/>
    <mergeCell ref="L45:L48"/>
    <mergeCell ref="D52:D53"/>
    <mergeCell ref="L52:L53"/>
    <mergeCell ref="D61:D62"/>
    <mergeCell ref="L61:L62"/>
    <mergeCell ref="D63:D65"/>
    <mergeCell ref="L63:L65"/>
    <mergeCell ref="D68:D72"/>
    <mergeCell ref="L68:L72"/>
    <mergeCell ref="D75:D76"/>
    <mergeCell ref="L75:L76"/>
    <mergeCell ref="D79:D80"/>
    <mergeCell ref="L79:L80"/>
    <mergeCell ref="D81:D83"/>
    <mergeCell ref="L81:L83"/>
    <mergeCell ref="D93:D94"/>
    <mergeCell ref="L93:L94"/>
    <mergeCell ref="D97:D99"/>
    <mergeCell ref="L97:L99"/>
    <mergeCell ref="D102:D103"/>
    <mergeCell ref="L102:L103"/>
    <mergeCell ref="D104:D106"/>
    <mergeCell ref="L104:L106"/>
    <mergeCell ref="D107:D110"/>
    <mergeCell ref="L107:L110"/>
    <mergeCell ref="D111:D118"/>
    <mergeCell ref="L111:L118"/>
    <mergeCell ref="D122:D123"/>
    <mergeCell ref="L122:L123"/>
    <mergeCell ref="D126:D129"/>
    <mergeCell ref="L126:L129"/>
    <mergeCell ref="D130:D134"/>
    <mergeCell ref="L130:L134"/>
    <mergeCell ref="D135:D137"/>
    <mergeCell ref="L135:L137"/>
    <mergeCell ref="D138:D140"/>
    <mergeCell ref="L138:L140"/>
    <mergeCell ref="D141:D142"/>
    <mergeCell ref="L141:L142"/>
    <mergeCell ref="D143:D145"/>
    <mergeCell ref="L143:L145"/>
    <mergeCell ref="D146:D148"/>
    <mergeCell ref="L146:L148"/>
    <mergeCell ref="D149:D150"/>
    <mergeCell ref="L149:L150"/>
    <mergeCell ref="D151:D154"/>
    <mergeCell ref="L151:L154"/>
    <mergeCell ref="D156:D157"/>
    <mergeCell ref="L156:L157"/>
    <mergeCell ref="D158:D160"/>
    <mergeCell ref="L158:L160"/>
    <mergeCell ref="D161:D162"/>
    <mergeCell ref="L161:L162"/>
    <mergeCell ref="D164:D167"/>
    <mergeCell ref="L164:L167"/>
    <mergeCell ref="D169:D170"/>
    <mergeCell ref="L169:L170"/>
    <mergeCell ref="D171:D174"/>
    <mergeCell ref="L171:L174"/>
    <mergeCell ref="D175:D176"/>
    <mergeCell ref="L175:L176"/>
    <mergeCell ref="D177:D179"/>
    <mergeCell ref="L177:L179"/>
    <mergeCell ref="D180:D184"/>
    <mergeCell ref="L180:L184"/>
    <mergeCell ref="D185:D188"/>
    <mergeCell ref="L185:L188"/>
    <mergeCell ref="D189:D190"/>
    <mergeCell ref="L189:L190"/>
    <mergeCell ref="D192:D193"/>
    <mergeCell ref="L192:L193"/>
    <mergeCell ref="D199:D200"/>
    <mergeCell ref="L199:L200"/>
    <mergeCell ref="D201:D203"/>
    <mergeCell ref="L201:L203"/>
    <mergeCell ref="D204:D208"/>
    <mergeCell ref="L204:L208"/>
    <mergeCell ref="D209:D214"/>
    <mergeCell ref="L209:L214"/>
    <mergeCell ref="D215:D220"/>
    <mergeCell ref="L215:L220"/>
    <mergeCell ref="D224:D226"/>
    <mergeCell ref="L224:L226"/>
    <mergeCell ref="D227:D229"/>
    <mergeCell ref="L227:L229"/>
    <mergeCell ref="D236:D237"/>
    <mergeCell ref="L236:L237"/>
    <mergeCell ref="D238:D240"/>
    <mergeCell ref="L238:L240"/>
    <mergeCell ref="D241:D244"/>
    <mergeCell ref="L241:L244"/>
    <mergeCell ref="D245:D247"/>
    <mergeCell ref="L245:L247"/>
    <mergeCell ref="D251:D253"/>
    <mergeCell ref="L251:L253"/>
    <mergeCell ref="D254:D255"/>
    <mergeCell ref="L254:L255"/>
    <mergeCell ref="D259:D260"/>
    <mergeCell ref="L259:L260"/>
    <mergeCell ref="D264:D265"/>
    <mergeCell ref="L264:L265"/>
    <mergeCell ref="D273:D275"/>
    <mergeCell ref="L273:L275"/>
    <mergeCell ref="D276:D277"/>
    <mergeCell ref="L276:L277"/>
    <mergeCell ref="D278:D280"/>
    <mergeCell ref="L278:L280"/>
    <mergeCell ref="D282:D283"/>
    <mergeCell ref="L282:L283"/>
    <mergeCell ref="D284:D286"/>
    <mergeCell ref="L284:L286"/>
    <mergeCell ref="D287:D289"/>
    <mergeCell ref="L287:L289"/>
    <mergeCell ref="D327:D329"/>
    <mergeCell ref="L327:L329"/>
    <mergeCell ref="D331:D332"/>
    <mergeCell ref="L331:L332"/>
    <mergeCell ref="D333:D334"/>
    <mergeCell ref="L333:L334"/>
    <mergeCell ref="D335:D337"/>
    <mergeCell ref="L335:L337"/>
    <mergeCell ref="D338:D339"/>
    <mergeCell ref="L338:L339"/>
    <mergeCell ref="D340:D342"/>
    <mergeCell ref="L340:L342"/>
    <mergeCell ref="D343:D345"/>
    <mergeCell ref="L343:L345"/>
    <mergeCell ref="D349:D354"/>
    <mergeCell ref="L349:L354"/>
    <mergeCell ref="D363:D364"/>
    <mergeCell ref="L363:L364"/>
    <mergeCell ref="D366:D369"/>
    <mergeCell ref="L366:L369"/>
    <mergeCell ref="D370:D381"/>
    <mergeCell ref="L370:L381"/>
    <mergeCell ref="D382:D392"/>
    <mergeCell ref="L382:L392"/>
    <mergeCell ref="D393:D398"/>
    <mergeCell ref="L393:L398"/>
    <mergeCell ref="D399:D402"/>
    <mergeCell ref="L399:L402"/>
    <mergeCell ref="D403:D404"/>
    <mergeCell ref="L403:L404"/>
    <mergeCell ref="D405:D417"/>
    <mergeCell ref="L405:L417"/>
    <mergeCell ref="D418:D419"/>
    <mergeCell ref="L418:L419"/>
    <mergeCell ref="D420:D422"/>
    <mergeCell ref="L420:L422"/>
    <mergeCell ref="D423:D425"/>
    <mergeCell ref="L423:L425"/>
    <mergeCell ref="D426:D427"/>
    <mergeCell ref="L426:L427"/>
    <mergeCell ref="D428:D429"/>
    <mergeCell ref="L428:L429"/>
    <mergeCell ref="D430:D431"/>
    <mergeCell ref="L430:L431"/>
    <mergeCell ref="D432:D437"/>
    <mergeCell ref="L432:L437"/>
    <mergeCell ref="D438:D439"/>
    <mergeCell ref="L438:L439"/>
    <mergeCell ref="D440:D441"/>
    <mergeCell ref="L440:L441"/>
    <mergeCell ref="D442:D445"/>
    <mergeCell ref="L442:L445"/>
    <mergeCell ref="D446:D448"/>
    <mergeCell ref="L446:L448"/>
    <mergeCell ref="D449:D450"/>
    <mergeCell ref="L449:L450"/>
    <mergeCell ref="D451:D464"/>
    <mergeCell ref="L451:L464"/>
    <mergeCell ref="D465:D473"/>
    <mergeCell ref="L465:L473"/>
    <mergeCell ref="D474:D485"/>
    <mergeCell ref="L474:L485"/>
    <mergeCell ref="D486:D488"/>
    <mergeCell ref="L486:L488"/>
    <mergeCell ref="D489:D497"/>
    <mergeCell ref="L489:L497"/>
    <mergeCell ref="D498:D511"/>
    <mergeCell ref="L498:L511"/>
    <mergeCell ref="D513:D521"/>
    <mergeCell ref="L513:L521"/>
    <mergeCell ref="D522:D533"/>
    <mergeCell ref="L522:L533"/>
    <mergeCell ref="D534:D542"/>
    <mergeCell ref="L534:L542"/>
    <mergeCell ref="D543:D556"/>
    <mergeCell ref="L543:L556"/>
    <mergeCell ref="D557:D560"/>
    <mergeCell ref="L557:L560"/>
    <mergeCell ref="D565:D566"/>
    <mergeCell ref="L565:L566"/>
    <mergeCell ref="D569:D577"/>
    <mergeCell ref="L569:L577"/>
    <mergeCell ref="D578:D588"/>
    <mergeCell ref="L578:L588"/>
    <mergeCell ref="D589:D596"/>
    <mergeCell ref="L589:L596"/>
    <mergeCell ref="D875:D878"/>
    <mergeCell ref="L875:L878"/>
    <mergeCell ref="D880:D881"/>
    <mergeCell ref="L880:L881"/>
    <mergeCell ref="D882:D886"/>
    <mergeCell ref="L882:L886"/>
    <mergeCell ref="D887:D890"/>
    <mergeCell ref="L887:L890"/>
    <mergeCell ref="D891:D893"/>
    <mergeCell ref="L891:L893"/>
    <mergeCell ref="D894:D895"/>
    <mergeCell ref="L894:L895"/>
    <mergeCell ref="D896:D899"/>
    <mergeCell ref="L896:L899"/>
    <mergeCell ref="D900:D903"/>
    <mergeCell ref="L900:L903"/>
    <mergeCell ref="D904:D907"/>
    <mergeCell ref="L904:L907"/>
    <mergeCell ref="D908:D911"/>
    <mergeCell ref="L908:L911"/>
    <mergeCell ref="D912:D915"/>
    <mergeCell ref="L912:L915"/>
    <mergeCell ref="D916:D919"/>
    <mergeCell ref="L916:L919"/>
    <mergeCell ref="D920:D923"/>
    <mergeCell ref="L920:L923"/>
    <mergeCell ref="D924:D928"/>
    <mergeCell ref="L924:L928"/>
    <mergeCell ref="D929:D931"/>
    <mergeCell ref="L929:L931"/>
    <mergeCell ref="D932:D935"/>
    <mergeCell ref="L932:L935"/>
    <mergeCell ref="D936:D938"/>
    <mergeCell ref="L936:L938"/>
    <mergeCell ref="D939:D942"/>
    <mergeCell ref="L939:L942"/>
    <mergeCell ref="D944:D946"/>
    <mergeCell ref="L944:L946"/>
    <mergeCell ref="D947:D951"/>
    <mergeCell ref="L947:L951"/>
    <mergeCell ref="D952:D955"/>
    <mergeCell ref="L952:L955"/>
    <mergeCell ref="D956:D959"/>
    <mergeCell ref="L956:L959"/>
    <mergeCell ref="D960:D962"/>
    <mergeCell ref="L960:L962"/>
    <mergeCell ref="D963:D967"/>
    <mergeCell ref="L963:L967"/>
    <mergeCell ref="D968:D971"/>
    <mergeCell ref="L968:L971"/>
    <mergeCell ref="D982:D985"/>
    <mergeCell ref="L982:L985"/>
    <mergeCell ref="D986:D989"/>
    <mergeCell ref="L986:L989"/>
    <mergeCell ref="D990:D993"/>
    <mergeCell ref="L990:L993"/>
    <mergeCell ref="D994:D997"/>
    <mergeCell ref="L994:L997"/>
    <mergeCell ref="D998:D1001"/>
    <mergeCell ref="L998:L1001"/>
    <mergeCell ref="D1002:D1003"/>
    <mergeCell ref="L1002:L1003"/>
    <mergeCell ref="D1004:D1005"/>
    <mergeCell ref="L1004:L1005"/>
    <mergeCell ref="D1006:D1007"/>
    <mergeCell ref="L1006:L1007"/>
    <mergeCell ref="D1008:D1012"/>
    <mergeCell ref="L1008:L1012"/>
    <mergeCell ref="D1013:D1016"/>
    <mergeCell ref="L1013:L1016"/>
    <mergeCell ref="D1017:D1020"/>
    <mergeCell ref="L1017:L1020"/>
    <mergeCell ref="D1021:D1025"/>
    <mergeCell ref="L1021:L1025"/>
    <mergeCell ref="D1026:D1028"/>
    <mergeCell ref="L1026:L1028"/>
    <mergeCell ref="D1030:D1032"/>
    <mergeCell ref="L1030:L1032"/>
    <mergeCell ref="D1033:D1035"/>
    <mergeCell ref="L1033:L1035"/>
    <mergeCell ref="D1036:D1037"/>
    <mergeCell ref="L1036:L1037"/>
    <mergeCell ref="D1039:D1043"/>
    <mergeCell ref="L1039:L1043"/>
    <mergeCell ref="D1044:D1047"/>
    <mergeCell ref="L1044:L1047"/>
    <mergeCell ref="D1048:D1052"/>
    <mergeCell ref="L1048:L1052"/>
    <mergeCell ref="D1053:D1056"/>
    <mergeCell ref="L1053:L1056"/>
    <mergeCell ref="D1057:D1058"/>
    <mergeCell ref="L1057:L1058"/>
    <mergeCell ref="D1059:D1060"/>
    <mergeCell ref="L1059:L1060"/>
    <mergeCell ref="D1061:D1062"/>
    <mergeCell ref="L1061:L1062"/>
    <mergeCell ref="D1065:D1068"/>
    <mergeCell ref="L1065:L1068"/>
    <mergeCell ref="D1069:D1072"/>
    <mergeCell ref="L1069:L1072"/>
    <mergeCell ref="D1073:D1076"/>
    <mergeCell ref="L1073:L1076"/>
    <mergeCell ref="D1077:D1080"/>
    <mergeCell ref="L1077:L1080"/>
    <mergeCell ref="D1081:D1084"/>
    <mergeCell ref="L1081:L1084"/>
    <mergeCell ref="D1085:D1087"/>
    <mergeCell ref="L1085:L1087"/>
    <mergeCell ref="D1088:D1090"/>
    <mergeCell ref="L1088:L1090"/>
    <mergeCell ref="D1091:D1093"/>
    <mergeCell ref="L1091:L1093"/>
    <mergeCell ref="D1094:D1098"/>
    <mergeCell ref="L1094:L1098"/>
    <mergeCell ref="D1099:D1100"/>
    <mergeCell ref="L1099:L1100"/>
    <mergeCell ref="D1101:D1103"/>
    <mergeCell ref="L1101:L1103"/>
    <mergeCell ref="D1104:D1106"/>
    <mergeCell ref="L1104:L1106"/>
    <mergeCell ref="D1107:D1110"/>
    <mergeCell ref="L1107:L1110"/>
    <mergeCell ref="D1111:D1114"/>
    <mergeCell ref="L1111:L1114"/>
    <mergeCell ref="D1115:D1119"/>
    <mergeCell ref="L1115:L1119"/>
    <mergeCell ref="D1120:D1123"/>
    <mergeCell ref="L1120:L1123"/>
    <mergeCell ref="D1124:D1125"/>
    <mergeCell ref="L1124:L1125"/>
    <mergeCell ref="D1130:D1132"/>
    <mergeCell ref="L1130:L1132"/>
    <mergeCell ref="D1133:D1137"/>
    <mergeCell ref="L1133:L1137"/>
    <mergeCell ref="D1138:D1141"/>
    <mergeCell ref="L1138:L1141"/>
    <mergeCell ref="D1142:D1147"/>
    <mergeCell ref="L1142:L1147"/>
    <mergeCell ref="D1148:D1152"/>
    <mergeCell ref="L1148:L1152"/>
    <mergeCell ref="D1153:D1157"/>
    <mergeCell ref="L1153:L1157"/>
    <mergeCell ref="D1158:D1162"/>
    <mergeCell ref="L1158:L1162"/>
    <mergeCell ref="D1163:D1167"/>
    <mergeCell ref="L1163:L1167"/>
    <mergeCell ref="D1169:D1172"/>
    <mergeCell ref="L1169:L1172"/>
    <mergeCell ref="D1173:D1175"/>
    <mergeCell ref="L1173:L1175"/>
    <mergeCell ref="D1176:D1177"/>
    <mergeCell ref="L1176:L1177"/>
    <mergeCell ref="D1178:D1179"/>
    <mergeCell ref="L1178:L1179"/>
    <mergeCell ref="D1180:D1181"/>
    <mergeCell ref="L1180:L1181"/>
    <mergeCell ref="D1182:D1186"/>
    <mergeCell ref="L1182:L1186"/>
    <mergeCell ref="D1187:D1188"/>
    <mergeCell ref="L1187:L1188"/>
    <mergeCell ref="D1189:D1191"/>
    <mergeCell ref="L1189:L1191"/>
    <mergeCell ref="D1192:D1196"/>
    <mergeCell ref="L1192:L1196"/>
    <mergeCell ref="D1197:D1200"/>
    <mergeCell ref="L1197:L1200"/>
    <mergeCell ref="D1201:D1204"/>
    <mergeCell ref="L1201:L1204"/>
    <mergeCell ref="D1208:D1212"/>
    <mergeCell ref="L1208:L1212"/>
    <mergeCell ref="D1213:D1217"/>
    <mergeCell ref="L1213:L1217"/>
    <mergeCell ref="D1218:D1222"/>
    <mergeCell ref="L1218:L1222"/>
    <mergeCell ref="D1223:D1226"/>
    <mergeCell ref="L1223:L1226"/>
    <mergeCell ref="D1227:D1231"/>
    <mergeCell ref="L1227:L1231"/>
    <mergeCell ref="D1232:D1236"/>
    <mergeCell ref="L1232:L1236"/>
    <mergeCell ref="D1237:D1241"/>
    <mergeCell ref="L1237:L1241"/>
    <mergeCell ref="D1242:D1246"/>
    <mergeCell ref="L1242:L1246"/>
    <mergeCell ref="D1248:D1252"/>
    <mergeCell ref="L1248:L1252"/>
    <mergeCell ref="D1254:D1256"/>
    <mergeCell ref="L1254:L1256"/>
    <mergeCell ref="D1257:D1258"/>
    <mergeCell ref="L1257:L1258"/>
    <mergeCell ref="D1262:D1263"/>
    <mergeCell ref="L1262:L1263"/>
    <mergeCell ref="D1265:D1268"/>
    <mergeCell ref="L1265:L1268"/>
    <mergeCell ref="D1269:D1270"/>
    <mergeCell ref="L1269:L1270"/>
    <mergeCell ref="D1272:D1273"/>
    <mergeCell ref="L1272:L1273"/>
    <mergeCell ref="D1278:D1280"/>
    <mergeCell ref="L1278:L1280"/>
    <mergeCell ref="D1286:D1288"/>
    <mergeCell ref="L1286:L1288"/>
    <mergeCell ref="D1289:D1291"/>
    <mergeCell ref="L1289:L1291"/>
    <mergeCell ref="D1292:D1293"/>
    <mergeCell ref="L1292:L1293"/>
    <mergeCell ref="D1305:D1306"/>
    <mergeCell ref="L1305:L1306"/>
    <mergeCell ref="D1307:D1308"/>
    <mergeCell ref="L1307:L1308"/>
    <mergeCell ref="D1309:D1311"/>
    <mergeCell ref="L1309:L1311"/>
    <mergeCell ref="D1312:D1313"/>
    <mergeCell ref="L1312:L1313"/>
    <mergeCell ref="D1314:D1316"/>
    <mergeCell ref="L1314:L1316"/>
    <mergeCell ref="D1317:D1319"/>
    <mergeCell ref="L1317:L1319"/>
    <mergeCell ref="D1320:D1322"/>
    <mergeCell ref="L1320:L1322"/>
    <mergeCell ref="D1323:D1325"/>
    <mergeCell ref="L1323:L1325"/>
    <mergeCell ref="D1326:D1328"/>
    <mergeCell ref="L1326:L1328"/>
    <mergeCell ref="D1329:D1331"/>
    <mergeCell ref="L1329:L1331"/>
    <mergeCell ref="D1332:D1333"/>
    <mergeCell ref="L1332:L1333"/>
    <mergeCell ref="D1334:D1336"/>
    <mergeCell ref="L1334:L1336"/>
    <mergeCell ref="D1337:D1338"/>
    <mergeCell ref="L1337:L1338"/>
    <mergeCell ref="D1339:D1341"/>
    <mergeCell ref="L1339:L1341"/>
    <mergeCell ref="D1342:D1344"/>
    <mergeCell ref="L1342:L1344"/>
    <mergeCell ref="D1345:D1347"/>
    <mergeCell ref="L1345:L1347"/>
    <mergeCell ref="D1348:D1350"/>
    <mergeCell ref="L1348:L1350"/>
    <mergeCell ref="D1351:D1353"/>
    <mergeCell ref="L1351:L1353"/>
    <mergeCell ref="D1354:D1356"/>
    <mergeCell ref="L1354:L1356"/>
    <mergeCell ref="D1357:D1359"/>
    <mergeCell ref="L1357:L1359"/>
    <mergeCell ref="D1360:D1361"/>
    <mergeCell ref="L1360:L1361"/>
    <mergeCell ref="D1362:D1363"/>
    <mergeCell ref="L1362:L1363"/>
    <mergeCell ref="D1364:D1366"/>
    <mergeCell ref="L1364:L1366"/>
    <mergeCell ref="D1367:D1369"/>
    <mergeCell ref="L1367:L1369"/>
    <mergeCell ref="D1370:D1371"/>
    <mergeCell ref="L1370:L1371"/>
    <mergeCell ref="D1373:D1375"/>
    <mergeCell ref="L1373:L1375"/>
    <mergeCell ref="D1376:D1378"/>
    <mergeCell ref="L1376:L1378"/>
    <mergeCell ref="D1379:D1381"/>
    <mergeCell ref="L1379:L1381"/>
    <mergeCell ref="D1382:D1384"/>
    <mergeCell ref="L1382:L1384"/>
    <mergeCell ref="D1385:D1387"/>
    <mergeCell ref="L1385:L1387"/>
    <mergeCell ref="D1388:D1390"/>
    <mergeCell ref="L1388:L1390"/>
    <mergeCell ref="D1392:D1394"/>
    <mergeCell ref="L1392:L1394"/>
    <mergeCell ref="D1395:D1396"/>
    <mergeCell ref="L1395:L1396"/>
    <mergeCell ref="D1397:D1399"/>
    <mergeCell ref="L1397:L1399"/>
    <mergeCell ref="D1400:D1402"/>
    <mergeCell ref="L1400:L1402"/>
    <mergeCell ref="D1403:D1404"/>
    <mergeCell ref="L1403:L1404"/>
    <mergeCell ref="D1405:D1406"/>
    <mergeCell ref="L1405:L1406"/>
    <mergeCell ref="D1407:D1409"/>
    <mergeCell ref="L1407:L1409"/>
    <mergeCell ref="D1410:D1411"/>
    <mergeCell ref="L1410:L1411"/>
    <mergeCell ref="D1412:D1414"/>
    <mergeCell ref="L1412:L1414"/>
    <mergeCell ref="D1415:D1417"/>
    <mergeCell ref="L1415:L1417"/>
    <mergeCell ref="D1418:D1420"/>
    <mergeCell ref="L1418:L1420"/>
    <mergeCell ref="D1421:D1423"/>
    <mergeCell ref="L1421:L1423"/>
    <mergeCell ref="D1424:D1426"/>
    <mergeCell ref="L1424:L1426"/>
    <mergeCell ref="D1427:D1429"/>
    <mergeCell ref="L1427:L1429"/>
    <mergeCell ref="D1430:D1432"/>
    <mergeCell ref="L1430:L1432"/>
    <mergeCell ref="D1433:D1435"/>
    <mergeCell ref="L1433:L1435"/>
    <mergeCell ref="D1436:D1438"/>
    <mergeCell ref="L1436:L1438"/>
    <mergeCell ref="D1439:D1441"/>
    <mergeCell ref="L1439:L1441"/>
    <mergeCell ref="D1446:D1448"/>
    <mergeCell ref="L1446:L1448"/>
    <mergeCell ref="D1449:D1451"/>
    <mergeCell ref="L1449:L1451"/>
    <mergeCell ref="D1452:D1453"/>
    <mergeCell ref="L1452:L1453"/>
    <mergeCell ref="D1454:D1456"/>
    <mergeCell ref="L1454:L1456"/>
    <mergeCell ref="D1457:D1459"/>
    <mergeCell ref="L1457:L1459"/>
    <mergeCell ref="D1460:D1462"/>
    <mergeCell ref="L1460:L1462"/>
    <mergeCell ref="D1463:D1465"/>
    <mergeCell ref="L1463:L1465"/>
    <mergeCell ref="D1466:D1468"/>
    <mergeCell ref="L1466:L1468"/>
    <mergeCell ref="D1469:D1471"/>
    <mergeCell ref="L1469:L1471"/>
    <mergeCell ref="D1472:D1474"/>
    <mergeCell ref="L1472:L1474"/>
    <mergeCell ref="D1475:D1476"/>
    <mergeCell ref="L1475:L1476"/>
    <mergeCell ref="D1478:D1479"/>
    <mergeCell ref="L1478:L1479"/>
    <mergeCell ref="D1484:D1486"/>
    <mergeCell ref="L1484:L1486"/>
    <mergeCell ref="D1489:D1490"/>
    <mergeCell ref="L1489:L1490"/>
    <mergeCell ref="D1493:D1494"/>
    <mergeCell ref="L1493:L1494"/>
    <mergeCell ref="D1495:D1497"/>
    <mergeCell ref="L1495:L1497"/>
    <mergeCell ref="D1498:D1500"/>
    <mergeCell ref="L1498:L1500"/>
    <mergeCell ref="D1501:D1502"/>
    <mergeCell ref="L1501:L1502"/>
    <mergeCell ref="D1503:D1505"/>
    <mergeCell ref="L1503:L1505"/>
    <mergeCell ref="D1508:D1509"/>
    <mergeCell ref="L1508:L1509"/>
    <mergeCell ref="D1512:D1514"/>
    <mergeCell ref="L1512:L1514"/>
    <mergeCell ref="D1515:D1516"/>
    <mergeCell ref="L1515:L1516"/>
    <mergeCell ref="D1517:D1519"/>
    <mergeCell ref="L1517:L1519"/>
    <mergeCell ref="D1520:D1521"/>
    <mergeCell ref="L1520:L1521"/>
    <mergeCell ref="D1522:D1523"/>
    <mergeCell ref="L1522:L1523"/>
    <mergeCell ref="D1524:D1526"/>
    <mergeCell ref="L1524:L1526"/>
    <mergeCell ref="D1527:D1529"/>
    <mergeCell ref="L1527:L1529"/>
    <mergeCell ref="D1530:D1532"/>
    <mergeCell ref="L1530:L1532"/>
    <mergeCell ref="D1533:D1534"/>
    <mergeCell ref="L1533:L1534"/>
    <mergeCell ref="D1535:D1536"/>
    <mergeCell ref="L1535:L1536"/>
    <mergeCell ref="D1537:D1539"/>
    <mergeCell ref="L1537:L1539"/>
    <mergeCell ref="D1542:D1543"/>
    <mergeCell ref="L1542:L1543"/>
    <mergeCell ref="D1547:D1548"/>
    <mergeCell ref="L1547:L1548"/>
    <mergeCell ref="D1549:D1551"/>
    <mergeCell ref="L1549:L1551"/>
    <mergeCell ref="D1554:D1555"/>
    <mergeCell ref="L1554:L1555"/>
    <mergeCell ref="D1557:D1558"/>
    <mergeCell ref="L1557:L1558"/>
    <mergeCell ref="D1559:D1561"/>
    <mergeCell ref="L1559:L1561"/>
    <mergeCell ref="D1562:D1564"/>
    <mergeCell ref="L1562:L1564"/>
    <mergeCell ref="D1565:D1566"/>
    <mergeCell ref="L1565:L1566"/>
    <mergeCell ref="D1567:D1569"/>
    <mergeCell ref="L1567:L1569"/>
    <mergeCell ref="D1571:D1573"/>
    <mergeCell ref="L1571:L1573"/>
    <mergeCell ref="D1574:D1575"/>
    <mergeCell ref="L1574:L1575"/>
    <mergeCell ref="D1577:D1579"/>
    <mergeCell ref="L1577:L1579"/>
    <mergeCell ref="D1580:D1582"/>
    <mergeCell ref="L1580:L1582"/>
    <mergeCell ref="D1583:D1585"/>
    <mergeCell ref="L1583:L1585"/>
    <mergeCell ref="D1587:D1588"/>
    <mergeCell ref="L1587:L1588"/>
    <mergeCell ref="D1590:D1591"/>
    <mergeCell ref="L1590:L1591"/>
    <mergeCell ref="D1592:D1593"/>
    <mergeCell ref="L1592:L1593"/>
    <mergeCell ref="D1594:D1595"/>
    <mergeCell ref="L1594:L1595"/>
    <mergeCell ref="D1596:D1597"/>
    <mergeCell ref="L1596:L1597"/>
    <mergeCell ref="D1598:D1599"/>
    <mergeCell ref="L1598:L1599"/>
    <mergeCell ref="D1600:D1602"/>
    <mergeCell ref="L1600:L1602"/>
    <mergeCell ref="D1603:D1605"/>
    <mergeCell ref="L1603:L1605"/>
    <mergeCell ref="D1606:D1608"/>
    <mergeCell ref="L1606:L1608"/>
    <mergeCell ref="D1610:D1613"/>
    <mergeCell ref="L1610:L1613"/>
    <mergeCell ref="D1614:D1615"/>
    <mergeCell ref="L1614:L1615"/>
    <mergeCell ref="D1616:D1617"/>
    <mergeCell ref="L1616:L1617"/>
    <mergeCell ref="D1619:D1622"/>
    <mergeCell ref="L1619:L1622"/>
    <mergeCell ref="D1623:D1625"/>
    <mergeCell ref="L1623:L1625"/>
    <mergeCell ref="D1630:D1633"/>
    <mergeCell ref="L1630:L1633"/>
    <mergeCell ref="D1641:D1645"/>
    <mergeCell ref="L1641:L1645"/>
    <mergeCell ref="D1646:D1647"/>
    <mergeCell ref="L1646:L1647"/>
    <mergeCell ref="D1648:D1652"/>
    <mergeCell ref="L1648:L1652"/>
    <mergeCell ref="D1654:D1658"/>
    <mergeCell ref="L1654:L1658"/>
    <mergeCell ref="D1659:D1662"/>
    <mergeCell ref="L1659:L1662"/>
    <mergeCell ref="D1671:D1674"/>
    <mergeCell ref="L1671:L1674"/>
    <mergeCell ref="D1675:D1678"/>
    <mergeCell ref="L1675:L1678"/>
    <mergeCell ref="D1679:D1682"/>
    <mergeCell ref="L1679:L1682"/>
    <mergeCell ref="D1683:D1686"/>
    <mergeCell ref="L1683:L1686"/>
    <mergeCell ref="D1687:D1690"/>
    <mergeCell ref="L1687:L1690"/>
    <mergeCell ref="D1691:D1692"/>
    <mergeCell ref="L1691:L1692"/>
    <mergeCell ref="D1693:D1696"/>
    <mergeCell ref="L1693:L1696"/>
    <mergeCell ref="D1697:D1699"/>
    <mergeCell ref="L1697:L1699"/>
    <mergeCell ref="D1700:D1705"/>
    <mergeCell ref="L1700:L1705"/>
    <mergeCell ref="D1706:D1708"/>
    <mergeCell ref="L1706:L1708"/>
    <mergeCell ref="D1710:D1715"/>
    <mergeCell ref="L1710:L1715"/>
    <mergeCell ref="D1716:D1718"/>
    <mergeCell ref="L1716:L1718"/>
    <mergeCell ref="D1719:D1721"/>
    <mergeCell ref="L1719:L1721"/>
    <mergeCell ref="D1722:D1725"/>
    <mergeCell ref="L1722:L1725"/>
    <mergeCell ref="D1726:D1729"/>
    <mergeCell ref="L1726:L1729"/>
    <mergeCell ref="D1730:D1733"/>
    <mergeCell ref="L1730:L1733"/>
    <mergeCell ref="D1734:D1735"/>
    <mergeCell ref="L1734:L1735"/>
    <mergeCell ref="D1737:D1738"/>
    <mergeCell ref="L1737:L1738"/>
    <mergeCell ref="D1739:D1742"/>
    <mergeCell ref="L1739:L1742"/>
    <mergeCell ref="D1743:D1745"/>
    <mergeCell ref="L1743:L1745"/>
    <mergeCell ref="D1754:D1757"/>
    <mergeCell ref="L1754:L1757"/>
    <mergeCell ref="D1758:D1759"/>
    <mergeCell ref="L1758:L1759"/>
    <mergeCell ref="D1762:D1765"/>
    <mergeCell ref="L1762:L1765"/>
    <mergeCell ref="D1766:D1770"/>
    <mergeCell ref="L1766:L1770"/>
    <mergeCell ref="D1773:D1776"/>
    <mergeCell ref="L1773:L1776"/>
    <mergeCell ref="D1779:D1780"/>
    <mergeCell ref="L1779:L1780"/>
    <mergeCell ref="D1783:D1786"/>
    <mergeCell ref="L1783:L1786"/>
    <mergeCell ref="D1788:D1789"/>
    <mergeCell ref="L1788:L1789"/>
    <mergeCell ref="D1797:D1799"/>
    <mergeCell ref="L1797:L1799"/>
    <mergeCell ref="D1802:D1803"/>
    <mergeCell ref="L1802:L1803"/>
    <mergeCell ref="D1806:D1807"/>
    <mergeCell ref="L1806:L1807"/>
    <mergeCell ref="D1811:D1812"/>
    <mergeCell ref="L1811:L1812"/>
    <mergeCell ref="D1822:D1825"/>
    <mergeCell ref="L1822:L1825"/>
    <mergeCell ref="D1826:D1829"/>
    <mergeCell ref="L1826:L1829"/>
    <mergeCell ref="D1830:D1831"/>
    <mergeCell ref="L1830:L1831"/>
    <mergeCell ref="D1832:D1835"/>
    <mergeCell ref="L1832:L1835"/>
    <mergeCell ref="D1839:D1841"/>
    <mergeCell ref="L1839:L1841"/>
    <mergeCell ref="D1844:D1845"/>
    <mergeCell ref="L1844:L1845"/>
    <mergeCell ref="D1847:D1850"/>
    <mergeCell ref="L1847:L1850"/>
    <mergeCell ref="D1851:D1853"/>
    <mergeCell ref="L1851:L1853"/>
    <mergeCell ref="D1855:D1857"/>
    <mergeCell ref="L1855:L1857"/>
    <mergeCell ref="D1867:D1873"/>
    <mergeCell ref="L1867:L1873"/>
    <mergeCell ref="D1874:D1879"/>
    <mergeCell ref="L1874:L1879"/>
    <mergeCell ref="D1880:D1886"/>
    <mergeCell ref="L1880:L1886"/>
    <mergeCell ref="D1887:D1892"/>
    <mergeCell ref="L1887:L1892"/>
    <mergeCell ref="D1893:D1897"/>
    <mergeCell ref="L1893:L1897"/>
    <mergeCell ref="D1898:D1901"/>
    <mergeCell ref="L1898:L1901"/>
    <mergeCell ref="D1902:D1904"/>
    <mergeCell ref="L1902:L1904"/>
    <mergeCell ref="D1905:D1907"/>
    <mergeCell ref="L1905:L1907"/>
    <mergeCell ref="D1908:D1909"/>
    <mergeCell ref="L1908:L1909"/>
    <mergeCell ref="D1910:D1911"/>
    <mergeCell ref="L1910:L1911"/>
    <mergeCell ref="D1912:D1913"/>
    <mergeCell ref="L1912:L1913"/>
    <mergeCell ref="D1914:D1916"/>
    <mergeCell ref="L1914:L1916"/>
    <mergeCell ref="D1917:D1919"/>
    <mergeCell ref="L1917:L1919"/>
    <mergeCell ref="D1921:D1922"/>
    <mergeCell ref="L1921:L1922"/>
    <mergeCell ref="D1923:D1926"/>
    <mergeCell ref="L1923:L1926"/>
    <mergeCell ref="D1928:D1932"/>
    <mergeCell ref="L1928:L1932"/>
    <mergeCell ref="D1933:D1936"/>
    <mergeCell ref="L1933:L1936"/>
    <mergeCell ref="D1937:D1939"/>
    <mergeCell ref="L1937:L1939"/>
    <mergeCell ref="D1940:D1945"/>
    <mergeCell ref="L1940:L1945"/>
    <mergeCell ref="D1946:D1951"/>
    <mergeCell ref="L1946:L1951"/>
    <mergeCell ref="D1952:D1956"/>
    <mergeCell ref="L1952:L1956"/>
    <mergeCell ref="D1957:D1961"/>
    <mergeCell ref="L1957:L1961"/>
    <mergeCell ref="D1962:D1964"/>
    <mergeCell ref="L1962:L1964"/>
    <mergeCell ref="D1965:D1968"/>
    <mergeCell ref="L1965:L1968"/>
    <mergeCell ref="D1969:D1971"/>
    <mergeCell ref="L1969:L1971"/>
    <mergeCell ref="D1972:D1974"/>
    <mergeCell ref="L1972:L1974"/>
    <mergeCell ref="D1977:D1979"/>
    <mergeCell ref="L1977:L1979"/>
    <mergeCell ref="D1980:D1981"/>
    <mergeCell ref="L1980:L1981"/>
    <mergeCell ref="D1982:D1985"/>
    <mergeCell ref="L1982:L1985"/>
    <mergeCell ref="D1986:D1987"/>
    <mergeCell ref="L1986:L1987"/>
    <mergeCell ref="D1988:D1989"/>
    <mergeCell ref="L1988:L1989"/>
    <mergeCell ref="D1990:D1991"/>
    <mergeCell ref="L1990:L1991"/>
    <mergeCell ref="D1993:D1994"/>
    <mergeCell ref="L1993:L1994"/>
    <mergeCell ref="D1996:D1997"/>
    <mergeCell ref="L1996:L1997"/>
    <mergeCell ref="D1998:D2003"/>
    <mergeCell ref="L1998:L2003"/>
    <mergeCell ref="D2004:D2005"/>
    <mergeCell ref="L2004:L2005"/>
    <mergeCell ref="D2006:D2010"/>
    <mergeCell ref="L2006:L2010"/>
    <mergeCell ref="D2013:D2014"/>
    <mergeCell ref="L2013:L2014"/>
    <mergeCell ref="D2016:D2017"/>
    <mergeCell ref="L2016:L2017"/>
    <mergeCell ref="D2022:D2025"/>
    <mergeCell ref="L2022:L2025"/>
    <mergeCell ref="D2027:D2029"/>
    <mergeCell ref="L2027:L2029"/>
    <mergeCell ref="D2031:D2034"/>
    <mergeCell ref="L2031:L2034"/>
    <mergeCell ref="D2035:D2040"/>
    <mergeCell ref="L2035:L2040"/>
    <mergeCell ref="D2041:D2046"/>
    <mergeCell ref="L2041:L2046"/>
    <mergeCell ref="D2047:D2049"/>
    <mergeCell ref="L2047:L2049"/>
    <mergeCell ref="D2050:D2054"/>
    <mergeCell ref="L2050:L2054"/>
    <mergeCell ref="D2055:D2059"/>
    <mergeCell ref="L2055:L2059"/>
    <mergeCell ref="D2062:D2064"/>
    <mergeCell ref="L2062:L2064"/>
    <mergeCell ref="D2066:D2071"/>
    <mergeCell ref="L2066:L2071"/>
    <mergeCell ref="D2075:D2076"/>
    <mergeCell ref="L2075:L2076"/>
    <mergeCell ref="D2077:D2078"/>
    <mergeCell ref="L2077:L2078"/>
    <mergeCell ref="D2080:D2081"/>
    <mergeCell ref="L2080:L2081"/>
    <mergeCell ref="D2083:D2087"/>
    <mergeCell ref="L2083:L2087"/>
    <mergeCell ref="D2091:D2092"/>
    <mergeCell ref="L2091:L2092"/>
    <mergeCell ref="D2093:D2094"/>
    <mergeCell ref="L2093:L2094"/>
    <mergeCell ref="D2095:D2100"/>
    <mergeCell ref="L2095:L2100"/>
    <mergeCell ref="D2102:D2107"/>
    <mergeCell ref="L2102:L2107"/>
    <mergeCell ref="D2109:D2116"/>
    <mergeCell ref="L2109:L2116"/>
    <mergeCell ref="D2118:D2119"/>
    <mergeCell ref="L2118:L2119"/>
    <mergeCell ref="D2120:D2125"/>
    <mergeCell ref="L2120:L2125"/>
    <mergeCell ref="D2126:D2129"/>
    <mergeCell ref="L2126:L2129"/>
    <mergeCell ref="D2132:D2133"/>
    <mergeCell ref="L2132:L2133"/>
    <mergeCell ref="D2135:D2137"/>
    <mergeCell ref="L2135:L2137"/>
    <mergeCell ref="D2138:D2140"/>
    <mergeCell ref="L2138:L2140"/>
    <mergeCell ref="D2141:D2146"/>
    <mergeCell ref="L2141:L2146"/>
    <mergeCell ref="D2147:D2152"/>
    <mergeCell ref="L2147:L2152"/>
    <mergeCell ref="D2154:D2157"/>
    <mergeCell ref="L2154:L2157"/>
    <mergeCell ref="D2158:D2161"/>
    <mergeCell ref="L2158:L2161"/>
    <mergeCell ref="D2162:D2165"/>
    <mergeCell ref="L2162:L2165"/>
    <mergeCell ref="D2166:D2170"/>
    <mergeCell ref="L2166:L2170"/>
    <mergeCell ref="D2171:D2173"/>
    <mergeCell ref="L2171:L2173"/>
    <mergeCell ref="D2175:D2177"/>
    <mergeCell ref="L2175:L2177"/>
    <mergeCell ref="D2178:D2180"/>
    <mergeCell ref="L2178:L2180"/>
    <mergeCell ref="D2181:D2186"/>
    <mergeCell ref="L2181:L2186"/>
    <mergeCell ref="D2187:D2192"/>
    <mergeCell ref="L2187:L2192"/>
    <mergeCell ref="D2193:D2198"/>
    <mergeCell ref="L2193:L2198"/>
    <mergeCell ref="D2199:D2204"/>
    <mergeCell ref="L2199:L2204"/>
    <mergeCell ref="D2205:D2208"/>
    <mergeCell ref="L2205:L2208"/>
    <mergeCell ref="D2209:D2214"/>
    <mergeCell ref="L2209:L2214"/>
    <mergeCell ref="D2215:D2220"/>
    <mergeCell ref="L2215:L2220"/>
    <mergeCell ref="D2221:D2226"/>
    <mergeCell ref="L2221:L2226"/>
    <mergeCell ref="D2227:D2231"/>
    <mergeCell ref="L2227:L2231"/>
    <mergeCell ref="D2232:D2237"/>
    <mergeCell ref="L2232:L2237"/>
    <mergeCell ref="D2238:D2243"/>
    <mergeCell ref="L2238:L2243"/>
    <mergeCell ref="D2244:D2248"/>
    <mergeCell ref="L2244:L2248"/>
    <mergeCell ref="D2249:D2254"/>
    <mergeCell ref="L2249:L2254"/>
    <mergeCell ref="D2255:D2258"/>
    <mergeCell ref="L2255:L2258"/>
    <mergeCell ref="D2260:D2263"/>
    <mergeCell ref="L2260:L2263"/>
    <mergeCell ref="D2269:D2270"/>
    <mergeCell ref="L2269:L2270"/>
    <mergeCell ref="D2272:D2274"/>
    <mergeCell ref="L2272:L2274"/>
    <mergeCell ref="D2275:D2276"/>
    <mergeCell ref="L2275:L2276"/>
    <mergeCell ref="D2278:D2281"/>
    <mergeCell ref="L2278:L2281"/>
    <mergeCell ref="D2286:D2287"/>
    <mergeCell ref="L2286:L2287"/>
    <mergeCell ref="D2289:D2291"/>
    <mergeCell ref="L2289:L2291"/>
    <mergeCell ref="D2296:D2298"/>
    <mergeCell ref="L2296:L2298"/>
    <mergeCell ref="D2300:D2302"/>
    <mergeCell ref="L2300:L2302"/>
    <mergeCell ref="D2303:D2304"/>
    <mergeCell ref="L2303:L2304"/>
    <mergeCell ref="D2305:D2306"/>
    <mergeCell ref="L2305:L2306"/>
    <mergeCell ref="D2307:D2308"/>
    <mergeCell ref="L2307:L2308"/>
    <mergeCell ref="D2337:D2338"/>
    <mergeCell ref="L2337:L2338"/>
    <mergeCell ref="D2309:D2310"/>
    <mergeCell ref="L2309:L2310"/>
    <mergeCell ref="D2314:D2315"/>
    <mergeCell ref="L2314:L2315"/>
    <mergeCell ref="D2325:D2326"/>
    <mergeCell ref="L2325:L2326"/>
    <mergeCell ref="D2327:D2328"/>
    <mergeCell ref="L2327:L2328"/>
    <mergeCell ref="D2329:D2332"/>
    <mergeCell ref="L2329:L2332"/>
  </mergeCells>
  <dataValidations count="98">
    <dataValidation type="whole" operator="lessThanOrEqual" allowBlank="1" showErrorMessage="1" errorTitle="Неверно" error="Заказ не может быть больше Наличия" sqref="X2336 X2325:X2326 X2322:X2323 X2319:X2320 X2316 X2313:X2314 X2310:X2311 X2305:X2308 X2303 X2299 X2293:X2296 X2291 X2284:X2285 X2277 X2274 X2268:X2269 X2264:X2265 X2258 X2254 X2252 X2243 X2230:X2231 X2226 X2220 X2208 X2186 X2180:X2181 X2173:X2175 X2168:X2171 X2161:X2162 X2158 X2153:X2156 X2151 X2142 X2138 X2134 X2130:X2131 X2124:X2125 X2118:X2119 X2115 X2113 X2107:X2108 X2103 X2101 X2093:X2094 X2089 X2087 X2082 X2072:X2079 X2064:X2065 X2061:X2062 X2059 X2052:X2054 X2048:X2050 X2041:X2044 X2024 X2015:X2021 X2004:X2012 X1995:X1999 X1991:X1992 X1988 X1984:X1985 X1978:X1980 X1968:X1976 X1961:X1965 X1956 X1944:X1945 X1940 X1923:X1927 X1920:X1921 X1916 X1914 X1909:X1911 X1904:X1907 X1902 X1892:X1893 X1885:X1887 X1873 X1863:X1867 X1860:X1861 X1857 X1853 X1848:X1850 X1844:X1846 X1842 X1836:X1838 X1830:X1831 X1825 X1821 X1819 X1817 X1812 X1808 X1806 X1800:X1804 X1792:X1796 X1784:X1790 X1781:X1782 X1777:X1778 X1771:X1772 X1761 X1753:X1756 X1751 X1744:X1749 X1742 X1739 X1737 X1733:X1734 X1729:X1730 X1718 X1705 X1666:X1670 X1662:X1664 X1658 X1656 X1653 X1645:X1646 X1639 X1628:X1630 X1626 X1623 X1617 X1613:X1614 X1608:X1610 X1605 X1590:X1591 X1586:X1588 X1572 X1569:X1570 X1555:X1556 X1550:X1551 X1542 X1520 X1518 X1510:X1511 X1492 X1490 X1487 X1481:X1483 X1473 X1459 X1444 X1438 X1407 X1404 X1378 X1374:X1375 X1359 X1306 X1285 X1282:X1283 X1276 X1272:X1274 X1269:X1270 X1263:X1264 X1259:X1261 X1256:X1257 X1253 X1248 X1241:X1242 X1237 X1231:X1232 X1227 X1222 X1211 X1205:X1207 X1200 X1196 X1189:X1190 X1186 X1181:X1182 X1177:X1178 X1171 X1168 X1163 X1158 X1146:X1147 X1138 X1133 X1128:X1129 X1126 X1120:X1124 X1115 X1107:X1108 X1104:X1105 X1099:X1101 X1084 X1076 X1068 X1061:X1063 X1058 X1056 X1036:X1037 X1025 X1021 X1016 X1013 X1007:X1008 X1005 X1001:X1003 X989 X977:X978 X971 X967:X968 X959:X960 X951:X952 X947 X945 X935:X936 X933 X928:X929 X919 X915 X911 X908 X903 X894:X895 X892 X886 X879:X880 X854 X845 X840 X811 X802 X773 X767 X756 X747 X744 X723 X714 X693:X694 X677 X660 X637 X596:X597 X594 X588:X589 X586 X577:X580 X571 X565:X568 X557 X533 X531 X524 X522 X495 X489:X490 X471 X453 X449 X437:X440 X433 X430 X427:X428 X425 X423 X421 X418 X405 X396:X398 X393 X384 X365 X358:X363 X350:X355 X335 X323 X283 X280:X281 X275:X278 X270:X272 X268 X264:X265 X262 X259 X256:X257 X249:X253 X246 X244 X237 X232 X230 X228 X224:X226 X221:X222 X218 X206:X207 X199:X201 X197 X193:X194 X189 X184 X174 X172 X169 X167 X160:X163 X157 X150 X142 X133:X134 X126:X130 X117:X124 X107 X95:X102 X92:X93 X84:X89 X71:X79 X65:X67 X62 X59:X60 X54:X56 X51 X37:X45 X34 X30:X31 X25 X16:X19 X13:X14 X4:X5" xr:uid="{00000000-0002-0000-0000-000000000000}">
      <formula1>1</formula1>
    </dataValidation>
    <dataValidation type="whole" operator="lessThanOrEqual" allowBlank="1" showErrorMessage="1" errorTitle="Неверно" error="Заказ не может быть больше Наличия" sqref="X2302 X2266 X2263 X2260 X2256 X2248 X2241:X2242 X2227 X2215 X2213 X2209 X2206 X2199 X2194 X2184 X2167 X2120 X2109 X2090:X2091 X2083 X2071 X2058 X2055 X2026 X2002 X1977 X1967 X1955 X1943 X1941 X1856 X1852 X1816 X1779 X1776 X1752 X1741 X1709 X1660 X1654 X1652 X1641 X1636 X1621 X1612 X1596 X1579 X1576 X1558 X1547:X1549 X1544 X1535 X1532 X1522 X1519 X1515 X1512 X1494 X1485 X1472 X1406 X1396 X1381 X1357 X1338 X1336 X1329 X1322 X1311 X1307 X1301 X1284 X1280 X1255 X1251 X1249 X1245 X1240 X1238 X1235 X1233 X1228 X1223 X1221 X1219 X1216 X1214 X1202:X1203 X1185 X1173 X1169 X1166 X1161 X1159 X1149:X1151 X1140:X1141 X1134 X1125 X1097:X1098 X1092 X1078 X1074:X1075 X1070 X1067 X1044 X1033 X1019 X1017 X1014 X1011 X1009 X998 X996 X994 X992 X990 X986 X984 X982 X961 X956 X954 X949 X944 X938 X934 X930 X922 X917 X909 X906 X900:X901 X885 X876:X877 X855 X841 X809 X804 X788 X782 X768 X743 X724:X725 X720 X706 X655 X652 X593 X575 X555 X552 X540 X535 X532 X525 X514:X515 X511 X508:X509 X502 X498 X484 X481 X478 X466 X444:X445 X434 X415 X401 X399 X394 X378 X357 X345 X288 X284 X254 X212 X198 X177 X165 X156 X148 X114:X115 X112 X103 X94 X68 X50 X6:X7" xr:uid="{00000000-0002-0000-0000-000002000000}">
      <formula1>4</formula1>
    </dataValidation>
    <dataValidation type="whole" operator="lessThanOrEqual" allowBlank="1" showErrorMessage="1" errorTitle="Неверно" error="Заказ не может быть больше Наличия" sqref="X8 X2338 X2328 X2317 X2312 X2270 X2257 X2250 X2245 X2239 X2232 X2211 X2204 X2197 X2188:X2189 X2182 X2176:X2177 X2159 X2126 X2110 X2099 X2096 X2070 X2057 X2035 X2003 X2001 X1966 X1960 X1954 X1951:X1952 X1942 X1939 X1933 X1930 X1901 X1899 X1894 X1888 X1881 X1872 X1859 X1843 X1829 X1827 X1797 X1758 X1721 X1686 X1661 X1651 X1638 X1620 X1601 X1593 X1581 X1571 X1553 X1546 X1541 X1536 X1488 X1478 X1471 X1456:X1458 X1445 X1437 X1423 X1412 X1350 X1344 X1333 X1305 X1287 X1277:X1278 X1243 X1209 X1174 X1142 X1139 X1135 X1103 X1060 X1051 X1049 X999 X987 X969 X964:X965 X957:X958 X953 X940 X937 X925 X905 X897:X898 X871 X850 X846 X779 X766 X716 X712 X702 X690 X687:X688 X685 X676 X673 X665 X584 X559 X549 X534 X512 X501 X493:X494 X491 X487 X483 X479 X477 X474 X464 X447 X417 X375 X372:X373 X356 X346 X343 X340 X338 X330 X286 X220 X215:X216 X213 X210 X181 X176 X158 X132 X83 X70 X63 X33 X28 X11" xr:uid="{00000000-0002-0000-0000-000004000000}">
      <formula1>5</formula1>
    </dataValidation>
    <dataValidation type="whole" operator="lessThanOrEqual" allowBlank="1" showErrorMessage="1" errorTitle="Неверно" error="Заказ не может быть больше Наличия" sqref="X9 X2337 X2334 X2330:X2332 X2324 X2318 X2309 X2297:X2298 X2292 X2287:X2289 X2282:X2283 X2278 X2276 X2271:X2273 X2267 X2259 X2255 X2253 X2237 X2229 X2214 X2192 X2178 X2172 X2164:X2165 X2160 X2157 X2152 X2150 X2143 X2140 X2137 X2135 X2132 X2129 X2117 X2111 X2106 X2104 X2102 X2100 X2095 X2088 X2080 X2063 X2060 X2056 X2047 X2045 X2040 X2031 X2029 X2025 X2023 X2013:X2014 X2000 X1993:X1994 X1989:X1990 X1987 X1981 X1937:X1938 X1931 X1922 X1919 X1915 X1912:X1913 X1908 X1903 X1898 X1880 X1862 X1854:X1855 X1851 X1839:X1841 X1826 X1807 X1805 X1791 X1759 X1743 X1738 X1736 X1725 X1719:X1720 X1715 X1696 X1665 X1659 X1640 X1637 X1633 X1624:X1625 X1622 X1618 X1615:X1616 X1607 X1602:X1604 X1539 X1534 X1530 X1527 X1521 X1517 X1509 X1507 X1497:X1500 X1489 X1479:X1480 X1474:X1475 X1451:X1453 X1426 X1416 X1409 X1397 X1395 X1392 X1379 X1376 X1372 X1358 X1353 X1337 X1332 X1308 X1292 X1289 X1275 X1271 X1262 X1258 X1252 X1246:X1247 X1236 X1230 X1226 X1217:X1218 X1212 X1208 X1204 X1201 X1197:X1199 X1191:X1192 X1183 X1179 X1176 X1172 X1167 X1162 X1157 X1152 X1148 X1137 X1132 X1127 X1119 X1114 X1110 X1106 X1094 X1090:X1091 X1088 X1085:X1086 X1080:X1081 X1077 X1072:X1073 X1069 X1064 X1057 X1055 X1052 X1048 X1043 X1039 X1035 X1032 X1028 X1022 X1020 X1012 X1006 X997 X993 X988 X985 X980:X981 X976 X972:X974 X966 X962:X963 X948 X941:X942 X931:X932 X923:X924 X920 X918 X916 X904 X902 X899 X896 X890:X891 X887:X888 X881:X883 X878 X870 X863 X851 X829 X827 X774:X776 X762 X746 X737 X717:X718 X715 X713 X710 X675 X663:X664 X649 X595 X587 X585 X576 X570 X564 X560:X562 X558 X551 X543 X541 X523 X513 X505 X500 X497 X486 X476 X472 X470 X467:X468 X463 X461 X452 X446 X442 X436 X429 X426 X424 X420 X402 X395 X377 X374 X368 X366 X364 X349 X309 X307 X289 X287 X273:X274 X269 X263 X260:X261 X258 X245 X241:X243 X239 X233:X236 X229 X223 X219 X211 X208 X202 X190:X192 X188 X185 X179 X175 X173 X170 X164 X159 X155 X151:X153 X135 X131 X125 X116 X113 X108:X111 X80 X64 X57 X53 X46:X48 X35:X36 X29 X27 X24 X21 X12" xr:uid="{00000000-0002-0000-0000-000005000000}">
      <formula1>2</formula1>
    </dataValidation>
    <dataValidation type="whole" operator="lessThanOrEqual" allowBlank="1" showErrorMessage="1" errorTitle="Неверно" error="Заказ не может быть больше Наличия" sqref="X10 X2335 X2327 X2321 X2315 X2304 X2300:X2301 X2286 X2280:X2281 X2275 X2249 X2244 X2238 X2228 X2225 X2219 X2205 X2198 X2193 X2190:X2191 X2187 X2185 X2179 X2166 X2163 X2144:X2149 X2141 X2139 X2136 X2133 X2116 X2114 X2112 X2105 X2081 X2051 X2046 X2039 X2022 X1986 X1982:X1983 X1957 X1936 X1932 X1928 X1917:X1918 X1897 X1879 X1874 X1847 X1832:X1835 X1820 X1818 X1815 X1783 X1773:X1774 X1770 X1765 X1757 X1750 X1740 X1735 X1726 X1716 X1701 X1699 X1691 X1657 X1655 X1647 X1644 X1627 X1619 X1606 X1600 X1585 X1582:X1583 X1580 X1554 X1552 X1543 X1540 X1537:X1538 X1529 X1523 X1506 X1486 X1476 X1463 X1418 X1403 X1399 X1373 X1371 X1334 X1293 X1291 X1286 X1281 X1254 X1225 X1213 X1210 X1195 X1187:X1188 X1180 X1175 X1170 X1164 X1156 X1145 X1143 X1118 X1113 X1109 X1093 X1089 X1087 X1082:X1083 X1079 X1071 X1053 X1047 X1040 X1038 X1034 X1031 X1029 X1027 X1024 X1004 X1000 X979 X975 X970 X955 X950 X946 X939 X927 X921 X912 X910 X907 X893 X889 X884 X875 X860:X862 X849 X835 X822 X797 X772 X764:X765 X757:X759 X753 X742 X736 X730 X709 X707 X705 X700 X698 X695 X682 X666 X662 X659 X650 X648 X603 X590:X592 X581 X569 X563 X550 X539 X537 X526:X527 X496 X482 X475 X469 X450 X448 X441 X435 X431:X432 X422 X406 X403 X400 X387 X383 X367 X336 X325 X301 X282 X267 X247:X248 X240 X238 X231 X227 X217 X214 X209 X203:X205 X195:X196 X186:X187 X183 X180 X178 X171 X166 X154 X145 X141 X91 X82 X61 X52 X49 X32 X22:X23 X20 X15" xr:uid="{00000000-0002-0000-0000-000006000000}">
      <formula1>3</formula1>
    </dataValidation>
    <dataValidation type="whole" operator="lessThanOrEqual" allowBlank="1" showErrorMessage="1" errorTitle="Неверно" error="Заказ не может быть больше Наличия" sqref="X26 X1767 X1684 X1675 X1413 X853 X783 X658 X607 X298" xr:uid="{00000000-0002-0000-0000-000016000000}">
      <formula1>22</formula1>
    </dataValidation>
    <dataValidation type="whole" operator="lessThanOrEqual" allowBlank="1" showErrorMessage="1" errorTitle="Неверно" error="Заказ не может быть больше Наличия" sqref="X58 X2233 X2201 X2122 X2069 X1877 X1687 X1559 X1470 X1461 X1427 X1415 X1401 X1341 X856 X832 X726 X669 X630 X306 X279" xr:uid="{00000000-0002-0000-0000-000036000000}">
      <formula1>15</formula1>
    </dataValidation>
    <dataValidation type="whole" operator="lessThanOrEqual" allowBlank="1" showErrorMessage="1" errorTitle="Неверно" error="Заказ не может быть больше Наличия" sqref="X69 X2333 X2261 X2221 X2207 X2203 X2128 X1958 X1934:X1935 X1900 X1889 X1882 X1868 X1828 X1813 X1798 X1762 X1717 X1690 X1678 X1635 X1611 X1594:X1595 X1592 X1577 X1574 X1567 X1508 X1491 X1477 X1460 X1455 X1449:X1450 X1429 X1421 X1410 X1387 X1384 X1320 X1312 X1295 X1267 X1244 X1234 X1229 X1224 X1165 X1160 X1153 X1136 X1116 X1102 X1054 X1046 X1041 X1023 X1018 X1015 X1010 X983 X865 X857 X819 X815 X798 X789 X771 X740 X731 X692 X672 X670 X651 X556 X547 X544:X545 X542 X528 X519:X520 X507 X504 X492 X473 X455 X409 X381:X382 X371 X337 X285 X182 X140" xr:uid="{00000000-0002-0000-0000-000041000000}">
      <formula1>7</formula1>
    </dataValidation>
    <dataValidation type="whole" operator="lessThanOrEqual" allowBlank="1" showErrorMessage="1" errorTitle="Неверно" error="Заказ не может быть больше Наличия" sqref="X81 X2067 X2037:X2038 X2028 X1947 X1871 X1869 X1764 X1708 X1643 X1513 X1466 X1419 X1390 X1363 X867 X852 X828 X801 X703 X638 X538 X458 X341 X331 X105" xr:uid="{00000000-0002-0000-0000-00004D000000}">
      <formula1>12</formula1>
    </dataValidation>
    <dataValidation type="whole" operator="lessThanOrEqual" allowBlank="1" showErrorMessage="1" errorTitle="Неверно" error="Заказ не может быть больше Наличия" sqref="X90 X1394 X1346 X806 X741" xr:uid="{00000000-0002-0000-0000-000056000000}">
      <formula1>30</formula1>
    </dataValidation>
    <dataValidation type="whole" operator="lessThanOrEqual" allowBlank="1" showErrorMessage="1" errorTitle="Неверно" error="Заказ не может быть больше Наличия" sqref="X104" xr:uid="{00000000-0002-0000-0000-000064000000}">
      <formula1>61</formula1>
    </dataValidation>
    <dataValidation type="whole" operator="lessThanOrEqual" allowBlank="1" showErrorMessage="1" errorTitle="Неверно" error="Заказ не может быть больше Наличия" sqref="X106 X803" xr:uid="{00000000-0002-0000-0000-000066000000}">
      <formula1>33</formula1>
    </dataValidation>
    <dataValidation type="whole" operator="lessThanOrEqual" allowBlank="1" showErrorMessage="1" errorTitle="Неверно" error="Заказ не может быть больше Наличия" sqref="X136 X2224 X1731 X1683 X1650 X1642 X1578 X1575 X1505 X1405 X1364 X1331 X817 X814 X784 X680 X667 X339" xr:uid="{00000000-0002-0000-0000-000084000000}">
      <formula1>13</formula1>
    </dataValidation>
    <dataValidation type="whole" operator="lessThanOrEqual" allowBlank="1" showErrorMessage="1" errorTitle="Неверно" error="Заказ не может быть больше Наличия" sqref="X137 X2223 X1695 X1671 X1433 X1424 X1389 X1382 X1365 X1342 X807 X697 X332 X293" xr:uid="{00000000-0002-0000-0000-000085000000}">
      <formula1>18</formula1>
    </dataValidation>
    <dataValidation type="whole" operator="lessThanOrEqual" allowBlank="1" showErrorMessage="1" errorTitle="Неверно" error="Заказ не может быть больше Наличия" sqref="X138 X1713 X1689 X1598 X1327:X1328 X1324 X843 X830 X823 X646 X296" xr:uid="{00000000-0002-0000-0000-000086000000}">
      <formula1>21</formula1>
    </dataValidation>
    <dataValidation type="whole" operator="lessThanOrEqual" allowBlank="1" showErrorMessage="1" errorTitle="Неверно" error="Заказ не может быть больше Наличия" sqref="X139 X1680" xr:uid="{00000000-0002-0000-0000-000087000000}">
      <formula1>55</formula1>
    </dataValidation>
    <dataValidation type="whole" operator="lessThanOrEqual" allowBlank="1" showErrorMessage="1" errorTitle="Неверно" error="Заказ не может быть больше Наличия" sqref="X143 X2290 X2279 X2251 X2240 X2236 X2217 X2127 X2027 X1946 X1929 X1858 X1824 X1814 X1780 X1728 X1700 X1698 X1692 X1631:X1632 X1584 X1573 X1568 X1564:X1565 X1545 X1531 X1528 X1525 X1495 X1484 X1468 X1443 X1425 X1422 X1417 X1398 X1391 X1388 X1380 X1377 X1369 X1366 X1360 X1356 X1317 X1309 X1294 X1290 X1288 X1279 X1250 X1239 X1220 X1215 X1193:X1194 X1184 X1144 X1130 X1117 X1065:X1066 X1059 X1042 X1030 X1026 X995 X991 X943 X926 X913:X914 X872:X873 X859 X842 X787 X760 X745 X735 X729 X719 X711 X701 X696 X601 X553 X536 X529 X516:X517 X510 X503 X485 X465 X456 X454 X451 X419 X416 X411 X379 X369:X370 X347 X344 X327 X305 X291 X147" xr:uid="{00000000-0002-0000-0000-00008B000000}">
      <formula1>6</formula1>
    </dataValidation>
    <dataValidation type="whole" operator="lessThanOrEqual" allowBlank="1" showErrorMessage="1" errorTitle="Неверно" error="Заказ не может быть больше Наличия" sqref="X144 X2329 X2262 X2218 X2216 X2196 X2098 X2086 X2084 X2034 X2030 X1959 X1895 X1890 X1884 X1822 X1799 X1775 X1724 X1710 X1707 X1557 X1526 X1514 X1465 X1435:X1436 X1411 X1408 X1402 X1362 X1354 X1347 X1313 X1303 X1268 X1155 X1111 X1050 X1045 X864 X820 X761 X691 X642 X572 X554 X530 X521 X518 X506 X459 X443 X412 X407:X408 X385 X329 X299 X255" xr:uid="{00000000-0002-0000-0000-00008C000000}">
      <formula1>8</formula1>
    </dataValidation>
    <dataValidation type="whole" operator="lessThanOrEqual" allowBlank="1" showErrorMessage="1" errorTitle="Неверно" error="Заказ не может быть больше Наличия" sqref="X146 X2246:X2247 X2235 X2212 X2195 X2183 X2123 X2092 X2085 X2066 X2036 X1896 X1891 X1769 X1714 X1706 X1704 X1697 X1674 X1597 X1566 X1561:X1562 X1533 X1516 X1335 X1325:X1326 X1304 X1265 X1112 X868 X848 X825 X812 X785 X728 X699 X674 X668 X600 X583 X574 X499 X480 X460 X413:X414 X410 X404 X388:X391 X376 X342 X333:X334" xr:uid="{00000000-0002-0000-0000-00008E000000}">
      <formula1>9</formula1>
    </dataValidation>
    <dataValidation type="whole" operator="lessThanOrEqual" allowBlank="1" showErrorMessage="1" errorTitle="Неверно" error="Заказ не может быть больше Наличия" sqref="X149 X2121 X2097 X2033 X1953 X1950 X1823 X1766 X1727 X1693 X1648 X1589 X1469 X1464 X1448 X1432 X1430 X1420 X1351 X1316 X1300 X1096 X838 X813 X750 X733:X734 X681 X582 X573 X548 X462 X392 X168" xr:uid="{00000000-0002-0000-0000-000091000000}">
      <formula1>11</formula1>
    </dataValidation>
    <dataValidation type="whole" operator="lessThanOrEqual" allowBlank="1" showErrorMessage="1" errorTitle="Неверно" error="Заказ не может быть больше Наличия" sqref="X266 X1649 X1431 X1296 X844 X727 X654 X328 X300" xr:uid="{00000000-0002-0000-0000-000006010000}">
      <formula1>23</formula1>
    </dataValidation>
    <dataValidation type="whole" operator="lessThanOrEqual" allowBlank="1" showErrorMessage="1" errorTitle="Неверно" error="Заказ не может быть больше Наличия" sqref="X290 X1723 X1679 X780 X754 X722 X297" xr:uid="{00000000-0002-0000-0000-00001E010000}">
      <formula1>26</formula1>
    </dataValidation>
    <dataValidation type="whole" operator="lessThanOrEqual" allowBlank="1" showErrorMessage="1" errorTitle="Неверно" error="Заказ не может быть больше Наличия" sqref="X292" xr:uid="{00000000-0002-0000-0000-000020010000}">
      <formula1>642</formula1>
    </dataValidation>
    <dataValidation type="whole" operator="lessThanOrEqual" allowBlank="1" showErrorMessage="1" errorTitle="Неверно" error="Заказ не может быть больше Наличия" sqref="X294" xr:uid="{00000000-0002-0000-0000-000022010000}">
      <formula1>272</formula1>
    </dataValidation>
    <dataValidation type="whole" operator="lessThanOrEqual" allowBlank="1" showErrorMessage="1" errorTitle="Неверно" error="Заказ не может быть больше Наличия" sqref="X295 X1768 X1502 X1446:X1447 X869 X826 X821 X800 X794 X683 X488" xr:uid="{00000000-0002-0000-0000-000023010000}">
      <formula1>20</formula1>
    </dataValidation>
    <dataValidation type="whole" operator="lessThanOrEqual" allowBlank="1" showErrorMessage="1" errorTitle="Неверно" error="Заказ не может быть больше Наличия" sqref="X302 X2202 X1883 X1876 X1763 X1732 X1722 X1682 X1462 X1454 X1367 X1355 X1339 X1310 X1266 X1095 X818 X777 X755 X752 X732 X689 X679 X457 X380" xr:uid="{00000000-0002-0000-0000-00002A010000}">
      <formula1>14</formula1>
    </dataValidation>
    <dataValidation type="whole" operator="lessThanOrEqual" allowBlank="1" showErrorMessage="1" errorTitle="Неверно" error="Заказ не может быть больше Наличия" sqref="X303 X2222 X2068 X1811 X1711 X1702 X1685 X1599 X1524 X1493 X1467 X1440 X1383 X1348 X1318 X1131 X866 X837 X791 X786 X763 X678 X671 X661 X606" xr:uid="{00000000-0002-0000-0000-00002B010000}">
      <formula1>16</formula1>
    </dataValidation>
    <dataValidation type="whole" operator="lessThanOrEqual" allowBlank="1" showErrorMessage="1" errorTitle="Неверно" error="Заказ не может быть больше Наличия" sqref="X304 X2210 X2200 X2032 X1878 X1875 X1760 X1496 X1441:X1442 X1414 X1393 X1340 X1330 X1321 X1319 X1302 X1154 X847 X824 X816 X810 X796 X739 X721 X704 X686 X604 X546 X386 X308" xr:uid="{00000000-0002-0000-0000-00002C010000}">
      <formula1>10</formula1>
    </dataValidation>
    <dataValidation type="whole" operator="lessThanOrEqual" allowBlank="1" showErrorMessage="1" errorTitle="Неверно" error="Заказ не может быть больше Наличия" sqref="X310" xr:uid="{00000000-0002-0000-0000-000032010000}">
      <formula1>724</formula1>
    </dataValidation>
    <dataValidation type="whole" operator="lessThanOrEqual" allowBlank="1" showErrorMessage="1" errorTitle="Неверно" error="Заказ не может быть больше Наличия" sqref="X311" xr:uid="{00000000-0002-0000-0000-000033010000}">
      <formula1>1124</formula1>
    </dataValidation>
    <dataValidation type="whole" operator="lessThanOrEqual" allowBlank="1" showErrorMessage="1" errorTitle="Неверно" error="Заказ не может быть больше Наличия" sqref="X312" xr:uid="{00000000-0002-0000-0000-000034010000}">
      <formula1>98</formula1>
    </dataValidation>
    <dataValidation type="whole" operator="lessThanOrEqual" allowBlank="1" showErrorMessage="1" errorTitle="Неверно" error="Заказ не может быть больше Наличия" sqref="X313" xr:uid="{00000000-0002-0000-0000-000035010000}">
      <formula1>241</formula1>
    </dataValidation>
    <dataValidation type="whole" operator="lessThanOrEqual" allowBlank="1" showErrorMessage="1" errorTitle="Неверно" error="Заказ не может быть больше Наличия" sqref="X314" xr:uid="{00000000-0002-0000-0000-000036010000}">
      <formula1>666</formula1>
    </dataValidation>
    <dataValidation type="whole" operator="lessThanOrEqual" allowBlank="1" showErrorMessage="1" errorTitle="Неверно" error="Заказ не может быть больше Наличия" sqref="X315" xr:uid="{00000000-0002-0000-0000-000037010000}">
      <formula1>1810</formula1>
    </dataValidation>
    <dataValidation type="whole" operator="lessThanOrEqual" allowBlank="1" showErrorMessage="1" errorTitle="Неверно" error="Заказ не может быть больше Наличия" sqref="X316" xr:uid="{00000000-0002-0000-0000-000038010000}">
      <formula1>943</formula1>
    </dataValidation>
    <dataValidation type="whole" operator="lessThanOrEqual" allowBlank="1" showErrorMessage="1" errorTitle="Неверно" error="Заказ не может быть больше Наличия" sqref="X317" xr:uid="{00000000-0002-0000-0000-000039010000}">
      <formula1>7366</formula1>
    </dataValidation>
    <dataValidation type="whole" operator="lessThanOrEqual" allowBlank="1" showErrorMessage="1" errorTitle="Неверно" error="Заказ не может быть больше Наличия" sqref="X318 X624" xr:uid="{00000000-0002-0000-0000-00003A010000}">
      <formula1>206</formula1>
    </dataValidation>
    <dataValidation type="whole" operator="lessThanOrEqual" allowBlank="1" showErrorMessage="1" errorTitle="Неверно" error="Заказ не может быть больше Наличия" sqref="X319" xr:uid="{00000000-0002-0000-0000-00003B010000}">
      <formula1>416</formula1>
    </dataValidation>
    <dataValidation type="whole" operator="lessThanOrEqual" allowBlank="1" showErrorMessage="1" errorTitle="Неверно" error="Заказ не может быть больше Наличия" sqref="X320" xr:uid="{00000000-0002-0000-0000-00003C010000}">
      <formula1>302</formula1>
    </dataValidation>
    <dataValidation type="whole" operator="lessThanOrEqual" allowBlank="1" showErrorMessage="1" errorTitle="Неверно" error="Заказ не может быть больше Наличия" sqref="X321" xr:uid="{00000000-0002-0000-0000-00003D010000}">
      <formula1>367</formula1>
    </dataValidation>
    <dataValidation type="whole" operator="lessThanOrEqual" allowBlank="1" showErrorMessage="1" errorTitle="Неверно" error="Заказ не может быть больше Наличия" sqref="X322" xr:uid="{00000000-0002-0000-0000-00003E010000}">
      <formula1>842</formula1>
    </dataValidation>
    <dataValidation type="whole" operator="lessThanOrEqual" allowBlank="1" showErrorMessage="1" errorTitle="Неверно" error="Заказ не может быть больше Наличия" sqref="X324" xr:uid="{00000000-0002-0000-0000-000040010000}">
      <formula1>279</formula1>
    </dataValidation>
    <dataValidation type="whole" operator="lessThanOrEqual" allowBlank="1" showErrorMessage="1" errorTitle="Неверно" error="Заказ не может быть больше Наличия" sqref="X326" xr:uid="{00000000-0002-0000-0000-000042010000}">
      <formula1>669</formula1>
    </dataValidation>
    <dataValidation type="whole" operator="lessThanOrEqual" allowBlank="1" showErrorMessage="1" errorTitle="Неверно" error="Заказ не может быть больше Наличия" sqref="X348 X615" xr:uid="{00000000-0002-0000-0000-000058010000}">
      <formula1>63</formula1>
    </dataValidation>
    <dataValidation type="whole" operator="lessThanOrEqual" allowBlank="1" showErrorMessage="1" errorTitle="Неверно" error="Заказ не может быть больше Наличия" sqref="X598 X805 X656 X627" xr:uid="{00000000-0002-0000-0000-000052020000}">
      <formula1>49</formula1>
    </dataValidation>
    <dataValidation type="whole" operator="lessThanOrEqual" allowBlank="1" showErrorMessage="1" errorTitle="Неверно" error="Заказ не может быть больше Наличия" sqref="X599" xr:uid="{00000000-0002-0000-0000-000053020000}">
      <formula1>46</formula1>
    </dataValidation>
    <dataValidation type="whole" operator="lessThanOrEqual" allowBlank="1" showErrorMessage="1" errorTitle="Неверно" error="Заказ не может быть больше Наличия" sqref="X602 X1694 X790" xr:uid="{00000000-0002-0000-0000-000056020000}">
      <formula1>24</formula1>
    </dataValidation>
    <dataValidation type="whole" operator="lessThanOrEqual" allowBlank="1" showErrorMessage="1" errorTitle="Неверно" error="Заказ не может быть больше Наличия" sqref="X605 X1504 X1314 X657" xr:uid="{00000000-0002-0000-0000-000059020000}">
      <formula1>29</formula1>
    </dataValidation>
    <dataValidation type="whole" operator="lessThanOrEqual" allowBlank="1" showErrorMessage="1" errorTitle="Неверно" error="Заказ не может быть больше Наличия" sqref="X608" xr:uid="{00000000-0002-0000-0000-00005C020000}">
      <formula1>1705</formula1>
    </dataValidation>
    <dataValidation type="whole" operator="lessThanOrEqual" allowBlank="1" showErrorMessage="1" errorTitle="Неверно" error="Заказ не может быть больше Наличия" sqref="X609" xr:uid="{00000000-0002-0000-0000-00005D020000}">
      <formula1>165</formula1>
    </dataValidation>
    <dataValidation type="whole" operator="lessThanOrEqual" allowBlank="1" showErrorMessage="1" errorTitle="Неверно" error="Заказ не может быть больше Наличия" sqref="X610" xr:uid="{00000000-0002-0000-0000-00005E020000}">
      <formula1>143</formula1>
    </dataValidation>
    <dataValidation type="whole" operator="lessThanOrEqual" allowBlank="1" showErrorMessage="1" errorTitle="Неверно" error="Заказ не может быть больше Наличия" sqref="X611" xr:uid="{00000000-0002-0000-0000-00005F020000}">
      <formula1>1275</formula1>
    </dataValidation>
    <dataValidation type="whole" operator="lessThanOrEqual" allowBlank="1" showErrorMessage="1" errorTitle="Неверно" error="Заказ не может быть больше Наличия" sqref="X612" xr:uid="{00000000-0002-0000-0000-000060020000}">
      <formula1>378</formula1>
    </dataValidation>
    <dataValidation type="whole" operator="lessThanOrEqual" allowBlank="1" showErrorMessage="1" errorTitle="Неверно" error="Заказ не может быть больше Наличия" sqref="X613 X647" xr:uid="{00000000-0002-0000-0000-000061020000}">
      <formula1>64</formula1>
    </dataValidation>
    <dataValidation type="whole" operator="lessThanOrEqual" allowBlank="1" showErrorMessage="1" errorTitle="Неверно" error="Заказ не может быть больше Наличия" sqref="X614" xr:uid="{00000000-0002-0000-0000-000062020000}">
      <formula1>113</formula1>
    </dataValidation>
    <dataValidation type="whole" operator="lessThanOrEqual" allowBlank="1" showErrorMessage="1" errorTitle="Неверно" error="Заказ не может быть больше Наличия" sqref="X616" xr:uid="{00000000-0002-0000-0000-000064020000}">
      <formula1>199</formula1>
    </dataValidation>
    <dataValidation type="whole" operator="lessThanOrEqual" allowBlank="1" showErrorMessage="1" errorTitle="Неверно" error="Заказ не может быть больше Наличия" sqref="X617" xr:uid="{00000000-0002-0000-0000-000065020000}">
      <formula1>217</formula1>
    </dataValidation>
    <dataValidation type="whole" operator="lessThanOrEqual" allowBlank="1" showErrorMessage="1" errorTitle="Неверно" error="Заказ не может быть больше Наличия" sqref="X618" xr:uid="{00000000-0002-0000-0000-000066020000}">
      <formula1>410</formula1>
    </dataValidation>
    <dataValidation type="whole" operator="lessThanOrEqual" allowBlank="1" showErrorMessage="1" errorTitle="Неверно" error="Заказ не может быть больше Наличия" sqref="X619" xr:uid="{00000000-0002-0000-0000-000067020000}">
      <formula1>70</formula1>
    </dataValidation>
    <dataValidation type="whole" operator="lessThanOrEqual" allowBlank="1" showErrorMessage="1" errorTitle="Неверно" error="Заказ не может быть больше Наличия" sqref="X620 X833 X799" xr:uid="{00000000-0002-0000-0000-000068020000}">
      <formula1>54</formula1>
    </dataValidation>
    <dataValidation type="whole" operator="lessThanOrEqual" allowBlank="1" showErrorMessage="1" errorTitle="Неверно" error="Заказ не может быть больше Наличия" sqref="X621" xr:uid="{00000000-0002-0000-0000-000069020000}">
      <formula1>159</formula1>
    </dataValidation>
    <dataValidation type="whole" operator="lessThanOrEqual" allowBlank="1" showErrorMessage="1" errorTitle="Неверно" error="Заказ не может быть больше Наличия" sqref="X622" xr:uid="{00000000-0002-0000-0000-00006A020000}">
      <formula1>109</formula1>
    </dataValidation>
    <dataValidation type="whole" operator="lessThanOrEqual" allowBlank="1" showErrorMessage="1" errorTitle="Неверно" error="Заказ не может быть больше Наличия" sqref="X623" xr:uid="{00000000-0002-0000-0000-00006B020000}">
      <formula1>88</formula1>
    </dataValidation>
    <dataValidation type="whole" operator="lessThanOrEqual" allowBlank="1" showErrorMessage="1" errorTitle="Неверно" error="Заказ не может быть больше Наличия" sqref="X625" xr:uid="{00000000-0002-0000-0000-00006D020000}">
      <formula1>119</formula1>
    </dataValidation>
    <dataValidation type="whole" operator="lessThanOrEqual" allowBlank="1" showErrorMessage="1" errorTitle="Неверно" error="Заказ не может быть больше Наличия" sqref="X626" xr:uid="{00000000-0002-0000-0000-00006E020000}">
      <formula1>300</formula1>
    </dataValidation>
    <dataValidation type="whole" operator="lessThanOrEqual" allowBlank="1" showErrorMessage="1" errorTitle="Неверно" error="Заказ не может быть больше Наличия" sqref="X628 X644" xr:uid="{00000000-0002-0000-0000-000070020000}">
      <formula1>94</formula1>
    </dataValidation>
    <dataValidation type="whole" operator="lessThanOrEqual" allowBlank="1" showErrorMessage="1" errorTitle="Неверно" error="Заказ не может быть больше Наличия" sqref="X629" xr:uid="{00000000-0002-0000-0000-000071020000}">
      <formula1>32</formula1>
    </dataValidation>
    <dataValidation type="whole" operator="lessThanOrEqual" allowBlank="1" showErrorMessage="1" errorTitle="Неверно" error="Заказ не может быть больше Наличия" sqref="X631 X1673" xr:uid="{00000000-0002-0000-0000-000073020000}">
      <formula1>35</formula1>
    </dataValidation>
    <dataValidation type="whole" operator="lessThanOrEqual" allowBlank="1" showErrorMessage="1" errorTitle="Неверно" error="Заказ не может быть больше Наличия" sqref="X632" xr:uid="{00000000-0002-0000-0000-000074020000}">
      <formula1>405</formula1>
    </dataValidation>
    <dataValidation type="whole" operator="lessThanOrEqual" allowBlank="1" showErrorMessage="1" errorTitle="Неверно" error="Заказ не может быть больше Наличия" sqref="X633" xr:uid="{00000000-0002-0000-0000-000075020000}">
      <formula1>126</formula1>
    </dataValidation>
    <dataValidation type="whole" operator="lessThanOrEqual" allowBlank="1" showErrorMessage="1" errorTitle="Неверно" error="Заказ не может быть больше Наличия" sqref="X634" xr:uid="{00000000-0002-0000-0000-000076020000}">
      <formula1>97</formula1>
    </dataValidation>
    <dataValidation type="whole" operator="lessThanOrEqual" allowBlank="1" showErrorMessage="1" errorTitle="Неверно" error="Заказ не может быть больше Наличия" sqref="X635" xr:uid="{00000000-0002-0000-0000-000077020000}">
      <formula1>100</formula1>
    </dataValidation>
    <dataValidation type="whole" operator="lessThanOrEqual" allowBlank="1" showErrorMessage="1" errorTitle="Неверно" error="Заказ не может быть больше Наличия" sqref="X636" xr:uid="{00000000-0002-0000-0000-000078020000}">
      <formula1>106</formula1>
    </dataValidation>
    <dataValidation type="whole" operator="lessThanOrEqual" allowBlank="1" showErrorMessage="1" errorTitle="Неверно" error="Заказ не может быть больше Наличия" sqref="X639 X1676 X858 X808" xr:uid="{00000000-0002-0000-0000-00007B020000}">
      <formula1>36</formula1>
    </dataValidation>
    <dataValidation type="whole" operator="lessThanOrEqual" allowBlank="1" showErrorMessage="1" errorTitle="Неверно" error="Заказ не может быть больше Наличия" sqref="X640" xr:uid="{00000000-0002-0000-0000-00007C020000}">
      <formula1>83</formula1>
    </dataValidation>
    <dataValidation type="whole" operator="lessThanOrEqual" allowBlank="1" showErrorMessage="1" errorTitle="Неверно" error="Заказ не может быть больше Наличия" sqref="X641" xr:uid="{00000000-0002-0000-0000-00007D020000}">
      <formula1>96</formula1>
    </dataValidation>
    <dataValidation type="whole" operator="lessThanOrEqual" allowBlank="1" showErrorMessage="1" errorTitle="Неверно" error="Заказ не может быть больше Наличия" sqref="X643" xr:uid="{00000000-0002-0000-0000-00007F020000}">
      <formula1>591</formula1>
    </dataValidation>
    <dataValidation type="whole" operator="lessThanOrEqual" allowBlank="1" showErrorMessage="1" errorTitle="Неверно" error="Заказ не может быть больше Наличия" sqref="X645" xr:uid="{00000000-0002-0000-0000-000081020000}">
      <formula1>104</formula1>
    </dataValidation>
    <dataValidation type="whole" operator="lessThanOrEqual" allowBlank="1" showErrorMessage="1" errorTitle="Неверно" error="Заказ не может быть больше Наличия" sqref="X653 X1434 X1345 X1323 X834" xr:uid="{00000000-0002-0000-0000-000089020000}">
      <formula1>27</formula1>
    </dataValidation>
    <dataValidation type="whole" operator="lessThanOrEqual" allowBlank="1" showErrorMessage="1" errorTitle="Неверно" error="Заказ не может быть больше Наличия" sqref="X684" xr:uid="{00000000-0002-0000-0000-0000A8020000}">
      <formula1>50</formula1>
    </dataValidation>
    <dataValidation type="whole" operator="lessThanOrEqual" allowBlank="1" showErrorMessage="1" errorTitle="Неверно" error="Заказ не может быть больше Наличия" sqref="X708" xr:uid="{00000000-0002-0000-0000-0000C0020000}">
      <formula1>39</formula1>
    </dataValidation>
    <dataValidation type="whole" operator="lessThanOrEqual" allowBlank="1" showErrorMessage="1" errorTitle="Неверно" error="Заказ не может быть больше Наличия" sqref="X738" xr:uid="{00000000-0002-0000-0000-0000DE020000}">
      <formula1>53</formula1>
    </dataValidation>
    <dataValidation type="whole" operator="lessThanOrEqual" allowBlank="1" showErrorMessage="1" errorTitle="Неверно" error="Заказ не может быть больше Наличия" sqref="X748 X2234 X1948 X1870 X1810 X1563 X1439 X1400 X1385 X1361 X1343" xr:uid="{00000000-0002-0000-0000-0000E8020000}">
      <formula1>19</formula1>
    </dataValidation>
    <dataValidation type="whole" operator="lessThanOrEqual" allowBlank="1" showErrorMessage="1" errorTitle="Неверно" error="Заказ не может быть больше Наличия" sqref="X749 X1712 X1688 X839" xr:uid="{00000000-0002-0000-0000-0000E9020000}">
      <formula1>28</formula1>
    </dataValidation>
    <dataValidation type="whole" operator="lessThanOrEqual" allowBlank="1" showErrorMessage="1" errorTitle="Неверно" error="Заказ не может быть больше Наличия" sqref="X751 X1672" xr:uid="{00000000-0002-0000-0000-0000EB020000}">
      <formula1>31</formula1>
    </dataValidation>
    <dataValidation type="whole" operator="lessThanOrEqual" allowBlank="1" showErrorMessage="1" errorTitle="Неверно" error="Заказ не может быть больше Наличия" sqref="X769 X1809 X1677" xr:uid="{00000000-0002-0000-0000-0000FD020000}">
      <formula1>37</formula1>
    </dataValidation>
    <dataValidation type="whole" operator="lessThanOrEqual" allowBlank="1" showErrorMessage="1" errorTitle="Неверно" error="Заказ не может быть больше Наличия" sqref="X770 X1315" xr:uid="{00000000-0002-0000-0000-0000FE020000}">
      <formula1>34</formula1>
    </dataValidation>
    <dataValidation type="whole" operator="lessThanOrEqual" allowBlank="1" showErrorMessage="1" errorTitle="Неверно" error="Заказ не может быть больше Наличия" sqref="X778" xr:uid="{00000000-0002-0000-0000-000006030000}">
      <formula1>47</formula1>
    </dataValidation>
    <dataValidation type="whole" operator="lessThanOrEqual" allowBlank="1" showErrorMessage="1" errorTitle="Неверно" error="Заказ не может быть больше Наличия" sqref="X781" xr:uid="{00000000-0002-0000-0000-000009030000}">
      <formula1>60</formula1>
    </dataValidation>
    <dataValidation type="whole" operator="lessThanOrEqual" allowBlank="1" showErrorMessage="1" errorTitle="Неверно" error="Заказ не может быть больше Наличия" sqref="X792" xr:uid="{00000000-0002-0000-0000-000014030000}">
      <formula1>48</formula1>
    </dataValidation>
    <dataValidation type="whole" operator="lessThanOrEqual" allowBlank="1" showErrorMessage="1" errorTitle="Неверно" error="Заказ не может быть больше Наличия" sqref="X793 X1949 X1703 X1634 X1560 X1503 X1501 X1428 X1386 X1368 X1352 X1349 X831" xr:uid="{00000000-0002-0000-0000-000015030000}">
      <formula1>17</formula1>
    </dataValidation>
    <dataValidation type="whole" operator="lessThanOrEqual" allowBlank="1" showErrorMessage="1" errorTitle="Неверно" error="Заказ не может быть больше Наличия" sqref="X795 X1681" xr:uid="{00000000-0002-0000-0000-000017030000}">
      <formula1>42</formula1>
    </dataValidation>
    <dataValidation type="whole" operator="lessThanOrEqual" allowBlank="1" showErrorMessage="1" errorTitle="Неверно" error="Заказ не может быть больше Наличия" sqref="X836" xr:uid="{00000000-0002-0000-0000-000040030000}">
      <formula1>45</formula1>
    </dataValidation>
    <dataValidation type="whole" operator="lessThanOrEqual" allowBlank="1" showErrorMessage="1" errorTitle="Неверно" error="Заказ не может быть больше Наличия" sqref="X874" xr:uid="{00000000-0002-0000-0000-000066030000}">
      <formula1>650</formula1>
    </dataValidation>
    <dataValidation type="whole" operator="lessThanOrEqual" allowBlank="1" showErrorMessage="1" errorTitle="Неверно" error="Заказ не может быть больше Наличия" sqref="X1297" xr:uid="{00000000-0002-0000-0000-00000D050000}">
      <formula1>62</formula1>
    </dataValidation>
    <dataValidation type="whole" operator="lessThanOrEqual" allowBlank="1" showErrorMessage="1" errorTitle="Неверно" error="Заказ не может быть больше Наличия" sqref="X1298" xr:uid="{00000000-0002-0000-0000-00000E050000}">
      <formula1>58</formula1>
    </dataValidation>
    <dataValidation type="whole" operator="lessThanOrEqual" allowBlank="1" showErrorMessage="1" errorTitle="Неверно" error="Заказ не может быть больше Наличия" sqref="X1299" xr:uid="{00000000-0002-0000-0000-00000F050000}">
      <formula1>43</formula1>
    </dataValidation>
    <dataValidation type="whole" operator="lessThanOrEqual" allowBlank="1" showErrorMessage="1" errorTitle="Неверно" error="Заказ не может быть больше Наличия" sqref="X1370" xr:uid="{00000000-0002-0000-0000-000056050000}">
      <formula1>25</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68" customWidth="1"/>
    <col min="2" max="3" width="31.75" style="68" customWidth="1"/>
    <col min="4" max="4" width="2.75" style="68" customWidth="1"/>
    <col min="5" max="5" width="35.75" style="69" customWidth="1"/>
    <col min="6" max="7" width="22.75" style="71" customWidth="1"/>
    <col min="8" max="8" width="2.75" style="69" customWidth="1"/>
    <col min="9" max="9" width="38.75" style="69" customWidth="1"/>
    <col min="10" max="11" width="16.75" style="71" customWidth="1"/>
    <col min="12" max="16384" width="9.1640625" style="68"/>
  </cols>
  <sheetData>
    <row r="1" spans="2:11" x14ac:dyDescent="0.45">
      <c r="E1" s="74" t="s">
        <v>3239</v>
      </c>
      <c r="F1" s="70"/>
      <c r="G1" s="75"/>
    </row>
    <row r="2" spans="2:11" x14ac:dyDescent="0.45">
      <c r="E2" s="72" t="s">
        <v>3240</v>
      </c>
      <c r="F2" s="76">
        <f>SUMPRODUCT(TDSheet!$Q$4:$Q$1048572,TDSheet!$X$4:$X$1048572)</f>
        <v>0</v>
      </c>
      <c r="G2" s="76"/>
      <c r="H2" s="77"/>
      <c r="I2" s="77"/>
      <c r="J2" s="78"/>
      <c r="K2" s="78"/>
    </row>
    <row r="3" spans="2:11" x14ac:dyDescent="0.45">
      <c r="B3" s="91"/>
      <c r="C3" s="91"/>
      <c r="E3" s="72" t="s">
        <v>3241</v>
      </c>
      <c r="F3" s="76" t="e">
        <f>SUMPRODUCT(TDSheet!#REF!,TDSheet!$X$4:$X$1048571)</f>
        <v>#REF!</v>
      </c>
      <c r="G3" s="76"/>
      <c r="H3" s="77"/>
      <c r="I3" s="77"/>
      <c r="J3" s="78"/>
      <c r="K3" s="78"/>
    </row>
    <row r="4" spans="2:11" x14ac:dyDescent="0.45">
      <c r="B4" s="89" t="s">
        <v>3238</v>
      </c>
      <c r="C4" s="90"/>
      <c r="E4" s="73" t="s">
        <v>3242</v>
      </c>
      <c r="F4" s="79" t="s">
        <v>3245</v>
      </c>
      <c r="G4" s="79" t="s">
        <v>3246</v>
      </c>
      <c r="H4" s="77"/>
      <c r="I4" s="79" t="s">
        <v>3247</v>
      </c>
      <c r="J4" s="79" t="s">
        <v>3248</v>
      </c>
      <c r="K4" s="79" t="s">
        <v>3246</v>
      </c>
    </row>
    <row r="5" spans="2:11" x14ac:dyDescent="0.45">
      <c r="B5" s="90"/>
      <c r="C5" s="90"/>
      <c r="E5" s="72" t="s">
        <v>93</v>
      </c>
      <c r="F5" s="76" t="e">
        <f>SUMPRODUCT(- -(TDSheet!$H$4:$H$1048569="Обувь"),TDSheet!#REF!,TDSheet!$X$4:$X$1048569)</f>
        <v>#REF!</v>
      </c>
      <c r="G5" s="76">
        <f>SUMIF(TDSheet!$H$4:$H$1048569,"Обувь",TDSheet!$X$4:$X$1048569)</f>
        <v>0</v>
      </c>
      <c r="H5" s="77"/>
      <c r="I5" s="80" t="s">
        <v>45</v>
      </c>
      <c r="J5" s="76" t="e">
        <f>SUMPRODUCT(- -(TDSheet!$K$4:$K$1048569="Мужчины"),TDSheet!#REF!,TDSheet!$X$4:$X$1048569)</f>
        <v>#REF!</v>
      </c>
      <c r="K5" s="76">
        <f>SUMIF(TDSheet!$K$4:$K$1048569,"Мужчины",TDSheet!$X$4:$X$1048569)</f>
        <v>0</v>
      </c>
    </row>
    <row r="6" spans="2:11" x14ac:dyDescent="0.45">
      <c r="B6" s="90"/>
      <c r="C6" s="90"/>
      <c r="E6" s="72" t="s">
        <v>27</v>
      </c>
      <c r="F6" s="76" t="e">
        <f>SUMPRODUCT(- -(TDSheet!$H$4:$H$1048569="Одежда"),TDSheet!#REF!,TDSheet!$X$4:$X$1048569)</f>
        <v>#REF!</v>
      </c>
      <c r="G6" s="76">
        <f>SUMIF(TDSheet!$H$4:$H$1048569,"Одежда",TDSheet!$X$4:$X$1048569)</f>
        <v>0</v>
      </c>
      <c r="H6" s="77"/>
      <c r="I6" s="80" t="s">
        <v>29</v>
      </c>
      <c r="J6" s="76" t="e">
        <f>SUMPRODUCT(- -(TDSheet!$K$4:$K$1048569="Женщины"),TDSheet!#REF!,TDSheet!$X$4:$X$1048569)</f>
        <v>#REF!</v>
      </c>
      <c r="K6" s="76">
        <f>SUMIF(TDSheet!$K$4:$K$1048569,"Женщины",TDSheet!$X$4:$X$1048569)</f>
        <v>0</v>
      </c>
    </row>
    <row r="7" spans="2:11" x14ac:dyDescent="0.45">
      <c r="B7" s="90"/>
      <c r="C7" s="90"/>
      <c r="E7" s="72" t="s">
        <v>69</v>
      </c>
      <c r="F7" s="76" t="e">
        <f>SUMPRODUCT(- -(TDSheet!$H$4:$H$1048569="Аксессуары"),TDSheet!#REF!,TDSheet!$X$4:$X$1048569)</f>
        <v>#REF!</v>
      </c>
      <c r="G7" s="76">
        <f>SUMIF(TDSheet!$H$4:$H$1048569,"Аксессуары",TDSheet!$X$4:$X$1048569)</f>
        <v>0</v>
      </c>
      <c r="H7" s="77"/>
      <c r="I7" s="80" t="s">
        <v>59</v>
      </c>
      <c r="J7" s="76" t="e">
        <f>SUMPRODUCT(- -(TDSheet!$K$4:$K$1048569="Дети"),TDSheet!#REF!,TDSheet!$X$4:$X$1048569)</f>
        <v>#REF!</v>
      </c>
      <c r="K7" s="76">
        <f>SUMIF(TDSheet!$K$4:$K$1048569,"Дети",TDSheet!$X$4:$X$1048569)</f>
        <v>0</v>
      </c>
    </row>
    <row r="8" spans="2:11" x14ac:dyDescent="0.45">
      <c r="B8" s="90"/>
      <c r="C8" s="90"/>
      <c r="E8" s="72" t="s">
        <v>3243</v>
      </c>
      <c r="F8" s="76" t="e">
        <f>SUMPRODUCT(- -(TDSheet!$H$4:$H$1048569="Спорт. Инвентарь"),TDSheet!#REF!,TDSheet!$X$4:$X$1048569)</f>
        <v>#REF!</v>
      </c>
      <c r="G8" s="76">
        <f>SUMIF(TDSheet!$H$4:$H$1048569,"Спорт. Инвентарь",TDSheet!$X$4:$X$1048569)</f>
        <v>0</v>
      </c>
      <c r="H8" s="77"/>
      <c r="I8" s="80" t="s">
        <v>71</v>
      </c>
      <c r="J8" s="76" t="e">
        <f>SUMPRODUCT(- -(TDSheet!$K$4:$K$1048569="Унисекс"),TDSheet!#REF!,TDSheet!$X$4:$X$1048569)</f>
        <v>#REF!</v>
      </c>
      <c r="K8" s="76">
        <f>SUMIF(TDSheet!$K$4:$K$1048569,"Унисекс",TDSheet!$X$4:$X$1048569)</f>
        <v>0</v>
      </c>
    </row>
    <row r="9" spans="2:11" x14ac:dyDescent="0.45">
      <c r="B9" s="90"/>
      <c r="C9" s="90"/>
      <c r="E9" s="72" t="s">
        <v>291</v>
      </c>
      <c r="F9" s="76" t="e">
        <f>SUMPRODUCT(- -(TDSheet!$H$4:$H$1048569="Сумки и рюкзаки"),TDSheet!#REF!,TDSheet!$X$4:$X$1048569)</f>
        <v>#REF!</v>
      </c>
      <c r="G9" s="76">
        <f>SUMIF(TDSheet!$H$4:$H$1048569,"Сумки и рюкзаки",TDSheet!$X$4:$X$1048569)</f>
        <v>0</v>
      </c>
      <c r="H9" s="77"/>
      <c r="I9" s="77"/>
      <c r="J9" s="78"/>
      <c r="K9" s="78"/>
    </row>
    <row r="10" spans="2:11" x14ac:dyDescent="0.45">
      <c r="B10" s="90"/>
      <c r="C10" s="90"/>
      <c r="E10" s="72" t="s">
        <v>3244</v>
      </c>
      <c r="F10" s="76" t="e">
        <f>SUM(F5:F9)</f>
        <v>#REF!</v>
      </c>
      <c r="G10" s="76">
        <f>SUM(G5:G9)</f>
        <v>0</v>
      </c>
      <c r="H10" s="77"/>
      <c r="I10" s="77"/>
      <c r="J10" s="78"/>
      <c r="K10" s="78"/>
    </row>
    <row r="11" spans="2:11" x14ac:dyDescent="0.45">
      <c r="B11" s="90"/>
      <c r="C11" s="90"/>
    </row>
    <row r="12" spans="2:11" x14ac:dyDescent="0.45">
      <c r="B12" s="90"/>
      <c r="C12" s="90"/>
    </row>
    <row r="13" spans="2:11" x14ac:dyDescent="0.45">
      <c r="B13" s="90"/>
      <c r="C13" s="90"/>
    </row>
    <row r="14" spans="2:11" x14ac:dyDescent="0.45">
      <c r="B14" s="90"/>
      <c r="C14" s="90"/>
    </row>
    <row r="15" spans="2:11" x14ac:dyDescent="0.45">
      <c r="B15" s="90"/>
      <c r="C15" s="90"/>
    </row>
    <row r="16" spans="2:11" x14ac:dyDescent="0.45">
      <c r="B16" s="91"/>
      <c r="C16" s="91"/>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2026-05-22T09:48:25Z</dcterms:created>
  <dcterms:modified xsi:type="dcterms:W3CDTF">2026-05-23T06:25:32Z</dcterms:modified>
</cp:coreProperties>
</file>