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591397C6-F065-423F-B41A-5AB1EC424EF2}"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TDSheet!$A$3:$X$2629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<sst xmlns="http://schemas.openxmlformats.org/spreadsheetml/2006/main" count="35078" uniqueCount="2570">
  <si>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</si>
  <si>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</si>
  <si>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</si>
  <si>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</si>
  <si>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</si>
  <si>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</si>
  <si>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</si>
  <si>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</si>
  <si>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</si>
  <si>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</si>
  <si>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</si>
  <si>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</si>
  <si>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</si>
  <si>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</si>
  <si>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</si>
  <si>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</si>
  <si>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</si>
  <si>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</si>
  <si>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</si>
  <si>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</si>
  <si>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</si>
  <si>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</si>
  <si>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</si>
  <si>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Levis</t>
  </si>
  <si>
    <t>Levi's Original GT SWEATPANTS EGRET</t>
  </si>
  <si>
    <t>A3743-0006</t>
  </si>
  <si>
    <t>Брюки</t>
  </si>
  <si>
    <t>Одежда</t>
  </si>
  <si>
    <t>Спортивный стиль</t>
  </si>
  <si>
    <t>Женщины</t>
  </si>
  <si>
    <t>Спортивные брюки для женщин Levis Women Gold Tab Sweatpants выполнены из 100% хлопка. Они идеально подходят для активного образа жизни и тренировок, а также для повседневной носки. Брюки имеют эластичный пояс со шнурком для регулировки посадки и удобные карманы. На брюках расположен логотип Levis Gold Tab. Модель выполнена в классическом стиле и позволяет свободно двигаться, обеспечивая комфорт во время любых физических упражнений. Они идеально сочетаются с толстовками, футболками и кроссовками. Спортивные брюки Levis Women Gold Tab Sweatpants станут превосходным выбором для динамичных женщин.</t>
  </si>
  <si>
    <t>белый</t>
  </si>
  <si>
    <t>100% хлопок</t>
  </si>
  <si>
    <t>EUR</t>
  </si>
  <si>
    <t>L</t>
  </si>
  <si>
    <t>Levi's Faux Leather Baggy Dad Jeans - Black</t>
  </si>
  <si>
    <t>A4414-0000</t>
  </si>
  <si>
    <t>Casual</t>
  </si>
  <si>
    <t>Брюки Levis Women Faux Leather Baggy Dad Pants - стильная и модная модель для женщин. Изготовлены из 100% полиэстера, что обеспечивает высокую прочность и долговечность изделия.
Эти брюки выполнены в стиле "бэгги", что придает им неповторимый вид и создает эффектный образ. Они имеют свободный покрой, который придает ощущение комфорта и свободы движений. Это очень актуально в повседневной жизни, когда важно чувствовать себя уверенно и свободно.
Брюки имеют фактурную поверхность, которая создает впечатление настоящей кожи. Однако, изготовлены они из полиэстера, что делает их более доступными и удобными в использовании. 
Модель имеет стандартную посадку на талии и застежку на молнию с пуговицей. Функциональные карманы добавляют практичность этим брюкам, а также позволяют хранить мелкие предметы в удобном доступе. 
Брюки Levis Women Faux Leather Baggy Dad Pants идеально сочетаются с различными верхами, такими как кардиганы, свитшоты или блузы. Они станут отличным дополнением к вашему гардеробу и позволят создавать стильные образы на каждый день.</t>
  </si>
  <si>
    <t>черный</t>
  </si>
  <si>
    <t>100% полиэстер</t>
  </si>
  <si>
    <t>US</t>
  </si>
  <si>
    <t>24/30</t>
  </si>
  <si>
    <t>25/30</t>
  </si>
  <si>
    <t>40-42</t>
  </si>
  <si>
    <t>25/32</t>
  </si>
  <si>
    <t>26/30</t>
  </si>
  <si>
    <t>27/30</t>
  </si>
  <si>
    <t>42-44</t>
  </si>
  <si>
    <t>27/32</t>
  </si>
  <si>
    <t>28/30</t>
  </si>
  <si>
    <t>28/32</t>
  </si>
  <si>
    <t>30/30</t>
  </si>
  <si>
    <t>30/32</t>
  </si>
  <si>
    <t>Levi's Original SWEATPANT POPPY RED</t>
  </si>
  <si>
    <t>A0937-0028</t>
  </si>
  <si>
    <t>Спортивные брюки</t>
  </si>
  <si>
    <t>Мужчины</t>
  </si>
  <si>
    <t>Флисовые штаны Levis Men Seasonal Sweatpants – это стильная и комфортная одежда для мужчин, созданная из высококачественного хлопкового материала. Штаны обладают мягкой и приятной на ощупь текстурой флиса, что делает их идеальными для прохладных дней.
Эти штаны от Levis были разработаны с учетом потребностей активного мужчины. Они обладают отличной посадкой и свободным кроем, что позволяет чувствовать себя в них комфортно как во время активных занятий, так и во время отдыха. Эластичный пояс с регулируемым шнурком обеспечивает надежную посадку и комфортную носку в течение всего дня. 
Флисовые брюки Levis Men Seasonal Sweatpants имеют накладной задний карнам и боковые карманы, где можно хранить мелкие предметы или погреть руки.
Они отлично сочетаются с другой одеждой и могут быть использованы как для повседневного ношения, так и для спортивных тренировок.
Если вы ищете качественные и стильные флисовые штаны, то Levis Men Seasonal Sweatpants – отличный выбор для вас. Они обеспечат вам комфорт и удобство.</t>
  </si>
  <si>
    <t>красный</t>
  </si>
  <si>
    <t>80% хлопок, 20% полиэстер</t>
  </si>
  <si>
    <t>XS</t>
  </si>
  <si>
    <t>S</t>
  </si>
  <si>
    <t>44-46</t>
  </si>
  <si>
    <t>M</t>
  </si>
  <si>
    <t>46-48</t>
  </si>
  <si>
    <t>Levi's Original GRAPHIC PIPING SWEATPANT REDS</t>
  </si>
  <si>
    <t>A5247-0001</t>
  </si>
  <si>
    <t>Спортивные брюки Levis Men Graphic Piping Sweatpants в красном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</si>
  <si>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Levi's Original SOFT SURPLUS SCAL</t>
  </si>
  <si>
    <t>36693-0008</t>
  </si>
  <si>
    <t>Плотность: 8.5 oz. 
Просторные брюки-карго свободного кроя с удобными и практичными карманами-карго. Носи их с низкой посадкой для создания образа в стиле 90-х. Практичные брюки карго. Свободный объемный крой. Глубокие карманы для хранения всего самого необходимого. Окрашены по экологически безопасной технологии.</t>
  </si>
  <si>
    <t>N/A.</t>
  </si>
  <si>
    <t>розовый</t>
  </si>
  <si>
    <t>80% хлопок, 20% пенька,</t>
  </si>
  <si>
    <t>UK</t>
  </si>
  <si>
    <t>24/28</t>
  </si>
  <si>
    <t>25/26</t>
  </si>
  <si>
    <t>26/28</t>
  </si>
  <si>
    <t>27/26</t>
  </si>
  <si>
    <t>29/26</t>
  </si>
  <si>
    <t>Levi's Original SWEATPANT EVERGREEN</t>
  </si>
  <si>
    <t>A0937-0027</t>
  </si>
  <si>
    <t>зеленый</t>
  </si>
  <si>
    <t>XX CARGO TAPER T3 GREYS</t>
  </si>
  <si>
    <t>0057R-0002</t>
  </si>
  <si>
    <t>Мужские брюки Levis Xx Cargo Taper Trousers.  Почувствуйте непревзойденный комфорт с этими мужскими брюками, выполненными из премиальной хлопковой ткани с эластаном. Материал не только приятен к телу, но и обладает отличной растяжимостью, позволяя чувствовать себя уверенно в любом ритме жизни. Продуманная посадка и минималистичный дизайн подчеркивают современный подход бренда к мужской моде. Эти брюки невероятно универсальны и легко трансформируются из дневного варианта в вечерний. Носите их с однотонным поло и белыми кроссовками для расслабленного пятничного образа. Если предстоит важное мероприятие, наденьте сверху классическую рубашку и стильный пиджак. Эта модель станет вашим незаменимым помощником в создании лаконичных, элегантных и функциональных аутфитов, которые всегда будут выглядеть свежо, актуально и по-настоящему стильно.</t>
  </si>
  <si>
    <t>серый</t>
  </si>
  <si>
    <t>98% хлопок, 2% эластан</t>
  </si>
  <si>
    <t>34/32</t>
  </si>
  <si>
    <t>50-52</t>
  </si>
  <si>
    <t>XX CHINO STD II NEUTRALS</t>
  </si>
  <si>
    <t>17196-0200</t>
  </si>
  <si>
    <t>Мужские брюки чиносы Levis Men Xx Chino Standart Pants созданы для комфорта. Изготовлены из высококачественного материала - хлопок с эластаном, что обеспечивает отличную посадку и эластичность ткани.
Эти брюки имеют классический дизайн чинос с прямыми штанинами и средней посадкой. Они идеально подходят для создания формального или повседневного стиля и могут быть использованы в различных ситуациях.
Благодаря своему качеству и фасону брюки Levis Men Xx Chino Standart Pants гарантируют долговечность и комфорт при ношении. Они оснащены удобными карманами для хранения мелочей и удобной застежкой на молнию и пуговицу.
Выбирая эти брюки, вы получите не только стильный и модный образ, но и удобство и комфорт на протяжении всего дня. Брюки Levis Men Xx Chino Standart Pants - отличный выбор для современного мужчины, который ценит комфорт и стиль.</t>
  </si>
  <si>
    <t>64% хлопок, 28% лен, 6% эластомультиэстер, 2% эластан</t>
  </si>
  <si>
    <t>32/30</t>
  </si>
  <si>
    <t>48-50</t>
  </si>
  <si>
    <t>XX CHINO AUTHENTIC RLX BROWNS</t>
  </si>
  <si>
    <t>A5753-0094</t>
  </si>
  <si>
    <t>коричневый</t>
  </si>
  <si>
    <t>34/34</t>
  </si>
  <si>
    <t>XX CHINO AUTHENTIC RLX NEUTRALS</t>
  </si>
  <si>
    <t>A5753-0097</t>
  </si>
  <si>
    <t>Мужские брюки чинос Men XX Chino Authentic Straight Pants — это современный взгляд на классический стиль, сочетающий в себе элегантность и универсальность. Эти брюки выполнены с прямыми штанинами и стандартным кроем по бедрам, обеспечивая чистый и опрятный вид. Универсальный крой делает их идеальным выбором для различных случаев — от повседневных выходов до более формальных мероприятий.
Брюки изготовлены из хлопкового твила, что придаёт им мягкость и долговечность. Низкая посадка и прямая нога добавляют комфорта и современного стиля. Два передних кармана предлагают классический и функциональный дизайн, а скрытый карман на молнии внутри правого кармана — практичное решение для хранения мелких предметов.
Эти брюки созданы из неэластичной ткани, что помогает им держать форму и выглядеть аккуратно в течение всего дня. Застежка-молния добавляет удобства, а минималистичный дизайн без классических пяти карманов подчеркивает их стиль и изысканность. Они станут незаменимой частью гардероба, добавляя в него нотку изысканности.</t>
  </si>
  <si>
    <t>32/34</t>
  </si>
  <si>
    <t>XX CHINO STD TECH PLUS GREENS</t>
  </si>
  <si>
    <t>001K9-0006</t>
  </si>
  <si>
    <t>Мужские брюки чиносы Levis XX Chino Standard Taper Tech гармонично сочетают стиль и функциональность, идеально подходя для повседневной носки, путешествий и любых приключений. Основываясь на вашем любимом крое, мы использовали инновационные материалы и технологии, чтобы создать комфортные и практичные брюки.
Эти чиносы изготовлены из ультрамягкой ткани с высокой эластичностью, которая обеспечивает свободу движений. Материал не мнется, отводит влагу и защищает от ультрафиолетовых лучей (SPF 50+), что делает их незаменимыми в жаркую погоду и при длительных прогулках на солнце. 
Брюки оснащены практичными деталями, такими как три кармана на молнии для безопасного хранения вещей. Для дополнительной безопасности в темное время суток на внутренней стороне манжет размещена светоотражающая отделка 3M. Эти брюки имеют обычный крой с зауженными штанинами и средней посадкой, что обеспечивает комфорт и современный вид. Станьте обладателем стильных и удобных брюк, которые будут с вами в любой ситуации.</t>
  </si>
  <si>
    <t>64% полиэстер, 36% эластомультиэстер</t>
  </si>
  <si>
    <t>31/32</t>
  </si>
  <si>
    <t>Levi's Original XX CHINO EZ II CAMO S TWILL GD</t>
  </si>
  <si>
    <t>A1040-0001</t>
  </si>
  <si>
    <t>Плотность: 8.6 oz. 
Мужские брюки чино Levis выполнены из хлопка с добавлением эластана для комфорта движения. Брюки от Levis свободного кроя, брючины слегка сужаются к щиколотке. Посадка чуть ниже талии. Эластичная талия со скрытой кулиской. Карманы спереди, два кармана с на пуговицах в тон сзади. Мягкие на ощупь, удобные брюки не только удачно сочетаются с футболкой и кедами, но в купе с пиджаком поддержат классический образ.</t>
  </si>
  <si>
    <t>Весна/Лето</t>
  </si>
  <si>
    <t>XX CHINO JOGGER III GREYS</t>
  </si>
  <si>
    <t>A4761-0008</t>
  </si>
  <si>
    <t>Мужские брюки чинос Levi's Chino Joggers представляют собой идеальное сочетание стиля и функциональности. Эти брюки оснащены практичными карманами и дополняют ваш образ за счет стиля джоггеров с манжетами и современной облегающей посадкой. Они сужаются к лодыжкам, создавая утонченный и модный силуэт. Изготовленные из мягкого твила, брюки обеспечивают комфорт и уют на протяжении всего дня. Носите эти брюки XX Chino Jogger с вашей любимой курткой Trucker, рубашкой на пуговицах или любой другой одеждой, чтобы подчеркнуть свой уникальный стиль.</t>
  </si>
  <si>
    <t>Levi's Original SILVIE LOUNGE PANT PATTY PLAID GLAZED G</t>
  </si>
  <si>
    <t>A1887-0000</t>
  </si>
  <si>
    <t>Фланелевые брюки Levis в клетку. Выполнены из сверхмягкого материала специально для отдыха. Имеют боковые карманы, эластичный пояс на шнурке для индивидуальной посадки.</t>
  </si>
  <si>
    <t>оранжевый</t>
  </si>
  <si>
    <t>Круглогодично</t>
  </si>
  <si>
    <t>60% хлопок, 20% лиоцелл, 20% полиэстер</t>
  </si>
  <si>
    <t>Levi's Original Ribcage Str Ank Rainbow</t>
  </si>
  <si>
    <t>A0979-0001</t>
  </si>
  <si>
    <t>Джинсы Levis с самой высокой посадкой. Джинсы Ribcage с посадкой 30 см теперь облегают в бедрах, подчеркивают талию и визуально удлиняют ноги. Этот крой подчеркнет фигуру — в них ты всегда будешь выглядеть и чувствовать себя великолепно. Очень высокая посадка и застежка на пуговицы, подчеркивающие талию. Классические прямые штанины до щиколотки для создания универсального образа. Радужный дизайн сзади.</t>
  </si>
  <si>
    <t>26/27</t>
  </si>
  <si>
    <t>Levi's Original XX CHINO EZ II BLUE RIBBON S TWILL GD</t>
  </si>
  <si>
    <t>A1040-0000</t>
  </si>
  <si>
    <t>Плотность: 8.6 oz. 
Мужские брюки чино Levis Xx Chino Ez II. Выполнены из хлопка с добавлением эластана для комфорта движения. Брюки от Levis свободного кроя, брючины слегка сужаются к щиколотке. Посадка чуть ниже талии. Эластичный пояс с потайной кулиской. Карманы спереди, два кармана с на пуговицах в тон сзади. Мягкие на ощупь, удобные брюки не только  удачно сочетаются с футболкой и кедами, но в купе с пиджаком поддержат классический образ.</t>
  </si>
  <si>
    <t>синий</t>
  </si>
  <si>
    <t>98% хлопок, 2% эластан,</t>
  </si>
  <si>
    <t>ESSENTIAL CHINO BLUES</t>
  </si>
  <si>
    <t>A4673-0002</t>
  </si>
  <si>
    <t>30/29</t>
  </si>
  <si>
    <t>Levi's Original XX CHINO STD III BLUES</t>
  </si>
  <si>
    <t>85226-0168</t>
  </si>
  <si>
    <t>Брюки-конусы Levis XX Chino Standard более мягкие и достаточно эластичные. Они немного просторнее, чем привычные Slim Taper, но выглядят так же свежо и современно. Разработаны с использованием технологии Cool Performance, обеспечивающей воздухопроницаемость и впитывание влаги.</t>
  </si>
  <si>
    <t>голубой</t>
  </si>
  <si>
    <t>75% хлопок, 23% полиэстер, 2% эластан</t>
  </si>
  <si>
    <t>31/34</t>
  </si>
  <si>
    <t>Levi's Original XX CHINO STD III GREENS</t>
  </si>
  <si>
    <t>85226-0169</t>
  </si>
  <si>
    <t>30/34</t>
  </si>
  <si>
    <t>BAGGY FIELD CARGO BLACKS</t>
  </si>
  <si>
    <t>003KO-0004</t>
  </si>
  <si>
    <t>Стильные и функциональные брюки в актуальном baggy-силуэте, сочетающие в себе комфорт, практичность и фирменную эстетику Levi’s. Модель вдохновлена классическими карго-брюками и адаптирована под современный городской стиль.
Особенности модели:
 - Свободный крой Baggy — расслабленная посадка и дополнительный объём для максимального комфорта
 - Средняя посадка
 - Вместительные накладные карманы в стиле cargo
 - Прочный хлопковый материал, устойчивый к износу
 - Классическая застёжка на молнию и пуговицу
 - Фирменные элементы Levi’s
Брюки отлично сочетаются с худи, свитшотами, футболками и куртками, позволяя создавать как повседневные, так и более акцентные образы. Подойдут для активного дня в городе и станут универсальной базой гардероба.</t>
  </si>
  <si>
    <t>BAGGY FIELD CARGO GREENS</t>
  </si>
  <si>
    <t>003KO-0005</t>
  </si>
  <si>
    <t>Мужские брюки карго Levis Baggy Field Cargo Pants — идеальное сочетание стиля и функциональности, представляющее собой современную интерпретацию классических рабочих брюк. Эти брюки отличаются свободным кроем, обеспечивающим максимальный комфорт и свободу движений. Широкие штанины и средняя посадка делают их универсальным выбором для повседневной носки. Изготовленные из 100% хлопка, брюки отличаются прочностью и износостойкостью. Материал не растягивается, что гарантирует долговечность и сохранение формы. Регулируемый пояс позволяет индивидуально настроить посадку для идеального комфорта. Множество функциональных накладных карманов предоставляет достаточно места для хранения необходимых вещей. Ширинка на молнии упрощает процесс надевания и снятия. Благодаря своей прочности и вместительности, эти брюки завоевали популярность в уличной моде, становясь неотъемлемым элементом гардероба тех, кто ценит стиль и практичность.</t>
  </si>
  <si>
    <t>XL</t>
  </si>
  <si>
    <t>XX CHINO AUTHENTIC STRT</t>
  </si>
  <si>
    <t>A5753-0011</t>
  </si>
  <si>
    <t>90s STRAIGHT</t>
  </si>
  <si>
    <t>001VV-0001</t>
  </si>
  <si>
    <t>Женские брюки Levis 90s Straight Pants воплощают дух девяностых, возвращая нас в эпоху ярких стилей и смелых модных решений. Эти прямые брюки с ретро-деталями перенесут вас в незабываемое десятилетие благодаря своему классическому прямому крою и свободной посадке, которая дарит непринужденный комфорт.
Эти брюки обладают средней посадкой на талии, что подчеркивает фигуру и делает их идеальными для создания самых разнообразных образов. Прямые штанины обеспечивают винтажный вид, который стал культовым благодаря 90-м. 
Изготовленные из хлопка, они имеют текстурированную ткань слаб, которая не растягивается, но при этом обеспечивает комфорт и свободу движений. Застежка-молния добавляет практичности, а карманы с прямыми строчками придают уникальность. Эти брюки — идеальный выбор для тех, кто хочет добавить в свой гардероб немного ретро-шика с современной ноткой.</t>
  </si>
  <si>
    <t>бежевый</t>
  </si>
  <si>
    <t>001VV-0006</t>
  </si>
  <si>
    <t>26/32</t>
  </si>
  <si>
    <t>Levi's Original GRAPHIC LAUNDRY SWEATPANTS</t>
  </si>
  <si>
    <t>A3569-0007</t>
  </si>
  <si>
    <t>Спортивные брюки для женщин Levis Women Graphic Laundry Sweatpants - это стильный и функциональный выбор для любых физических активностей. Они выполнены из мягкого хлопкового материала, который обеспечивает комфорт и дополнительную теплоизоляцию. Брюки имеют нейтральный светлый оттенок, который позволяет их легко сочетать с другими предметами гардероба. На бедрах лампасы с брендированием "Levis" - символом известной марки одежды, которая гарантирует высокое качество и долговечность. Эта модель прекрасно подходит для занятий спортом, прогулок или отдыха дома. Они имеют эластичный пояс со шнуровкой, который не скользит и обеспечивает оптимальную посадку на талии.</t>
  </si>
  <si>
    <t>60% хлопок, 40% полиэстер</t>
  </si>
  <si>
    <t>XX STD TECH PREMIUM</t>
  </si>
  <si>
    <t>001K9-0004</t>
  </si>
  <si>
    <t>32/32</t>
  </si>
  <si>
    <t>33/32</t>
  </si>
  <si>
    <t>36/32</t>
  </si>
  <si>
    <t>36/34</t>
  </si>
  <si>
    <t>38/34</t>
  </si>
  <si>
    <t>XX CARGO BAGGY</t>
  </si>
  <si>
    <t>003KQ-0006</t>
  </si>
  <si>
    <t>100% хлопок</t>
  </si>
  <si>
    <t>29/32</t>
  </si>
  <si>
    <t>003KQ-0028</t>
  </si>
  <si>
    <t>XX CHINO BAGGY</t>
  </si>
  <si>
    <t>0057Q-0003</t>
  </si>
  <si>
    <t>Свободные мужские брюки-чиносы в стиле 1990-х годов с комфортной посадкой на талии и прямыми штанинами. Они выполнены из 100% хлопкового твила (мягкой и плотной не тянущейся ткани).</t>
  </si>
  <si>
    <t>XX CARGO TAPER T3 BROWNS</t>
  </si>
  <si>
    <t>0057R-0003</t>
  </si>
  <si>
    <t>STANDARD TAPER CHINO II</t>
  </si>
  <si>
    <t>17196-0001</t>
  </si>
  <si>
    <t>ХИТ</t>
  </si>
  <si>
    <t>Плотность: 8 oz. 
Классические брюки чинос. Мягкие, удобные на ощупь. Чуть заужены книзу. Посадка ниже талии. Комфортная эластичная ткань для свободы передвижения. Ширинка на молнии. Два боковых кармана и два прямых сзади на пуговицах.</t>
  </si>
  <si>
    <t>Levi's Original XX CHINO STD II MINERAL BLACK SHADY G</t>
  </si>
  <si>
    <t>17196-0005</t>
  </si>
  <si>
    <t>Плотность: 8 oz. 
Мужские брюки чинос Levis Men Xx Chino Standart Pants созданы для комфорта. Изготовлены из высококачественного материала с составом 98% хлопок и 2% эластан, что обеспечивает отличную посадку и эластичность ткани.
Эти брюки имеют классический дизайн чинос с прямыми штанинами и средней посадкой. Они идеально подходят для создания формального или повседневного стиля и могут быть использованы в различных ситуациях.
Благодаря своему качеству и фасону брюки Levis Men Xx Chino Standart Pants гарантируют долговечность и комфорт при ношении. Они оснащены удобными карманами для хранения мелочей и удобной застежкой на молнию и пуговицу.
Выбирая эти брюки, вы получите не только стильный и модный образ, но и удобство и комфорт на протяжении всего дня. Брюки Levis Men Xx Chino Standart Pants - отличный выбор для современного мужчины, который ценит комфорт и стиль.</t>
  </si>
  <si>
    <t>98% хлопок, 2% эластан</t>
  </si>
  <si>
    <t>31/30</t>
  </si>
  <si>
    <t>Levi's Original XX CHINO STD II BALTIC NAVY SHADY GD</t>
  </si>
  <si>
    <t>17196-0016</t>
  </si>
  <si>
    <t>XX CHINO STD II</t>
  </si>
  <si>
    <t>17196-0192</t>
  </si>
  <si>
    <t>XX CHINO STD II PINKS</t>
  </si>
  <si>
    <t>17196-0199</t>
  </si>
  <si>
    <t>17196-0203</t>
  </si>
  <si>
    <t>38/32</t>
  </si>
  <si>
    <t>502® TAPER</t>
  </si>
  <si>
    <t>29507-1926</t>
  </si>
  <si>
    <t>67% хлопок; 32% лиоцелл; 1% эластан</t>
  </si>
  <si>
    <t>33/30</t>
  </si>
  <si>
    <t>XX CHINO STD III GREENS</t>
  </si>
  <si>
    <t>85226-0146</t>
  </si>
  <si>
    <t>34/30</t>
  </si>
  <si>
    <t>XX CHINO STD III GREYS</t>
  </si>
  <si>
    <t>85226-0263</t>
  </si>
  <si>
    <t>311 SHAPING SKN CAPRI 22 LIGHT INDIGO - WORN IN</t>
  </si>
  <si>
    <t>A0086-0070</t>
  </si>
  <si>
    <t>Капри</t>
  </si>
  <si>
    <t>80% хлопок, 19% полиэстер, 1% эластан</t>
  </si>
  <si>
    <t>26</t>
  </si>
  <si>
    <t>27</t>
  </si>
  <si>
    <t>28</t>
  </si>
  <si>
    <t>29</t>
  </si>
  <si>
    <t>30</t>
  </si>
  <si>
    <t>31</t>
  </si>
  <si>
    <t>32</t>
  </si>
  <si>
    <t>578® BAGGY</t>
  </si>
  <si>
    <t>A4750-0156</t>
  </si>
  <si>
    <t>58% хлопок; 42% полиэстер</t>
  </si>
  <si>
    <t>XX CHINO AUTHENTIC RLX BLACKS</t>
  </si>
  <si>
    <t>A5753-0054</t>
  </si>
  <si>
    <t>XX CHINO AUTHENTIC RLX GREENS</t>
  </si>
  <si>
    <t>A5753-0055</t>
  </si>
  <si>
    <t>A5753-0064</t>
  </si>
  <si>
    <t>XX CHINO AUTHENTIC RLX BLUES</t>
  </si>
  <si>
    <t>A5753-0092</t>
  </si>
  <si>
    <t>XX CARGO SLIM BLACKS</t>
  </si>
  <si>
    <t>A7365-0000</t>
  </si>
  <si>
    <t>Мужские брюки карго Levi's XX Cargo Slim Pants — это воплощение инновационного дизайна и функциональности в области мужской моды. Отходя от традиционных представлений о карго, эти брюки успешно объединяют изысканный силуэт классических чино и незаменимость практичных карманов, характерных для карго. Добавьте к этому зауженный крой, и вы получите брюки, идеально подходящие для создания смелого и современного образа. Изготовлены из эластичного твила. Ткань нежно облегает, сохраняя свободу движений, и благодаря эластичным свойствам, она гарантирует хорошую посадку и долговечность. Застегиваются на молнию. Это многофункциональный предмет мужского гардероба, идеально подходящий для тех, кто ценит удобство и стиль. Используйте их для создания различных образов, от непринужденной элегантности до приключенческого стиля, и позвольте себе выглядеть безупречно в любой ситуации.</t>
  </si>
  <si>
    <t>29/30</t>
  </si>
  <si>
    <t>XL CHINO NEUTRALS</t>
  </si>
  <si>
    <t>A8700-0000</t>
  </si>
  <si>
    <t>Женские брюки Levis Women XL Chino Pants представляют собой обновление классических брюк-чиносов в стиле oversize. Эти брюки идеально сочетают комфорт и стиль, делая их идеальным выбором для современной женщины, ценящей моду и удобство. Мешковатый крой и прямые штанины придают брюкам непринужденный силуэт и обеспечивают максимальный комфорт в течение всего дня. Они подходят для различных ситуаций — от повседневной носки до более формальных выходов.
Средняя посадка брюк подходит для любого типа телосложения, удобно сидит на бедрах и подчеркивает фигуру. Это идеальный баланс между высокой и низкой посадкой, обеспечивающий оптимальный уровень удобства. Levis Women XL Chino Pants изготовлены из классической саржевой ткани 100% хлопка, которая отличается долговечностью и износостойкостью.
Брюки оснащены застежкой-молнией для удобства использования. Эти брюки легко комбинируются с различными элементами гардероба. Они идеально сочетаются с футболками и свитерами для расслабленного повседневного стиля, а также с блузками и жакетами для более формального вида. Универсальность Levis Women XL Chino Pants делает их актуальными для любого случая.
Levis Women XL Chino Pants — это не просто брюки. Это стильное утверждение и выражение индивидуальности. Качество ткани и продуманный дизайн делают их незаменимыми в гардеробе каждой женщины. Обновление классики в стиле oversize сочетает традиции с современными модными тенденциями, создавая наряды, которые выделяют вас из толпы. Выбирайте их, чтобы создавать стильные, комфортные и универсальные образы, которые будут актуальны всегда.</t>
  </si>
  <si>
    <t>27/29</t>
  </si>
  <si>
    <t>710 Levi's Original BEST DAYS</t>
  </si>
  <si>
    <t>17778-0022</t>
  </si>
  <si>
    <t>Джинсы</t>
  </si>
  <si>
    <t>Женские облегающие джинсы Levis 710 Super Skinny. Выполнены из эластичного денима для комфорта движения. Очень привлекательные джинсы со средней посадкой, подчеркивающие ваши формы.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</si>
  <si>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711 Levi's Original  ANKLE NEW COOL</t>
  </si>
  <si>
    <t>19558-0033</t>
  </si>
  <si>
    <t>Женские джинсы скинни Levis 711 Skinny облегающего кроя для создания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</si>
  <si>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78% хлопок, 21% полиэстер, 1% эластан</t>
  </si>
  <si>
    <t>24/27</t>
  </si>
  <si>
    <t>25/27</t>
  </si>
  <si>
    <t>27/27</t>
  </si>
  <si>
    <t>721 Levi's Original High Rise Skinny</t>
  </si>
  <si>
    <t>18882-0027</t>
  </si>
  <si>
    <t>Женские облегающие джинсы Levis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</si>
  <si>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темно-синий</t>
  </si>
  <si>
    <t>87% хлопок, 12% полиэстер, 1% эластан</t>
  </si>
  <si>
    <t>505 Levi's Original C ELVIS</t>
  </si>
  <si>
    <t>28342-0002</t>
  </si>
  <si>
    <t>Родившиеся в 1967 году 505 Jeans достигли совершеннолетия в Нью-Йорке 70-х годов. Панки, поп-артисты, граффити-художники и и рок-звезды носили их, рвали и занашивали. Новая модель 505C с индивидуальной облегающей посадкой и прямыми штанинами создана для нового поколения звезд.</t>
  </si>
  <si>
    <t>99% хлопок, 1% эластан</t>
  </si>
  <si>
    <t>24/32</t>
  </si>
  <si>
    <t>711 Levi's Original  LAND AND SEA</t>
  </si>
  <si>
    <t>18881-0015</t>
  </si>
  <si>
    <t>Женские джинсы скинни Levis. Облегающий крой для шикарного силуэта. Средняя посадка на талии. Деним средней эластичности для комфорта и свободы движения. Ширинка на молнии. Фирменные дугообразные строчки на карманах. Легендарная кожаная нашивка на талии сзади.</t>
  </si>
  <si>
    <t>712 Levi's Original  DARING BLUE</t>
  </si>
  <si>
    <t>18884-0055</t>
  </si>
  <si>
    <t>Современные женские джинсы Levis 712 Slim Taper обеспечат комфорт в течение всего дня. Подчеркивают стройный вид, но не облегают, сохраняя простор.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</si>
  <si>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92% хлопок, 6% полиэстер, 2% эластан</t>
  </si>
  <si>
    <t>712 Levi's Original  BEST COAST</t>
  </si>
  <si>
    <t>18884-0059</t>
  </si>
  <si>
    <t>711 Levi's Original ASIASKNY SUNSETCOVE</t>
  </si>
  <si>
    <t>19560-0014</t>
  </si>
  <si>
    <t>714 Levi's Original CAST SHADOWS</t>
  </si>
  <si>
    <t>21834-0015</t>
  </si>
  <si>
    <t>Женские джинсы Levis прямого кроя. Средняя посадка на талии. Классический стиль с пятью карманами. Фирменный лейбл Levis и дугообразные строчки на задних карманах.</t>
  </si>
  <si>
    <t>21972-0000</t>
  </si>
  <si>
    <t>Женские джинсы Levis прямого кроя. Посадка чуть ниже талии. Классический стиль с пятью карманами. Фирменный лейбл Levis и дугообразные строчки на задних карманах.</t>
  </si>
  <si>
    <t>712 Levi's Original ASIA SLMSTR RUNOFF</t>
  </si>
  <si>
    <t>19561-0001</t>
  </si>
  <si>
    <t>710 Levi's Original HEAD WEST</t>
  </si>
  <si>
    <t>17778-0023</t>
  </si>
  <si>
    <t>721 Levi's Original HR SKNY SHADED INDIGO</t>
  </si>
  <si>
    <t>21233-0012</t>
  </si>
  <si>
    <t>Как модель 720 High-Rise Super Skinny, но немного менее узкая в ногах. Эти джинсы 721 High-Rise Skinny имеют ту же самую облегающую посадку, которую вы так любите. Эти джинсы, входящие в фирменную коллекцию «Lot 700», созданы для того, чтобы подчеркивать фигуру — весь день, каждый день.
Невероятно красивые джинсы, подчеркивающие ваши изгибы.
Аутентичный джинсовый характер, усиленный сверхмягкой тканью-стрейч.</t>
  </si>
  <si>
    <t>60% хлопок, 16% полиэстер, 23% вискоза, 1% эластан</t>
  </si>
  <si>
    <t>712 Levi's Original ASIA LAND AND SEA</t>
  </si>
  <si>
    <t>19561-0000</t>
  </si>
  <si>
    <t>712 Levi's Original SLIM CAST SHADOWS</t>
  </si>
  <si>
    <t>18884-0024</t>
  </si>
  <si>
    <t>62% хлопок, 28% вискоза, 8% полиэстер, 2% эластан</t>
  </si>
  <si>
    <t>23/32</t>
  </si>
  <si>
    <t>710 Levi's Original BRUSH MERLOT</t>
  </si>
  <si>
    <t>17778-0031</t>
  </si>
  <si>
    <t>бордовый</t>
  </si>
  <si>
    <t>711 Levi's Original Skinny</t>
  </si>
  <si>
    <t>18881-0000</t>
  </si>
  <si>
    <t>711 Levi's Original SKINNY CAST SHADOWS</t>
  </si>
  <si>
    <t>18881-0012</t>
  </si>
  <si>
    <t>25/34</t>
  </si>
  <si>
    <t>724 Levi's Original HIGH RISE STRAIGHT NONSTOP</t>
  </si>
  <si>
    <t>18883-0139</t>
  </si>
  <si>
    <t>Плотность: 11.4 oz. 
Джинсы Levis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Джинсы облегающего кроя до середины бедра и прямой штаниной служат стильной базой для любого образа.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</si>
  <si>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97% хлопок, 3% эластан</t>
  </si>
  <si>
    <t>23/28</t>
  </si>
  <si>
    <t>23/30</t>
  </si>
  <si>
    <t>720 Levi's Original HIRISE SUPER SKINNY</t>
  </si>
  <si>
    <t>52797-0315</t>
  </si>
  <si>
    <t>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</si>
  <si>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78% хлопок, 19% полиэстер, 3% эластан</t>
  </si>
  <si>
    <t>18881-0015-1</t>
  </si>
  <si>
    <t>724 Levi's Original HIGH RISE STRAIGHT BLACK SHEEP</t>
  </si>
  <si>
    <t>18883-0006</t>
  </si>
  <si>
    <t>Плотность: 9.56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</si>
  <si>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Лето</t>
  </si>
  <si>
    <t>711 Levi's Original SKINNY INDIGO RIDGE</t>
  </si>
  <si>
    <t>18881-0025</t>
  </si>
  <si>
    <t>25/28</t>
  </si>
  <si>
    <t>26/34</t>
  </si>
  <si>
    <t>28/34</t>
  </si>
  <si>
    <t>29/34</t>
  </si>
  <si>
    <t>724 Levi's Original HIGH RISE STRAIGHT BOGOTA SASS</t>
  </si>
  <si>
    <t>18883-0105</t>
  </si>
  <si>
    <t>Плотность: 10.8 oz. 
Фирменные непревзойденные джинсы Levis Lot 700 созданы, чтобы подчеркивать и подтягивать фигуру. Универсальная модель с классической высокой посадкой. Красиво подчеркивают талию. Sculpt с Hypersoft — супермягкий материал для комфорта и удобства движений.</t>
  </si>
  <si>
    <t>70% лиоцелл, 18% полиэстер, 10% хлопок, 2% эластан</t>
  </si>
  <si>
    <t>721 Levi's Original SPLIT HEM MED INDIGO - WORN IN</t>
  </si>
  <si>
    <t>A4706-0001</t>
  </si>
  <si>
    <t>Как модель 720 High Rise Super Skinny, но с чуть менее облегающими штанинами. 721 High Rise Skinny Jeans имеют тот самый удобный крой, который вам нравится. Инновационная ткань Levis Stellar Stretch придает джинсам аутентичный и комфортный вид. Для модного образа добавили разрез по краю.
Идеально подчеркивают ваши изгибы, удлиняет ноги и формирует силуэт.
С небольшим количеством дополнительной растяжки, которая облегает вашу форму, но не слишком сильно.
Ткань с добавлением TENCEL Lyocell из экологически чистой древесины добавляет мягкости.
Настоящий деним с ультрамягкой эластичностью. Джинсы, которые произведут впечатление. Благодаря превосходной памяти формы Stellar Stretch, джинсы повторяют ваши изгибы и движения, не ослабляя и не расслабляясь чрезмерно, куда бы вы ни пошли и при любых обстоятельствах.</t>
  </si>
  <si>
    <t>85% хлопок, 7% лиоцелл, 6% эластомультиэстер, 2% эластан</t>
  </si>
  <si>
    <t>721 Levi's Original HIGH RISE SKINNY TRUE GRIT</t>
  </si>
  <si>
    <t>18882-0354</t>
  </si>
  <si>
    <t>Плотность: 11.5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</si>
  <si>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LAPIS GEM</t>
  </si>
  <si>
    <t>18882-0484</t>
  </si>
  <si>
    <t>Плотность: 12.6 oz. 
Женские облегающие джинсы Levis синего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</si>
  <si>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97% хлопок, 3% эластан,</t>
  </si>
  <si>
    <t>720 Levi's Original Hirise Super Skinny</t>
  </si>
  <si>
    <t>52797-0267</t>
  </si>
  <si>
    <t>Плотность: 11.4 oz. 
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</si>
  <si>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73% хлопок, 25% полиэстер, 2% эластан</t>
  </si>
  <si>
    <t>721 Levi's Original HIGH RISE SKINNY DONT BE EXTRA</t>
  </si>
  <si>
    <t>18882-0468</t>
  </si>
  <si>
    <t>Плотность: 11.4 oz. 
Женские джинсы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сзади.</t>
  </si>
  <si>
    <t>27/34</t>
  </si>
  <si>
    <t>Levi's Original MILE HIGH SUPER SKINNY VENICE FOR REAL</t>
  </si>
  <si>
    <t>22791-0194</t>
  </si>
  <si>
    <t>Плотность: 13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с применением Levis Sculpt Hyperstretch — ткани для наших самых узких моделей, которая не растягивается, так что не надо переживать, что модель обвиснет в конце дня.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</si>
  <si>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82% хлопок, 15% полиэстер, 3% эластан</t>
  </si>
  <si>
    <t>711 Levi's Original Skinny Jeans</t>
  </si>
  <si>
    <t>18881-0352</t>
  </si>
  <si>
    <t>Плотность: 10.8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</si>
  <si>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84% хлопок, 14% полиэстер, 2% эластан</t>
  </si>
  <si>
    <t>721 Levi's Original HIGH RISE SKINNY GOOD EVENING</t>
  </si>
  <si>
    <t>18882-0421</t>
  </si>
  <si>
    <t>Плотность: 10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</si>
  <si>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52797-0024</t>
  </si>
  <si>
    <t>85% хлопок, 12% полиэстер, 3% эластан</t>
  </si>
  <si>
    <t>720 Levi's Original HIRISE SUPER SKINNY DEEP SERENITY</t>
  </si>
  <si>
    <t>52797-0176</t>
  </si>
  <si>
    <t>Плотность: 11.7 oz. 
Мы представили джинсы Levis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 Визуально уменьшают талию и стройнят. Стильная и удобная высокая посадка. Ткань Levi's sculpt с гиперстрейчевым материалом — это смесь хлопка Lycra и эластана, подтягивающая фигуру. Легендарная кожаная нашивка на талии сзади.</t>
  </si>
  <si>
    <t>74% хлопок, 15% лиосель, 6% полиэстер, 5% эластан</t>
  </si>
  <si>
    <t>510 Levi's Original SKINNY LIGHT INDIGO - WORN IN</t>
  </si>
  <si>
    <t>05510-1275</t>
  </si>
  <si>
    <t>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</si>
  <si>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70% хлопок, 28% лиоцелл, 2% эластан</t>
  </si>
  <si>
    <t>33/34</t>
  </si>
  <si>
    <t>710 Levi's Original SUPER SKINNY</t>
  </si>
  <si>
    <t>17778-0498</t>
  </si>
  <si>
    <t>28/28</t>
  </si>
  <si>
    <t>721 HIGH RISE SKINNY</t>
  </si>
  <si>
    <t>18882-0332</t>
  </si>
  <si>
    <t>Плотность: 10 oz. 
Визуально уменьшают талию и стройнят. Оригинальный, подчеркивающий талию крой. Изготовлена на фабрике Candiani Denim Mill в Италии, известном производителе люксовых и инновационных тканей. Легендарная кожаная нашивка на талии сзади.</t>
  </si>
  <si>
    <t>721 Levi's Original HIGH RISE SKINNY TO THE NINE</t>
  </si>
  <si>
    <t>18882-0188</t>
  </si>
  <si>
    <t>Плотность: 10.8 oz. 
Джинсы облегающего кроя. Идеальная высокая посадка на талию. Деним высокой эластичности. Levis Sculpt Fabric с 4-сторонней растяжкой - это высокоэффективная эластичная ткань, предназначенная для движения во всех направлениях. Легендарная кожаная нашивка на талии сзади. Деним высокой эластичности. Ширинка на молнии. Классический стиль с пятью карманами. Фирменный лейбл Levis и дугообразные строчки на задних карманах.</t>
  </si>
  <si>
    <t>519 Levi's Original EXT SKINNY HI-BALLB DARK INDIGO - FLAT FINISH</t>
  </si>
  <si>
    <t>85797-0042</t>
  </si>
  <si>
    <t>Джинсы Levis Men 519 Extreme Skinny Hi-ball Jeans представляют собой модель с ультра-облегающим кроем. Они идеально подчеркивают фигуру и создают современный стильный образ.
Изготовлены из высококачественного материала, состоящего из 70% хлопка, 28% лиоцелла и 2% эластана. Хлопок обеспечивает комфорт и мягкость, лиоцелл добавляет прочности и долговечности, а эластан поддерживает эластичность и свободу движения.
Цвет джинсов – синий, который становится всегда актуальным и легко сочетается с различными верхними предметами гардероба. Они имеют классический дизайн с пятью карманами и застежкой на молнию.
Джинсы Levis Men 519 Extreme Skinny Hi-ball Jeans подходят для мужчин, которые ценят комфорт, стиль и качество. Они отлично смотрятся как в повседневном образе, так и в более формальных ситуациях. Будьте современными и уверенными в себе в этих модных джинсах от Levis.</t>
  </si>
  <si>
    <t>LEVIS 710 SUPER SKINNY DARK INDIGO W</t>
  </si>
  <si>
    <t>17778-0460</t>
  </si>
  <si>
    <t>65% хлопок, 33% полиэстер, 2% эластан</t>
  </si>
  <si>
    <t>Levi's Original MILE HIGH SUPER SKINNY NAPLES SHINE</t>
  </si>
  <si>
    <t>22791-0198</t>
  </si>
  <si>
    <t>Плотность: 8.75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</si>
  <si>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29/28</t>
  </si>
  <si>
    <t>711 Levi's Original  ANKLE GOLDEN HOUR</t>
  </si>
  <si>
    <t>19558-0007</t>
  </si>
  <si>
    <t>519 Levi's Original EXT SKINNY HI-BALLB BLACKS</t>
  </si>
  <si>
    <t>85797-0054</t>
  </si>
  <si>
    <t>Джинсы Levis Men 519 Extreme Skinny Hi-ball Jeans – это модель для мужчин, которые любят яркие и запоминающиеся вещи. Дизайнеры марки создали чрезвычайно узкие брюки, которые идеально сидят на талии и бедрах, создавая эффектные контуры. Модель выполнена в темно-сером цвете, что позволяет легко сочетать ее с любыми элементами гардероба. Данные джинсы прекрасно подходят для создания современного, немного бунтарского образа, который приведет вас в центр внимания в любых ситуациях.</t>
  </si>
  <si>
    <t>темно-серый</t>
  </si>
  <si>
    <t>70% хлопок, 28% лиоцелл (Tencel), 2% эластан</t>
  </si>
  <si>
    <t>Levi's Original MILE HIGH SUPER SKINNY ROME IN CASE</t>
  </si>
  <si>
    <t>22791-0196</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</si>
  <si>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</si>
  <si>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511 SLIM NEUTRALS</t>
  </si>
  <si>
    <t>04511-6016</t>
  </si>
  <si>
    <t>Плотность: 11.5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</si>
  <si>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83% хлопок, 15% полиэстер, 2% эластан (Lycra®)</t>
  </si>
  <si>
    <t>711 Levi's Original SKINNY</t>
  </si>
  <si>
    <t>18881-0533</t>
  </si>
  <si>
    <t>Плотность: 10.8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</si>
  <si>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70% лиоцелл, 20% хлопок,8% полиэстер, 2% эластан</t>
  </si>
  <si>
    <t>Levi's Original LMC HIGHRISE SLIM LMC STAY BLACK</t>
  </si>
  <si>
    <t>A2170-0000</t>
  </si>
  <si>
    <t>Плотность: 12.5 oz
Женские новые зауженные джинсы с высокой посадкой Levis Made &amp; Crafted облегают верхнюю часть талии и сужаются от бедер до лодыжек, создавая шикарный силуэт, который легко превращается из повседневного в праздничный благодаря превосходному сочетанию с любым верхом и обувью. Изготовлены из высококачественной ткани и с отделкой для коллекции Levis Made &amp; Crafted с использованием технологии защиты от выцветания «Stay Black», это означает, что они не потускнеют со временем. Экологически безопасное окрашивание с помощью Kitotex: запатентованная технология, которая снижает количество воды, химикатов и энергии, используемых в процессе окрашивания.</t>
  </si>
  <si>
    <t>62% хлопок, 33% модал, 3% полиэстер, 2% эластан</t>
  </si>
  <si>
    <t>24/29</t>
  </si>
  <si>
    <t>24/31</t>
  </si>
  <si>
    <t>31/31</t>
  </si>
  <si>
    <t>724 HIGH RISE STRAIGHT DARK INDIGO - FLAT FINISH</t>
  </si>
  <si>
    <t>18883-0286</t>
  </si>
  <si>
    <t>Женские джинсы с высокой посадкой на талии Levis 724 High Rise Straight Jeans придают вашему силуэту элегантность и удлиняют ноги, создавая стильный повседневный образ. Джинсы выполнены из джинсовой ткани средней эластичности, обеспечивая комфорт и свободу движения на протяжении всего дня. Модель оснащена ширинкой на молнии и классическим дизайном с пятью карманами. Характерные для бренда фирменный лейбл Levis и дугообразные строчки на задних карманах добавляют особого шарма. Нашивка с культовым логотипом Two Horse Pull подчёркивает прочность и качество этих джинсов.</t>
  </si>
  <si>
    <t>85% хлопок, 7% лиоцелл tencel, 6% эластомультиэстер, 2% эластан lycra</t>
  </si>
  <si>
    <t>310 Levi's Original SHAPING SUPER SKINNY MED INDIGO - WORN IN</t>
  </si>
  <si>
    <t>56041-0111</t>
  </si>
  <si>
    <t>Джинсы Levis Women 310 Shaping Super Skinny Jeans - это стильная и удобная модель для женщин. Изготовлены из высококачественного синего денима, они подчеркнут вашу фигуру благодаря супер-облегающему крою. Эти джинсы отлично сидят на фигуре, создавая эффект стройных ног и подчеркивая естественные изгибы тела. Имеют классический пятикарманный дизайн и застежку на молнию с пуговицей. Эти джинсы станут отличным выбором для повседневного образа и подойдут к различным стилям одежды.</t>
  </si>
  <si>
    <t>501 Levi's Original Jeans</t>
  </si>
  <si>
    <t>00501-3376</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</si>
  <si>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</si>
  <si>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721 Levi's Original HIGH RISE SKINNY CAST SHADOWS</t>
  </si>
  <si>
    <t>18882-0023</t>
  </si>
  <si>
    <t>511 Levi's Original Slim LIGHT INDIGO - WORN IN</t>
  </si>
  <si>
    <t>04511-5550</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</si>
  <si>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
Изготовлены с применением лиоцелла Tencel - волокна, полученного из древесины, заготовленной экологически чистым способом, для сверхмягкого ощущения.</t>
  </si>
  <si>
    <t>18882-0514</t>
  </si>
  <si>
    <t>Плотность: 13.6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</si>
  <si>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Levi's Original MILE HIGH SUPER SKINNY BLACK GALAXY</t>
  </si>
  <si>
    <t>22791-0052</t>
  </si>
  <si>
    <t>Плотность: 11.4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</si>
  <si>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лиосель, 9% полиэстер,5% эластан</t>
  </si>
  <si>
    <t>510 Levi's Original Niebieski Skinny Fit</t>
  </si>
  <si>
    <t>05510-1265</t>
  </si>
  <si>
    <t>Плотность: 11.6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</si>
  <si>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79% хлопок, 19% полиэстер, 2% эластан</t>
  </si>
  <si>
    <t>502 Levi's Original Taper BLACKS</t>
  </si>
  <si>
    <t>29507-1336</t>
  </si>
  <si>
    <t>Джинсы Levis Men 502 Regular Taper Jeans черного цвета представляют собой идеальный выбор для мужчин, которые ценят комфорт и стиль. 
Изготовленные из 99% хлопка и 1% эластана, они обеспечивают высокую прочность и эластичность материала. Это позволяет джинсам идеально сидеть на фигуре, не сковывая движений и обеспечивая ощущение свободы. 
Модель имеет регулярный крой с зауженными к низу штанинами, благодаря чему они смотрятся стильно и современно. Черный цвет делает их универсальными и легко комбинируемыми с различными верхними деталями гардероба. 
Дизайн джинсов Levis Men 502 Regular Taper Jeans прост и элегантен. Они оснащены пятью карманами, включая задний карман с логотипом Levis, который добавляет дополнительный акцент. 
Эти джинсы отлично подойдут для повседневного использования, будь то непринужденная встреча с друзьями или прогулка по городу. Их высокое качество и удобство использования сделают их вашим любимым выбором на протяжении долгого времени.</t>
  </si>
  <si>
    <t>18881-0293</t>
  </si>
  <si>
    <t>60% хлопок, 22% вискоза, 16% полиэстер, 2% эластан</t>
  </si>
  <si>
    <t>712 Levi's Original SUNSET COVE</t>
  </si>
  <si>
    <t>19568I-0007</t>
  </si>
  <si>
    <t>Джинсы для Женщины Levis 506 Straight Jeans в темно-синем цвете - классический и стильный выбор для повседневного образа. Изготовлены из высококачественного материала, обеспечивающего комфорт и долговечность. Прямой крой подчеркнет фигуру, а темно-синий цвет добавит изысканности и элегантности вашему образу. Подойдут для различных сочетаний с верхней одеждой и обувью, отлично подойдут для создания универсального и элегантного образа.</t>
  </si>
  <si>
    <t>511 Levi's Original Slim SHADOW GD</t>
  </si>
  <si>
    <t>04511-5722</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</si>
  <si>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</si>
  <si>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501 Levi's Original  Fit NEUTRALS</t>
  </si>
  <si>
    <t>00501-3384</t>
  </si>
  <si>
    <t>Джинсы Levis Men 501 Original Jeans – это классический и стильный выбор для современного мужчины. Они выполнены из прочного материала, состоящего на 99% из хлопка и на 1% из эластана.
Благодаря использованию эластана, эти джинсы обеспечивают комфортную посадку и эластичность, что позволяет свободно двигаться. Также данный материал делает джинсы более устойчивыми к растяжению и сохраняет их форму на протяжении всего времени использования.
Цвет джинсов – бежевый, который легко сочетается с любыми верхами и обувью. Благодаря своей нейтральности, они подходят для создания как повседневного, так и более формального образа.
Модель 501 Original имеет классический пятикарманный дизайн, среднюю посадку и слегка зауженный книзу крой. Этот стиль является вечным классикой и подходит для мужчин с любой фигурой.
Джинсы Levis Men 501 Original Jeans – это идеальный выбор для мужчин, которые ценят комфорт, качество и стиль. Они отлично подойдут для создания модных и универсальных образов, которые будут в тренде всегда.</t>
  </si>
  <si>
    <t>501 Levi's Original Fit GREENS</t>
  </si>
  <si>
    <t>00501-3401</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</si>
  <si>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</si>
  <si>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CROP JAZZ POP</t>
  </si>
  <si>
    <t>36200-0225</t>
  </si>
  <si>
    <t>Плотность: 14.75 oz. 
Вечная классика, эти джинсы Levis 501 Crop не нуждаются в представлении. Чистый холст для самовыражения с 1873 года. Винтажный крой с универсальными прямыми штанинами. Укороченный современный силуэт. Благодаря своему фирменному прямому крою и ширинке на пуговицах он не может быть более вневременным, чем этот. Оригинальные  джинсы с 1873 года. Знаменитая прямая посадка и фирменная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t>
  </si>
  <si>
    <t>28/26</t>
  </si>
  <si>
    <t>30/28</t>
  </si>
  <si>
    <t>312 SHAPING SLIM DARK INDIGO - FLAT FINISH</t>
  </si>
  <si>
    <t>19627-0228</t>
  </si>
  <si>
    <t>Плотность: 8.75 oz. 
Суперкомфортные джинсы с облегающими штанинами.</t>
  </si>
  <si>
    <t>Levi's Original MILE HIGH SUPER SKINNY TOP SHELF</t>
  </si>
  <si>
    <t>22791-0193</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</si>
  <si>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</si>
  <si>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720 HIRISE SUPER SKINNY LIGHT INDIGO - WORN IN</t>
  </si>
  <si>
    <t>52797-0399</t>
  </si>
  <si>
    <t>Плотность: 11.4 oz. 
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</si>
  <si>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85% хлопок, 13% полиэстер, 2% эластан</t>
  </si>
  <si>
    <t>502 Levi's Original HI-BALL UTILITY MED INDIGO - FLAT FINISH</t>
  </si>
  <si>
    <t>A2051-0002</t>
  </si>
  <si>
    <t>Джинсы Levis Men 502 Hi-ball Utility Jeans - это стильный выбор для современного мужчины, который ищет сочетание классического дизайна и функциональности. Выполненные из качественного денима в синем цвете, они идеально подойдут для повседневной носки и различных событий. Модель имеет прямой крой и немного завышенную талию, что дополнительно увеличивает комфорт при движении. На заднем кармане и на поясе предусмотрены небольшие функциональные карманы для мелочей. А благодаря качественному материалу, джинсы будут долго сохранять свою форму и цвет.</t>
  </si>
  <si>
    <t>501® 54 LIGHT INDIGO - WORN IN</t>
  </si>
  <si>
    <t>A4677-0017</t>
  </si>
  <si>
    <t>Джинсы Levis Men 501 '54 Original Fit Jeans - это классическая модель джинсов, созданная специально для мужчин. Они выполнены из 100% натурального хлопка, что обеспечивает комфорт и приятное ощущение при ношении.
Синий цвет добавляет им стиля и универсальности, позволяя легко сочетать эти джинсы с любыми другими предметами гардероба. Они имеют прямой крой, что обеспечивает свободу движений и комфорт в повседневной жизни.
Модель 501 '54 Original Fit Jeans имеет классический пятикарманник, что делает их функциональными и практичными. Эти джинсы от Levis - идеальный выбор для мужчин, которые ценят качество, стиль и комфорт. Благодаря своему классическому дизайну, они являются универсальной вещью в гардеробе, которую можно носить как в повседневной жизни, так и на различных мероприятиях.</t>
  </si>
  <si>
    <t>721 HIGH RISE SKINNY DARK INDIGO - FLAT FINISH</t>
  </si>
  <si>
    <t>18882-0626</t>
  </si>
  <si>
    <t>Новое поступление</t>
  </si>
  <si>
    <t>Женские джинсы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джинсы станут вашим незаменимым спутником, если вы ищете баланс между непревзойденным качеством и модным внешним видом.</t>
  </si>
  <si>
    <t>501 Levi's Original  Fit LIGHT INDIGO - WORN IN</t>
  </si>
  <si>
    <t>00501-3372</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</si>
  <si>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</si>
  <si>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518 Levi's Original 1970 S PEBBLE BROWN BLUE GREY TA</t>
  </si>
  <si>
    <t>A0366-0003</t>
  </si>
  <si>
    <t>Для коллекции весна-лето 2022 года коллекция Levis Vintage Clothing была вдохновлена ​​экологическим движением, охватившим молодых американцев в конце 1960-х годов и достигшим кульминации в первый День Земли в 1970 году. Жирный зернистый принт. Верные оригиналу, они сделаны с приталенным кроем, застежкой-молнией, медными пуговицами и заметным отсутствием задней нашивки и строчками на задних карманах. Носите их с подходящей курткой Trucker. Архивная репродукция брюк White Tab 1960-х годов. Многоцветный зернистый принт. Дизайн в студенческом стиле. Украшены медными пуговицами.</t>
  </si>
  <si>
    <t>разноцветный</t>
  </si>
  <si>
    <t>721 Levi's Original HIGH RISE SKINNY AZURE MOOD</t>
  </si>
  <si>
    <t>18882-0281</t>
  </si>
  <si>
    <t>Плотность: 12.75 oz. 
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</si>
  <si>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27/28</t>
  </si>
  <si>
    <t>721 Levi's Original HIGH RISE SKINNY LONG SHOT</t>
  </si>
  <si>
    <t>18882-0233</t>
  </si>
  <si>
    <t>Плотность: 8.4 oz. 
Женские облегающие джинсы Levis черного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</si>
  <si>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74% Хлопок, 22% Полиэстер, 4% Эластан</t>
  </si>
  <si>
    <t>710 Levi's Original DUSK RINSE</t>
  </si>
  <si>
    <t>17778-0047</t>
  </si>
  <si>
    <t>71% хлопок, 15% полиэстер, 12% вискоза, 2% эластан</t>
  </si>
  <si>
    <t>711 Levi's Original  ONE MORE TIME</t>
  </si>
  <si>
    <t>18881-0292</t>
  </si>
  <si>
    <t>720 Levi's Original HIRISE Super SKINNY</t>
  </si>
  <si>
    <t>52797-0365</t>
  </si>
  <si>
    <t>78% хлопок, 12% лиоцелл, 7% эластомультиэстер, 3% эластан</t>
  </si>
  <si>
    <t>Levi's Original Mile High Super Skinny</t>
  </si>
  <si>
    <t>22791-0096</t>
  </si>
  <si>
    <t>Очень высокая посадка и супероблегающий силуэт. Ткань Levi's® Sculpt растягивается в 4 направлениях, обеспечивая больше комфорта и свободы движений. Легендарная кожаная нашивка на задней стороне пояса.</t>
  </si>
  <si>
    <t>74% хлопок,12% эластомультиэстер, 10% полиэстер, 4% эластан</t>
  </si>
  <si>
    <t>512 Levi's Original SLIM TAPER MED INDIGO - WORN IN</t>
  </si>
  <si>
    <t>28833-1163</t>
  </si>
  <si>
    <t>Плотность: 11.6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</si>
  <si>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Levi's Original Fit MED INDIGO - WORN IN</t>
  </si>
  <si>
    <t>00501-3467</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</si>
  <si>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Отделка этих джинсов выполнена в стиле 1970-х годов. Эта модель выпущена ко 150-ю первых синих джинсов с индивидуальной нашивкой, красной биркой, пуговицами и заклепками.</t>
  </si>
  <si>
    <t>18882-0888</t>
  </si>
  <si>
    <t>Женские джинсы скинни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облегающие джинсы станут вашим незаменимым спутником, если вы ищете баланс между непревзойденным качеством и модным внешним видом.</t>
  </si>
  <si>
    <t>81% хлопок, 18% полиэстер, 1% эластан</t>
  </si>
  <si>
    <t>720 Levi's Original HIRISE SUPER SKINNY ONTARIO SKIP</t>
  </si>
  <si>
    <t>52797-0292</t>
  </si>
  <si>
    <t>Плотность: 11.96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</si>
  <si>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лиоцелл, 9% полиэстер, 5% эластан</t>
  </si>
  <si>
    <t>710 SUPER SKINNY DARK INDIGO - FLAT FINISH</t>
  </si>
  <si>
    <t>17778-0515</t>
  </si>
  <si>
    <t>721 HIGH RISE SKINNY LIGHT INDIGO - WORN IN</t>
  </si>
  <si>
    <t>18882-0933</t>
  </si>
  <si>
    <t>74% хлопок, 24% полиэстер, 2% эластан</t>
  </si>
  <si>
    <t>512 Levi's Original SLIM TAPER RED LIP BATFISH ADV</t>
  </si>
  <si>
    <t>28833-1187-1</t>
  </si>
  <si>
    <t>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</si>
  <si>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726 HR FLARE MED INDIGO - WORN IN</t>
  </si>
  <si>
    <t>A3410-0170</t>
  </si>
  <si>
    <t>712 SLIM WELT POCKET DARK INDIGO - WORN IN</t>
  </si>
  <si>
    <t>A6199-0008</t>
  </si>
  <si>
    <t>721 Levi's Original HIGH RISE SKINNY CHELSEA EVE</t>
  </si>
  <si>
    <t>18882-0434</t>
  </si>
  <si>
    <t>71% хлопок, 21% вискоза, 6% полиэстер, 2% эластан</t>
  </si>
  <si>
    <t>501® 90S BLACKS</t>
  </si>
  <si>
    <t>A1959-0108</t>
  </si>
  <si>
    <t>Женские джинсы Levis 501 '90s Women's Jeans — это идеальное сочетание вашего любимого стиля и ностальгии по 90-м. Эти джинсы с классической средней посадкой и свободным прямым кроем обеспечивают комфорт и стиль в одном флаконе. Легкая мешковатость по ноге добавляет современного шарма, придавая образу непринужденность. Мы создали их так, чтобы они выглядели как те винтажные джинсы, которые вы давно искали в комиссионках, но без необходимости долгих поисков. Если вы хотите более облегающий крой, выбирайте джинсы на размер меньше, а для менее свободного — обратите внимание на модель 501 . Эти джинсы с 1873 года остаются символом аутентичности и стиля. Освобожденные в области бедер и ягодиц, они предлагают комфортную посадку, при этом сохранена средняя высота талии в 10 1/2 дюймов. Изготовленные из 100% хлопкового денима, они не растягиваются, что сохраняет их форму. Классическая ширинка на пуговицах и пять карманов завершают образ, делая их неотъемлемой частью любого гардероба.</t>
  </si>
  <si>
    <t>501® 90S MED INDIGO - WORN IN</t>
  </si>
  <si>
    <t>A1959-0109</t>
  </si>
  <si>
    <t>511™ SLIM GREYS</t>
  </si>
  <si>
    <t>04511-6353</t>
  </si>
  <si>
    <t>Современные мужские зауженные джинсы Levis 511 Slim Fit, созданные для тех, кто ценит комфорт и стиль. Эти джинсы содержат эластан, благодаря чему они обеспечивают превосходную подвижность и комфорт в течение всего дня. Levis 511 придают стройный вид, но в то же время позволяют сохранять свободу движений, предлагая прекрасную альтернативу традиционным джинсам скинни.
Levis 511 оснащены ширинкой на молнии с фирменной металлической пуговицей, что добавляет удобства и надежности. Классический стиль с пятью карманами сохраняет традиционный внешний вид, добавляя функциональности. Знаменитый фирменный лейбл Levis и дугообразные строчки на задних карманах подчеркивают аутентичность и уникальность этих джинсов.
Завершающим аккордом является нашивка с культовым логотипом Two Horse Pull, символизирующая прочность и долговечность продукта. Этот элемент не только добавляет узнаваемости, но и подтверждает высокое качество джинсов. 
Идеальные для повседневного ношения или более формальных случаев, Levis 511 Slim Fit станут вашим надежным спутником, позволяя чувствовать себя комфортно и уверенностью в любой ситуации. Соединяя в себе стиль, удобство и проверенное качество, эти джинсы — незаменимый элемент современного мужского гардероба.</t>
  </si>
  <si>
    <t>Levi's Original Long Bottoms</t>
  </si>
  <si>
    <t>83368-0048</t>
  </si>
  <si>
    <t>Плотность: 11.5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</si>
  <si>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22S</t>
  </si>
  <si>
    <t>54-56</t>
  </si>
  <si>
    <t>24S</t>
  </si>
  <si>
    <t>721 Levi's Original HIGH RISE SKINNY Z0467 MEDIUM BLUE</t>
  </si>
  <si>
    <t>18882-0536</t>
  </si>
  <si>
    <t>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</si>
  <si>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502 Levi's Original HI-BALL UTILITY BLACKS</t>
  </si>
  <si>
    <t>A2051-0001</t>
  </si>
  <si>
    <t>Джинсы для мужчин от Levis 502 Hi-ball Utility Jeans в черном цвете – это стильный вариант для мужчин, которые предпочитают комфорт и качество. Они изготовлены из прочного материала, который сохраняет свой вид даже при частом ношении и стирке.
Джинсы имеют удобную посадку и зауженный книзу крой, что позволяет создавать модные образы, как для повседневной носки, так и для особых случаев. Они имеют несколько карманов, что делает их еще более удобными и практичными.
Черный цвет джинсов прекрасно сочетается с различными элементами гардероба и позволяет создавать разнообразные стильные образы. Эти джинсы отличный выбор для мужчин, которые ценят стиль, комфорт и качество.</t>
  </si>
  <si>
    <t>711 Levi's Original SKINNY MED INDIGO - WORN IN</t>
  </si>
  <si>
    <t>18881-0708</t>
  </si>
  <si>
    <t>60% хлопок, 23% вискоза, 16% полиэстер, 1% эластан</t>
  </si>
  <si>
    <t>510 Levi's Original SKINNY SLOWMO ADV</t>
  </si>
  <si>
    <t>05510-1181</t>
  </si>
  <si>
    <t>88% хлопок, 10% полиэстер, 2% эластан,</t>
  </si>
  <si>
    <t>312 SHAPING SLIM MED INDIGO - WORN IN</t>
  </si>
  <si>
    <t>19627-0225</t>
  </si>
  <si>
    <t>76% хлопок, 23% полиэстер, 1% эластан</t>
  </si>
  <si>
    <t>501 Levi's Original CROP TANGO SURGE</t>
  </si>
  <si>
    <t>36200-0167</t>
  </si>
  <si>
    <t>Плотность: 12.3 oz. 
Закрой глаза. Скажи про себя «джинсы». Теперь открой. Вспомнилась модель 501? Эти джинсы буквально эталон для всех существующих сейчас моделей. Они стали неотъемлемой частью нашей жизни еще в далеком 1873 году, с момента их изобретения самим Леви Штроссом!. Они никогда не выходили из моды. И будут актуальны всегда. Оригинальные синие джинсы с 1873 года Чистый холст для самовыражения. С легендарным прямым кроем с фирменной застежкой на пуговицы. Укороченный современный силуэт.</t>
  </si>
  <si>
    <t>712 SLIM WELT POCKET DARK INDIGO - FLAT FINISH</t>
  </si>
  <si>
    <t>A6199-0002</t>
  </si>
  <si>
    <t>Современные женские джинсы Levis 712 Slim Taper — идеальное сочетание стиля и комфорта на каждый день. Эти джинсы акцентируют стройность фигуры, сохраняя при этом достаточно свободы движения, что делает их великолепной альтернативой привычным скинни. Модель оснащена ширинкой на молнии и фирменной металлической застежкой на пуговицу, что делает их первоклассным выбором для любой гардеробной капсулы. Джинсы выполнены в классическом стиле с пятью карманами, что обеспечивает необходимое удобство и функциональность. Задние карманы украшены узнаваемыми дугообразными строчками, а фирменный лейбл Levis подчеркивает их аутентичность. Завершающим штрихом является культовая нашивка с логотипом Two Horse Pull, символизирующая непревзойденную прочность и долговечность продукции Levis. Эти джинсы легко впишутся в ваш повседневный образ, идеально сочетаясь как с классической рубашкой, так и с любыми трикотажными изделиями. Это универсальная модель, которая подчеркнет вашу индивидуальность и станет незаменимым элементом гардероба.</t>
  </si>
  <si>
    <t>28833-0442</t>
  </si>
  <si>
    <t>512 Levi's Original SLIM TAPER UR SO COOL</t>
  </si>
  <si>
    <t>28833-1191</t>
  </si>
  <si>
    <t>62% хлопок, 36% полиэстер, 2% эластан</t>
  </si>
  <si>
    <t>Levi's Original lichte super skinny jeans met hoge taille 720</t>
  </si>
  <si>
    <t>52797-0357</t>
  </si>
  <si>
    <t>78% хлопок, 12% лиоцелл, 7% эластомультиэфир, 3% эластан</t>
  </si>
  <si>
    <t>512 Slim Taper</t>
  </si>
  <si>
    <t>A2087-0087</t>
  </si>
  <si>
    <t>Современные мужские джинсы слим Levi's 512 Slim Taper Fit — идеальный выбор для тех, кто ищет стильное и комфортное решение на каждый день. Эти зауженные джинсы с добавлением эластана обеспечивают комфорт и свободу движений, сохраняя при этом стройный и аккуратный вид. Они являются отличной альтернативой классическим джинсам скинни, предлагая более расслабленный, но в то же время модный крой. Джинсы оснащены ширинкой на молнии с фирменной металлической застежкой на пуговицу, что обеспечивает удобство и надежность. Классический стиль с пятью карманами добавляет функциональности, а фирменный лейбл Levi's и дугообразные строчки на задних карманах подчеркивают аутентичность и высокий статус бренда. Культовая нашивка с логотипом Two Horse Pull свидетельствует о прочности и долговечности, которые сделали Levi's символом качества. Эти джинсы легко сочетаются с разными элементами гардероба, предлагая стиль и комфорт для современных мужчин.</t>
  </si>
  <si>
    <t>725 Levi's Original HIGH RISE BOOTCUT RIO INSIDER</t>
  </si>
  <si>
    <t>18759-0096</t>
  </si>
  <si>
    <t>Плотность: 10.8 oz. 
Женские джинсы клеш Levis синего цвета. Сверхвысокая посадка сочетается с современными штанинами. Выполнены из денима с добавлением эластана. Облегающий крой, расклешенные книзу брючины, визуально удлиняющие ноги.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</si>
  <si>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BLOW YOUR MIND</t>
  </si>
  <si>
    <t>18882-0512</t>
  </si>
  <si>
    <t>Плотность: 11.4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</si>
  <si>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502 Levi's Original Taper Jeans</t>
  </si>
  <si>
    <t>29507-1367</t>
  </si>
  <si>
    <t>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</si>
  <si>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70% хлопок, 28% лиоцелл, 2% эластан</t>
  </si>
  <si>
    <t>502®  Jeans Taper</t>
  </si>
  <si>
    <t>A2088-0050</t>
  </si>
  <si>
    <t>Джинсы Levi's 502 Regular Fit - это более изысканная и современная альтернатива вашим любимым прямым джинсам. Дополнительный объем в области бедер и чистый, и прямой озволяют легко подобрать стиль без ущерба для комфорта. Наш самый универсальный прямой крой легко носить как с повседневной, так и с нарядной одеждой.</t>
  </si>
  <si>
    <t>99% Хлопок, 1% Эластан</t>
  </si>
  <si>
    <t>501® LEVIS®ORIGINAL FIT WHITES</t>
  </si>
  <si>
    <t>00501-3853</t>
  </si>
  <si>
    <t>510™ SKINNY LIGHT INDIGO - WORN IN</t>
  </si>
  <si>
    <t>05510-1299</t>
  </si>
  <si>
    <t>70% хлопок, 28% лиоцел, 2% эластан</t>
  </si>
  <si>
    <t>511 SLIM LIGHT INDIGO - WORN IN</t>
  </si>
  <si>
    <t>04511-5937</t>
  </si>
  <si>
    <t>Плотность: 12.9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</si>
  <si>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99% Хлопок/1% Эластан</t>
  </si>
  <si>
    <t>502 TAPER LIGHT INDIGO - WORN IN</t>
  </si>
  <si>
    <t>29507-1455</t>
  </si>
  <si>
    <t>Более изысканная и современная альтернатива прямым джинсам модель Levis 502 Regular Taper выполнена из чистого неэластичного хлопкового денима. Придают стройный вид, сохраняя свободу движения длагодаря дополнительному пространству в бедрах.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</si>
  <si>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724 Levi's Original HIGH RISE STRAIGHT SPILL THE TEA</t>
  </si>
  <si>
    <t>18883-0140</t>
  </si>
  <si>
    <t>Плотность: 11.4 oz. 
Мы взяли популярную высокую посадку и дополнили ее классическими прямыми штанинами. Модель достаточно хорошо тянется, облегая и подчеркивая фигуру, сохраняя комфорт в течение всего дня. Эти повседневные джинсы из эластичного денима станут стильной основой любого образа. Универсальная модель с высокой посадкой, подчеркивающей талию. С классическими прямыми штанинами. Изготовлена на фабрике Candiani Denim Mill в Италии, известном производителе люксовых и инновационных тканей.</t>
  </si>
  <si>
    <t>512 Levi's Original SLIM TAPER CLEAN HANDS ADV</t>
  </si>
  <si>
    <t>28833-0910</t>
  </si>
  <si>
    <t>Плотность: 14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</si>
  <si>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52797-0301</t>
  </si>
  <si>
    <t>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Мы участвуем в инициативе Better Cotton, призванной улучшить стандарты производства хлопка по всему миру.</t>
  </si>
  <si>
    <t>72% хлопок, 14% лиоцелл, 9% полиэстер, 5% эластан</t>
  </si>
  <si>
    <t>511 Levi's Original Slim OSWEGO COOL</t>
  </si>
  <si>
    <t>04511-4911</t>
  </si>
  <si>
    <t>Джинсы Levis Men 511 Slim Fit Jeans - это стильные и комфортные джинсы для мужчин. Они выполнены из смеси хлопка, полиэстера с добавлением эластана, что обеспечивает хорошую эластичность и удобство при ношении.
Дизайн модели 511 Slim Fit предлагает посадку средней высоты и зауженные к низу штанины, что придает джинсам современный и модный вид. Эта модель отлично подходит для создания разнообразных образов - от повседневных до более формальных.
Цвет джинс придает им классический и универсальный вид, что позволяет легко сочетать их с различными верхами и обувью. Это отличный выбор для мужчин, которые ценят комфорт, стиль и качество в одежде.
Джинсы Levis Men 511 Slim Fit Jeans - отличное дополнение к гардеробу любого мужчины, который хочет выглядеть стильно и модно, не жертвуя комфортом.</t>
  </si>
  <si>
    <t>510 Levi's Original skinny</t>
  </si>
  <si>
    <t>05510-1200</t>
  </si>
  <si>
    <t>721 Levi's Original Premium  High Rise Skinny Jeans</t>
  </si>
  <si>
    <t>18882-0554</t>
  </si>
  <si>
    <t>Джинсы Levis Women Premium 721 High Rise Skinny Jeans - это стильная и модная одежда для женщин. Изготовлены из высококачественной ткани, состоящей из 97% хлопка и 3%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Premium 721 High Rise Skinny Jeans.</t>
  </si>
  <si>
    <t>512™ SLIM TAPER LIGHT INDIGO - WORN IN</t>
  </si>
  <si>
    <t>28833-1440</t>
  </si>
  <si>
    <t>52797-0298</t>
  </si>
  <si>
    <t>Плотность: 11.8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</si>
  <si>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720 Levi's Original HIRISE SUPER SKINNY MED INDIGO - WORN IN</t>
  </si>
  <si>
    <t>52797-0329</t>
  </si>
  <si>
    <t>501 Levi's Original Fit LIGHT INDIGO - WORN IN</t>
  </si>
  <si>
    <t>00501-3431</t>
  </si>
  <si>
    <t>501 Levi's Original JEANS FOR WOMEN LIGHT INDIGO - WORN IN</t>
  </si>
  <si>
    <t>12501-0469</t>
  </si>
  <si>
    <t>Винтажные женские джинсы Levis 501 Jeans выполнены из неэластичного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</si>
  <si>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PLEATED BAGGY WIDE LEG MED INDIGO - WORN IN</t>
  </si>
  <si>
    <t>A7455-0001</t>
  </si>
  <si>
    <t>Женские джинсы Levi's Women Baggy Dad Wide Leg Jeans — это сочетание модного стиля и непревзойденного комфорта. Эти джинсы с широкими штанинами и свободным силуэтом вдохновлены популярными моделями из 90-х, придавая вашему образу ретро-шик.  Изготовленные из прочного денима высокого качества, они обеспечивают долговечность и комфорт в носке. Высокая талия подчеркивает фигуру и создает утончённый силуэт, а свободный крой позволяет чувствовать себя свободно и непринужденно во время всего дня. Levi's Women Baggy Dad Wide Leg Jeans легко сочетаются с любыми топами, от уютных свитеров до стильных блузок, что делает их идеальной базой для любого гардероба. Выбирая эти джинсы, вы выбираете стиль, удобство и качество, которые ассоциируются с брендом Levi's.</t>
  </si>
  <si>
    <t>92% модал tencel; 8% эластан</t>
  </si>
  <si>
    <t>725 Levi's Original HIGH RISE BOOTCUT BLACK SHEEP</t>
  </si>
  <si>
    <t>18759-0032</t>
  </si>
  <si>
    <t>Плотность: 9.56 oz. 
Джинсы с завышенной талией выгодно подчеркивают центр тела. Узнайте, почему фирменный стиль Levis «Partie 700» считается лучшим в джинсах, надев эту модель 725 High-Rise Bootcut. Джинсы облегают фигуру, идеально сидят и подчеркивают вашу талию. Стиль 5 карманов. Застежка на молнию.</t>
  </si>
  <si>
    <t>501 SLIM TAPER DARK INDIGO - WORN IN</t>
  </si>
  <si>
    <t>28894-0257</t>
  </si>
  <si>
    <t>Мужские джинсы 501 Levis  Slim Taper.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</si>
  <si>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99% хлопок; 1% эластан</t>
  </si>
  <si>
    <t>724 Levi's Original HIGH RISE STRAIGHT TO THE NINE</t>
  </si>
  <si>
    <t>18883-0015</t>
  </si>
  <si>
    <t>Плотность: 10.8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</si>
  <si>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Levi's Original LOOSE CARGO SOFT SURPLUS SEA SPRAY</t>
  </si>
  <si>
    <t>36693-0007</t>
  </si>
  <si>
    <t>720 Levi's Original High Rise Super Skinny Jeans</t>
  </si>
  <si>
    <t>52797-0000</t>
  </si>
  <si>
    <t>510 Levi's Original SKINNY BLACKS</t>
  </si>
  <si>
    <t>05510-1302</t>
  </si>
  <si>
    <t>68% хлопок, 30% лиоцелл, 2% эластан</t>
  </si>
  <si>
    <t>721 Levi's Original HIGH RISE SKINNY SOFT CLEAN WHITE</t>
  </si>
  <si>
    <t>18882-0204</t>
  </si>
  <si>
    <t>Плотность: 10.9 oz. 
Женские облегающие джинсы Levis белого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</si>
  <si>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LAPIS AIR</t>
  </si>
  <si>
    <t>18882-0398</t>
  </si>
  <si>
    <t>501 Levi's Original CROP</t>
  </si>
  <si>
    <t>36200-0120</t>
  </si>
  <si>
    <t>Плотность: 10.5 oz. 
Вечная классика, эти джинсы Levis 501 Crop не нуждаются в представлении. Чистый холст для самовыражения с 1873 года. Винтажный крой с универсальными прямыми штанинами. Укороченный современный силуэт. Благодаря своему фирменному прямому крою и ширинке на пуговицах он не может быть более вневременным, чем этот. Оригинальные  джинсы с 1873 года. Знаменитая прямая посадка и фирменная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t>
  </si>
  <si>
    <t>711 Levi's Original SKINNY SOFT BLACK</t>
  </si>
  <si>
    <t>18881-0049</t>
  </si>
  <si>
    <t>501 Levi's Original 81 Jeans</t>
  </si>
  <si>
    <t>A4699-0006</t>
  </si>
  <si>
    <t>Оригинальные синие джинсы Levis 1873 года. Эта винтажная модель джинсов — знаковое воплощение классных джинсов для девочек 80-х. Зауженные книзу штанины и самая высокая посадка в модели 501. Изготовлены из 100% хлопка, что обеспечивает комфорт при ношении и долговечность изделия.</t>
  </si>
  <si>
    <t>26/29</t>
  </si>
  <si>
    <t>29/29</t>
  </si>
  <si>
    <t>311 SHAPING SKINNY DARK INDIGO - WORN IN</t>
  </si>
  <si>
    <t>19626-0457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</si>
  <si>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</si>
  <si>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80% хлопок, 14% полиэстер, 6% эластан</t>
  </si>
  <si>
    <t>511 Levi's Original Slim COOL GREY COOL</t>
  </si>
  <si>
    <t>04511-5247</t>
  </si>
  <si>
    <t>Плотность: 12.8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</si>
  <si>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721 Levi's Original HIGH RISE SKINNY LOCAL DARK</t>
  </si>
  <si>
    <t>18882-0296</t>
  </si>
  <si>
    <t>Женские облегающие джинсы Levis синего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</si>
  <si>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568™ LOOSE STRAIGHT GREENS</t>
  </si>
  <si>
    <t>29037-0147</t>
  </si>
  <si>
    <t>Мужские джинсы Levis 568 Stay Loose — это воплощение духа 90-х, возвращение к смелому и непринуждённому стилю. Эти джинсы имеют свободный и мешковатый силуэт, который создаёт современный, но в то же время ретро-образ. Сидя на талии, они дарят комфорт на весь день. Свободная прямая штанина и напуск до щиколотки подчёркивают их непринуждённость, добавляя в ваш образ необходимую долю самоуверенности. Джинсы выполнены из высококачественного хлопкового денима, что обеспечивает их долговечность и удобство. Застёжка-молния и классический 5-карманный фасон делают эту модель практичной и удобной для любого случая. Levis 568 Stay Loose идеально подходят для создания расслабленного повседневного стиля, они легко сочетаются с футболками, свитшотами и куртками. Это настоящий must-have для тех, кто ценит комфорт и стиль, оставаясь верным модным тенденциям прошлых лет.</t>
  </si>
  <si>
    <t>512 SLIM TAPER MED INDIGO - WORN IN</t>
  </si>
  <si>
    <t>28833-1308</t>
  </si>
  <si>
    <t>70% хлопок, 24% пеньковое волокно, 5% эластомультиэстер, 1% эластан</t>
  </si>
  <si>
    <t>314™ SHAPING STRAIGHT</t>
  </si>
  <si>
    <t>19631-0156</t>
  </si>
  <si>
    <t>Женские джинсы Levi's 314 Shaping Straight — идеальный выбор для тех, кто ищет комфорт, стиль и поддержку в одной модели. Эти джинсы прямого кроя созданы для того, чтобы подчеркивать ваши изгибы и визуально удлинять ноги, благодаря чему вы будете выглядеть ещё более привлекательно. Особенность данной модели — легкая компрессионная передняя панель, обеспечивающая разглаживание и поддержку области живота.
Эти суперудобные джинсы созданы для того, чтобы стать вашими любимыми. Аутентичный деним с невероятно мягкой эластичностью — это Levi's Stellar Stretch, благодаря которому джинсы легко восстанавливают свою форму и следуют за вашими движениями, не теряя первоначальный вид при любой носке. Материал ECOVERO, из которого изготовлены джинсы, получен из сертифицированных возобновляемых источников древесины, что делает их более экологичными.
Джинсы средней посадки великолепно формируют бедра и ягодицы. Состав ткани включает хлопок, полиэстер, вискозу (ECOVERO) и эластан (лайкра), гарантируя комфорт и износостойкость. Застежка-молния и классический 5-карманный дизайн добавляют практичности. Эти джинсы легко станут ключевым элементом вашего гардероба, обеспечивая стиль и удобство каждый день.</t>
  </si>
  <si>
    <t>512 Levi's Original SLIM TAPER GENIE ADV</t>
  </si>
  <si>
    <t>28833-0419</t>
  </si>
  <si>
    <t>502™ TAPER GREYS</t>
  </si>
  <si>
    <t>29507-1815</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</si>
  <si>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 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</si>
  <si>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81% хлопок, 18% лен, 1% эластан</t>
  </si>
  <si>
    <t>710 Levi's Original HOPELESS WANDERER</t>
  </si>
  <si>
    <t>17778-0036</t>
  </si>
  <si>
    <t>710 Levi's Original INDIGO RAIN</t>
  </si>
  <si>
    <t>17778-0096</t>
  </si>
  <si>
    <t>711 Levi's Original  SHADED INDIGO</t>
  </si>
  <si>
    <t>18881-0107</t>
  </si>
  <si>
    <t>18881-0289</t>
  </si>
  <si>
    <t>18882-0422</t>
  </si>
  <si>
    <t>711 Levi's Original  RUNOFF</t>
  </si>
  <si>
    <t>19560-0019</t>
  </si>
  <si>
    <t>712 Levi's Original SOULFUL INDIGIO</t>
  </si>
  <si>
    <t>19561-0009</t>
  </si>
  <si>
    <t>712 Levi's Original RUNOFF</t>
  </si>
  <si>
    <t>19561I-0001</t>
  </si>
  <si>
    <t>312 Levi's Original BOURBON BLUE</t>
  </si>
  <si>
    <t>19627-0042</t>
  </si>
  <si>
    <t>Женские джинсы 312 Shaping Slim от Levis — лучший вариант, чтобы выглядеть фантастически, поскольку они созданы для того, чтобы подчеркнуть силуэт. Оснащены технологией Tummy Slimming, которая утягивает живот и облегают ноги.
Они изготовлены с использованием технологий Levis Sculpt и Hypersoft, что делает их очень мягкими, обеспечивающими больший комфорт и поддерживающую эластичность.
Эти брюки подходят ко всему, а благодаря своему дизайну и универсальности они подойдут ко всем типам блузок и обуви. Разнообразьте свой образ этими джинсами.</t>
  </si>
  <si>
    <t>714 Levi's Original SHADED INDIGO</t>
  </si>
  <si>
    <t>21972-0011</t>
  </si>
  <si>
    <t>512 Levi's Original SLIM TAPER FIT</t>
  </si>
  <si>
    <t>28833-0475</t>
  </si>
  <si>
    <t>78% хлопок, 21% полиэстер, 1% эластан</t>
  </si>
  <si>
    <t>720 Levi's Original Supertight Blue</t>
  </si>
  <si>
    <t>52797-0352</t>
  </si>
  <si>
    <t>78% хлопок, 12% лиоцелл, 7% эластомультиэстер, 3% спандекс</t>
  </si>
  <si>
    <t>512® SLIM TAPER</t>
  </si>
  <si>
    <t>28833-1414</t>
  </si>
  <si>
    <t>67% хлопок, 32% лиоцел, 1% эластан</t>
  </si>
  <si>
    <t>XL STRAIGHT</t>
  </si>
  <si>
    <t>A8701-0018</t>
  </si>
  <si>
    <t>Женские джинсы Levis XL Straight Jeans – это стильное воплощение свободы и комфорта в моде. Созданные с учетом современных тенденций, эти джинсы предлагают широкий, мешковатый крой с прямыми штанинами, который легко подстраивается под ваше настроение благодаря регулируемой посадке и съемному поясу-завязке.
- Широкие прямые штанины и свободный крой создают расслабленный, модный образ, который будет актуален в любом сезоне.
- Возможность настроить джинсы под высокую или среднюю посадку позволяет создавать различные образы, адаптируя их под ваши предпочтения и нужды.
- Съемный пояс-завязка добавляет универсальности и позволяет разнообразить стиль, делая акцент на талии.
- Изготовлены из 100% хлопкового денима, что обеспечивает долговечность и прочность джинсов.
- Неэластичная ткань сохраняет форму и структуру даже после многочисленных носок и стирок.
- Застежка-молния и классический 5-карманный стиль подчеркивают функциональность и привлекательный внешний вид.
Levis XL Straight Jeans — это идеальный выбор для тех, кто ценит комфорт, стиль и качество в одежде.</t>
  </si>
  <si>
    <t>55% лен, 45% вискоза</t>
  </si>
  <si>
    <t>27/31</t>
  </si>
  <si>
    <t>28/29</t>
  </si>
  <si>
    <t>00501-3382</t>
  </si>
  <si>
    <t>511 Levi's Original Slim BIOLOGIA ADV</t>
  </si>
  <si>
    <t>04511-4102</t>
  </si>
  <si>
    <t>Плотность: 12 oz. 
Современные зауженные джинсы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нашим культовым логотипом Two Horse Pull, олицетворяющая прочность и долговечность</t>
  </si>
  <si>
    <t>52797-0328</t>
  </si>
  <si>
    <t>Levi's Original RIBCAGE STRAIGHT ANKLE JIVE TOGETHER</t>
  </si>
  <si>
    <t>72693-0099</t>
  </si>
  <si>
    <t>Плотность: 14.75 oz. 
Женские джинсы Levis Ribcage Straight Ankle синего цвета. Выполненные из мягкого денима, они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</si>
  <si>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511™ SLIM LIGHT INDIGO - WORN IN</t>
  </si>
  <si>
    <t>04511-5859</t>
  </si>
  <si>
    <t>510™ SKINNY GREYS</t>
  </si>
  <si>
    <t>05510-1345</t>
  </si>
  <si>
    <t>68% хлопок, 30% лиоцел, 2% эластан</t>
  </si>
  <si>
    <t>18881-0052</t>
  </si>
  <si>
    <t>Плотность: 9.56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</si>
  <si>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712 SLIM WELT POCKET LIGHT INDIGO - WORN IN</t>
  </si>
  <si>
    <t>A6199-0005</t>
  </si>
  <si>
    <t>65% хлопок, 21% вискоза, 7% полиэстер, 5% эластан, 2% эластан</t>
  </si>
  <si>
    <t>RIBCAGE WIDE LEG H223</t>
  </si>
  <si>
    <t>A6081-0011</t>
  </si>
  <si>
    <t>Женские джинсы Levis Ribcage Wide-Leg — идеальное сочетание строгого стиля 70-х и супер высокой посадки 90-х. Они подчеркивают вашу талию и визуально удлиняют ноги благодаря впечатляющей 12-дюймовой посадке. Эти джинсы теперь с широкими штанинами и облегающим сиденьем, узкие от бедра до колена, обеспечивая непревзойденный комфорт. 
Изготовлены из переработанного хлопкового волокна, с заботой об экологии. Джинсы подчеркивают стройность бедер и ягодиц, имеют классический деним и не растягиваются. Удобная застежка-молния и 5-карманный дизайн делают их универсальным выбором для любого гардероба. 
Вы оцените новую интерпретацию ваших любимых джинсов Ribcage, которые помогут создать яркий образ с винтажным настроением.</t>
  </si>
  <si>
    <t>Levi's Original RIBCAGE BELLS</t>
  </si>
  <si>
    <t>A7503-0007</t>
  </si>
  <si>
    <t>Женские джинсы Levis Ribcage Bell из мягкого денима с добавлением эластана дарят приятное ощущение комфорта. Высокая посадка подчеркивает талию и визуально удлиняет ноги. При этом джинсы изящно облегают бедра. Их отличает шикарный расклешенный силуэт в винтажном стиле. Ширинка на молнии. Фирменный лейбл Levis и дугообразные строчки на задних карманах. Нашивка с культовым логотипом Two Horse Pull, олицетворяющим прочность одежды.</t>
  </si>
  <si>
    <t>18881-0534</t>
  </si>
  <si>
    <t>Плотность: 11.5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</si>
  <si>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70% лиоцелл, 18% полиэстер, 10% хлопок, 2% эластан,</t>
  </si>
  <si>
    <t>724 Levi's Original HIGH RISE STRAIGHT</t>
  </si>
  <si>
    <t>18883-0076</t>
  </si>
  <si>
    <t>Плотность: 12.2 oz. 
Визуально уменьшают талию и стройнят. Классическая, универсальная модель с высокой посадкой. Ткань Levis sculpt — это деликатная смесь мягкого хлопка с эластичной нитью, корректирующая фигуру. Легендарная кожаная нашивка на задней стороне пояса. Мы участвуем в инициативе Better Cotton, призванной улучшить стандарты производства хлопка по всему миру.</t>
  </si>
  <si>
    <t>94% хлопок, 4% полиэстер, 2% эластан</t>
  </si>
  <si>
    <t>711 Levi's Original SKINNY LOCAL DARK</t>
  </si>
  <si>
    <t>18881-0475</t>
  </si>
  <si>
    <t>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</si>
  <si>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62% хлопок, 28% вискоза,8% полиэстер, 2% эластан</t>
  </si>
  <si>
    <t>83368-0007</t>
  </si>
  <si>
    <t>Плотность: 8.4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</si>
  <si>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74% хлопок, 22% полиэстер, 4% эластан</t>
  </si>
  <si>
    <t>83737-0001</t>
  </si>
  <si>
    <t>Плотность: 9.56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</si>
  <si>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20L</t>
  </si>
  <si>
    <t>52-54</t>
  </si>
  <si>
    <t>83737-0002</t>
  </si>
  <si>
    <t>24L</t>
  </si>
  <si>
    <t>RETRO HIGH SKINNY MED INDIGO - WORN IN</t>
  </si>
  <si>
    <t>A5758-0008</t>
  </si>
  <si>
    <t>Джинсы Levis Women Retro High Skinny Jeans – это идеальное сочетание ретро-стиля и современного удобства. С высокой посадкой, они эффективно подчеркивают талию и создают изящный силуэт. Узкий крой джинсов акцентирует внимание на ногах, обеспечивая эффектный и стройный вид. Изготовленные из эластичного и прочного денима, эти джинсы обеспечивают комфорт и свободу движений в течение всего дня. Универсальный дизайн позволяет легко комбинировать их с различной одеждой – от повседневных футболок и топов до более элегантных блуз и жакетов. Джинсы Levis Women Retro High Skinny Jeans – это незаменимый элемент гардероба для создания стильных и уверенных образов на каждый день.</t>
  </si>
  <si>
    <t>MID RISE BOYFRIEND</t>
  </si>
  <si>
    <t>19887-0242</t>
  </si>
  <si>
    <t>Женские джинсы Levis Boyfriend Mid Rise — это сочетание комфорта и стиля с расслабленным кроем, который придает образу непринужденность и актуальный вид. Заимствовав элементы мужского стиля, эти джинсы позволяют создать модный и современный аутфит, который станет основой вашего гардероба. Они изготовлены из инновационной ткани Levis Sculpt с использованием технологии Hypersoft, что делает их невероятно мягкими и приятными к телу. Эта ткань поддерживает оптимальную эластичность, обеспечивая свободу движений и гарантируя, что джинсы сохранят свою форму даже после длительного ношения. Средняя посадка обеспечивает комфортную посадку на талии, подходящую для любой фигуры. Эти джинсы легко комбинируются с любой одеждой — от простых футболок и рубашек до стильных блузок. Идеальны для повседневной носки и создания стильных casual-образов.</t>
  </si>
  <si>
    <t>70% хлопок, 20% полиэстер, 8% вискоза, 2% эластан</t>
  </si>
  <si>
    <t>A8701-0008</t>
  </si>
  <si>
    <t>85% хлопок, 15% лен</t>
  </si>
  <si>
    <t>28/31</t>
  </si>
  <si>
    <t>29/31</t>
  </si>
  <si>
    <t>724 HIGH RISE STRAIGHT</t>
  </si>
  <si>
    <t>18883-0349</t>
  </si>
  <si>
    <t>Женские прямые джинсы Levi's 724 High Rise Straight — это стильное решение для тех, кто ценит элегантность и комфорт. Высокая посадка на талии делает ваш силуэт изящным и визуально удлиняет ноги, создавая современный повседневный образ. Изготовленные из денима средней эластичности, эти джинсы обеспечивают комфорт и свободу движений в течение всего дня. Они оснащены ширинкой на молнии и классическим дизайном с пятью карманами, что добавляет практичности и удобства. Фирменный лейбл Levi's и дугообразные строчки на задних карманах придают джинсам уникальный шарм и подчеркивают подлинность бренда. Культовая нашивка с логотипом Two Horse Pull символизирует прочность и долговечность, ставшие визитной карточкой Levi's. Эти джинсы с высокой талией легко комбинируются с различными элементами гардероба, что делает их универсальным выбором для любого случая. Выбирая Levi's 724 High Rise Straight, вы выбираете стиль и качество, проверенные временем.</t>
  </si>
  <si>
    <t>18883-0397</t>
  </si>
  <si>
    <t>HIGH WAISTED MOM JEAN LIGHT INDIGO - WORN IN</t>
  </si>
  <si>
    <t>26986-0054</t>
  </si>
  <si>
    <t>Мама, возможно, не всегда разбирается в джинсах, но она знает, что делать, когда дело доходит до джинсовой ткани. 
Джинсовая ткань с завышенной талией, свободная на бедрах и зауженная к низу. 
Свободный крой на бедрах
Зауженный крой штанины
Высокая посадка
Плотный деним
Фасон с 5 карманами 
Низкая эластичность</t>
  </si>
  <si>
    <t>85% хлопок, 14% полиэстер, 1% эластан</t>
  </si>
  <si>
    <t>Levi's Original MILE HIGH SUPER SKINNY QUEBEC DRAWN</t>
  </si>
  <si>
    <t>22791-0184</t>
  </si>
  <si>
    <t>Плотность: 11.96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</si>
  <si>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82% хлопок, 15% полиэстер, 3% эластан,</t>
  </si>
  <si>
    <t>Levi's Original 70S HIGH FLARE SUCH A DOOZIE</t>
  </si>
  <si>
    <t>A0899-0005</t>
  </si>
  <si>
    <t>Плотность: 14.75 oz. 
Женские джинсы клеш Levis. Это десятилетие достигает новых высот — буквально. И хотя вы, возможно, эмоционально привязаны к узким джинсам, в наших джинсах High Flare 70-х есть что-то, что, несмотря на их намек на десятилетие, известное лавовыми лампами и домашними камнями, кажется невероятно свежим и современным. Для тех дней, когда узкие джинсы не подойдут. Изготовлены из органического денима, облегают в бедрах, с  расклешенными книзу штанинами. Подчеркивающая достоинства фигуры высокая посадка — аутентичные винтажные джинсы на вид и на ощупь. Выполнены из денима с добавлением эластана. Облегающий крой до середины бедра, расклешенные книзу брючины, визуально удлиняющие ноги. Высокая посадка, подчеркивающая талию. Застежка на молнии. Фирменный лейбл Levis и дугообразные строчки на задних карманах. Нашивка с культовым логотипом Two Horse Pull, олицетворяющим прочность одежды.</t>
  </si>
  <si>
    <t>79% хлопок, 21% лиоцелл</t>
  </si>
  <si>
    <t>512 SLIM TAPER LIGHT INDIGO - WORN IN</t>
  </si>
  <si>
    <t>28833-1293</t>
  </si>
  <si>
    <t>501 Levi's Original LMC LMC 80S CARRIER STF RIGID</t>
  </si>
  <si>
    <t>A2231-0000</t>
  </si>
  <si>
    <t>Плотность: 14 oz.
Культовые джинсы прямого кроя с фирменной ширинкой на пуговицах. Вся магия винтажной посадки. Наши новые джинсы Levis Made &amp; Crafted 1980s 501 созданы на основе всеми любимой модели, которую прославили длинноволосые рок-звезды, знаменитости, бунтари и иконы стиля по всему миру. Их легкая унисекс посадка выглядит непринужденно. Аутентичного денима легкой стирки, изготовленного из экологически чистого 100% органического хлопка премиум-класса.</t>
  </si>
  <si>
    <t>541™ ATHLETIC TAPER MED INDIGO - WORN IN</t>
  </si>
  <si>
    <t>18181-0526</t>
  </si>
  <si>
    <t>Джинсы прямого кроя Levis 541 Athletic Fit Stealth идеально подходят для среднего и спортивного телосложения. Универсальные и удобные джинсы со стандартной посадкой по бедру и прямой штаниной. Ширинка на молнии. Классический стиль с пятью карманами. Фирменный лейбл Levis и дугообразные строчки на задних карманах.</t>
  </si>
  <si>
    <t>80S MOM JEAN DARK INDIGO - WORN IN</t>
  </si>
  <si>
    <t>A3506-0015</t>
  </si>
  <si>
    <t>Плотность: 11.9 oz 
Женские джинсы от Levis - это классические джинсы "80s Mom Jeans" для женщин. Они созданы из 100% натурального хлопка, что делает их комфортными и долговечными. 
Джинсы имеют высокую посадку и широкий крой в стиле 80-х, что создает эффектный и модный образ. Они идеально подчеркивают женские формы и придают непринужденный, но стильный вид. Внутришовные швы придают дополнительную прочность и долговечность джинсам.
Эти джинсы имеют стандартный крой пять карманов, что делает их функциональными и удобными для хранения мелочей. Они универсальны и могут быть использованы как для повседневного образа, так и для создания более элегантного и стильного вида.
Для тех, кто стремится выделиться из толпы и создать уникальный образ, джинсы 80s Mom от Levis - отличный выбор. Они сочетают в себе комфорт, качество и стиль, делая их идеальной покупкой для любой модной женщины.</t>
  </si>
  <si>
    <t>67% хлопок, 32% лиоцелл, 1% эластан</t>
  </si>
  <si>
    <t>311 Levi's Original SHAPING SKINNY MED INDIGO - WORN IN</t>
  </si>
  <si>
    <t>19626-0450</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</si>
  <si>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</si>
  <si>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502 Levi's Original Taper PRETTY COOL H222</t>
  </si>
  <si>
    <t>29507-1267</t>
  </si>
  <si>
    <t>Levi's Original 70S HIGH SLIM STRAIGHT HELLO ITS ME</t>
  </si>
  <si>
    <t>A0898-0017</t>
  </si>
  <si>
    <t>Плотность: 14.5 oz. 
Женские джинсы Levis 70S High Straight. Это десятилетие выходит на новые высоты — в буквальном смысле этого слова. И хотя ты можешь иметь эмоциональную привязанность к джинсам-скинни, наши джинсы High Straight в стиле 70-х годов, несмотря на любовь десятилетия к лава-лампам и игрушкам из камней, выглядят невероятно свежо и современно. Изготовлены из органического денима, облегают в бедрах, с классическими прямыми штанинами. Подчеркивающая достоинства фигуры высокая посадка — аутентичные винтажные джинсы на вид и на ощупь. Классический силуэт, который идеально сочетается с ботинками или открытыми сандалиями. Экологичные, сделаны с использованием ткани TENCEL для снижения воздействия на окружающую среду. Выполненные из хлопка с добавлением эластана для комфорта движения. Прямой крой от бедра. Высокая посадка, подчеркивающая талию. Застежка на молнии. Фирменный лейбл Levis и дугообразные строчки на задних карманах. Нашивка с культовым логотипом Two Horse Pull, олицетворяющим прочность одежды.</t>
  </si>
  <si>
    <t>501 Levi's Original CROP SANSOME BREEZE STONE</t>
  </si>
  <si>
    <t>36200-0142</t>
  </si>
  <si>
    <t>Плотность: 10.25 oz. 
Женские джинсы Levis 501 укороченного кроя. Чистый холст для самовыражения с 1873 года. Винтажный стиль с универсальными прямыми штанинами. Выполнены из денима с добавлением эластана для комфорта движения. Высокая посадка на талии. Легендарная кожаная нашивка на задней стороне пояса. Ширинка на пуговицы. Карманы спереди и два кармана с фирменной строчкой Levis сзади.</t>
  </si>
  <si>
    <t>712 SLIM WELT POCKET BLACKS</t>
  </si>
  <si>
    <t>A6199-0006</t>
  </si>
  <si>
    <t>711 DOUBLE BUTTON LIGHT INDIGO - WORN IN</t>
  </si>
  <si>
    <t>A6215-0011</t>
  </si>
  <si>
    <t>511 SLIM BLUES</t>
  </si>
  <si>
    <t>04511-5946</t>
  </si>
  <si>
    <t>67% Хлопок, 32% Лиоцелл (Lenzing TENCEL™ Лиоцелл), 1% Эластан</t>
  </si>
  <si>
    <t>511® SLIM</t>
  </si>
  <si>
    <t>04511-6128</t>
  </si>
  <si>
    <t>04511-5461</t>
  </si>
  <si>
    <t>Плотность: 12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</si>
  <si>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501® LEVIS®ORIGINAL FIT MED INDIGO - WORN IN</t>
  </si>
  <si>
    <t>00501-3736</t>
  </si>
  <si>
    <t>Мужские джинсы 501 Levis Original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Original Fit всегда будут вашим надежным спутником.</t>
  </si>
  <si>
    <t>555™ RELAXED STRAIGHT MED INDIGO - WORN IN</t>
  </si>
  <si>
    <t>000LO-0053</t>
  </si>
  <si>
    <t>Мужские джинсы Levis 555 Relaxed Straight Jeans — это воплощение винтажного стиля и современного комфорта. Эти джинсы отдают дань уважения классическому прямому крою Levi's и предлагают уникальную "анти-фит" посадку, предоставляя больше пространства в бедрах для максимального комфорта. 
Созданные из инновационной ткани Linen+, они сочетают в себе традиционный деним с ультравоздушным льном, обеспечивая легкость, мягкость и прохладу. Добавление растительного красителя индиго демонстрирует природную насыщенность цвета и подчеркивает экологическую ответственность.
Крой с расслабленной посадкой в области бедер дополняется прямыми штанинами, что создает универсальный и стильный образ, подходящий для различных случаев. Эти просторные джинсы оснащены классической застежкой-молнией и имеют 5 карманов для практичного использования. Не растягиваясь, они сохраняют свою форму и долговечность. Эти джинсы — идеальное сочетание ретро-стиля и современного комфорта.</t>
  </si>
  <si>
    <t>82% хлопок, 18% лен</t>
  </si>
  <si>
    <t>555® RELAXED STRAIGHT</t>
  </si>
  <si>
    <t>000LO-0065</t>
  </si>
  <si>
    <t>318 SHAPING WIDE LEG</t>
  </si>
  <si>
    <t>001PZ-0001</t>
  </si>
  <si>
    <t>Женские джинсы 318 Shaping Wide-Leg — идеальное сочетание стиля и комфорта, созданное для того, чтобы удлинять ноги и подчеркивать женственные изгибы. Они обеспечивают безупречную посадку и помогают акцентировать достоинства вашей фигуры. Вшитая передняя вставка надежно скрывает недостатки, визуально сглаживая силуэт. 
Суперудобные джинсы с широкими штанинами стали неотъемлемой частью любого гардероба, так как они созданы, чтобы выгодно подчеркивать фигуру. Разработанные со встроенной вставкой на животе, они не только сглаживают и утягивают, но и обеспечивают надежную поддержку.
Джинсы выполнены из аутентичного денима с невероятно мягкой эластичностью Levi's Stellar Stretch, что позволяет этой модели превосходно сохранять форму, повторяя ваши движения в течение всего дня. Они остаются на месте независимо от ваших действий, добавляя уверенности в каждом шаге. Эти джинсы создают эффектный образ, который заставляет смотреть на вас с восхищением.</t>
  </si>
  <si>
    <t>80% хлопок, 19% полиэстер, 1% эластан</t>
  </si>
  <si>
    <t>001PZ-0004</t>
  </si>
  <si>
    <t>001PZ-0005</t>
  </si>
  <si>
    <t>001PZ-0009</t>
  </si>
  <si>
    <t>318 SHAPING WIDE LEG MED INDIGO - WORN IN</t>
  </si>
  <si>
    <t>001PZ-0012</t>
  </si>
  <si>
    <t>501 CURVE DARK INDIGO - WORN IN</t>
  </si>
  <si>
    <t>0036A-0005</t>
  </si>
  <si>
    <t>Женские джинсы Levi's 501 Curve Jeans созданы специально для подчеркивания женственных изгибов фигуры. Уникальный крой учитывает разницу между талией и бедрами, устраняя зазор между поясом и спиной. Высокая посадка визуально удлиняет ноги и акцентирует талию. Специальная конструкция в области ягодиц и бедер обеспечивает свободу движений, а добавление эластичных волокон придает дополнительную мягкость без потери формы. Культовый дизайн 501® с фирменной пуговичной застежкой и пятикарманным кроем остается вне времени. Эти джинсы идеально подходят для фигур с пышными формами, предлагая безупречную посадку и уверенность в каждом движении. Плотный деним хорошо держит форму, скрывая недостатки и подчеркивая достоинства. Выберите джинсы, которые созданы любить ваше тело, обеспечивая комфорт и стиль в любой ситуации на каждый день.</t>
  </si>
  <si>
    <t>728 HR WIDE LEG BLACKS</t>
  </si>
  <si>
    <t>0039B-0000</t>
  </si>
  <si>
    <t>728 HR WIDE LEG</t>
  </si>
  <si>
    <t>0039B-0002</t>
  </si>
  <si>
    <t>Женские джинсы Levis 728 High-Rise Wide-Leg — это сочетание элегантности, комфорта и современного стиля. Они обладают высокой посадкой и широкими штанинами, которые подчеркивают фигуру и визуально удлиняют ноги, создавая утонченный силуэт. Эти джинсы скроены с учетом особенностей женской фигуры, обеспечивая идеальную посадку благодаря использованной ткани Vintage Stretch, которая включает хлопок и эластан (LYCRA). Это обеспечивает комфорт и свободу движений, сохраняя при этом классический джинсовый вид. 
Джинсы Levis 728 входят в фирменную коллекцию Lot 700, специально созданную для подчеркивания фигуры каждый день. От стройных бедер до расслабленного бедра — эти джинсы разработаны для оптимальной поддержки и формирования силуэта. Удобная застежка-молния и проверенный временем 5-карманный дизайн делают их не только стильными, но и практичными для повседневного использования. 
Эти джинсы станут незаменимым элементом вашего гардероба, добавляя модную ноту и уверенность в вашем образе. Да и уход за ними прост: достаточно следовать рекомендациям по стирке, чтобы они долго сохраняли свой первозданный вид и комфорт.</t>
  </si>
  <si>
    <t>0039B-0004</t>
  </si>
  <si>
    <t>501 Levi's Original ONEWASH</t>
  </si>
  <si>
    <t>00501-0101</t>
  </si>
  <si>
    <t>Держим цены</t>
  </si>
  <si>
    <t>Плотность: 13.7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</si>
  <si>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STONEWAS</t>
  </si>
  <si>
    <t>00501-0114</t>
  </si>
  <si>
    <t>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</si>
  <si>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40/34</t>
  </si>
  <si>
    <t>501 Levi's Original MEDIUM</t>
  </si>
  <si>
    <t>00501-0193</t>
  </si>
  <si>
    <t>501 Levi's Originall Stretch Mid Rise Regular Fit Straight Leg Jeans - Dirienzo</t>
  </si>
  <si>
    <t>00501-2370</t>
  </si>
  <si>
    <t>00501-3383</t>
  </si>
  <si>
    <t>36/30</t>
  </si>
  <si>
    <t>501 Levi's Original Jeans Light Indigo Destructed</t>
  </si>
  <si>
    <t>00501-3385</t>
  </si>
  <si>
    <t>501® Levi's®ORIGINAL</t>
  </si>
  <si>
    <t>00501-3418</t>
  </si>
  <si>
    <t>Классические мужские джинсы Levi's® 501 — настоящая икона денима с более чем 150-летней историей. Модель сохраняет фирменный прямой крой и культовую застежку на пуговицах, благодаря которым 501® узнаются мгновенно.
Изготовленные из прочного хлопкового денима с минимальной эластичностью, эти джинсы держат форму и со временем только лучше «садятся» по фигуре. Чистый, универсальный голубой оттенок с лёгким эффектом выстиранности делает модель актуальной и легко сочетаемой с любым гардеробом.
Характерные детали включают задние карманы с фирменной отстрочкой, культовый кожаный патч и красную бирку Levi's® Red Tab.
• Посадка: средняя
• Крой: прямой (Regular Straight) по всей длине
• Застежка: на фирменные пуговицы
• Материал: плотный хлопковый деним
• Дизайн: классическая пятикарманная конструкция, фирменные детали Levi's®
Эти джинсы — выбор для тех, кто ценит аутентичный стиль Levi's®, долговечность и безупречно классический силуэт, который никогда не выходит из моды. Отлично подходят для повседневных и расслабленных образов в паре с футболками, рубашками или куртками.</t>
  </si>
  <si>
    <t>501® LEVIS®ORIGINAL FIT BLUES</t>
  </si>
  <si>
    <t>00501-3473</t>
  </si>
  <si>
    <t>501® LEVIS®ORIGINAL FIT GREYS</t>
  </si>
  <si>
    <t>00501-3496</t>
  </si>
  <si>
    <t>00501-3592</t>
  </si>
  <si>
    <t>Классические мужские джинсы Levi's® 501® — настоящая икона денима с более чем 150-летней историей. Модель сохраняет фирменный прямой крой и культовую застежку на пуговицах, благодаря которым 501® узнаются мгновенно.
Изготовленные из прочного хлопкового денима, эти джинсы держат форму и со временем только лучше «садятся» по фигуре. Чистый, универсальный синий оттенок делает модель актуальной и легко сочетаемой с любым гардеробом.
Характерные детали включают фирменные задние карманы с arcuate-строчкой, культовый кожаный патч с двумя лошадьми и красную бирку Levi's® Red Tab.
• Посадка: средняя
• Крой: прямой (Regular Straight) по всей длине
• Застежка: на фирменные пуговицы
• Материал: плотный хлопковый деним
• Дизайн: классическая пятикарманная конструкция, фирменные детали Levi's®
Эти джинсы — выбор для тех, кто ценит аутентичный стиль Levi's®, долговечность и безупречно классический силуэт, который никогда не выходит из моды. Отлично подходят для повседневных и расслабленных образов в паре с футболками, рубашками или куртками.</t>
  </si>
  <si>
    <t>501 LEVI'S ORIGINAL DARK INDIGO - WORN IN</t>
  </si>
  <si>
    <t>00501-3604</t>
  </si>
  <si>
    <t>501® LEVI'S®ORIGINAL</t>
  </si>
  <si>
    <t>00501-3656</t>
  </si>
  <si>
    <t>Мужские джинсы 501 Levis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Fit всегда будут вашим надежным спутником.</t>
  </si>
  <si>
    <t>00501-3658</t>
  </si>
  <si>
    <t>501® LEVIS®ORIGINAL FIT DARK INDIGO - WORN IN</t>
  </si>
  <si>
    <t>00501-3659</t>
  </si>
  <si>
    <t>00501-3662</t>
  </si>
  <si>
    <t>00501-3667</t>
  </si>
  <si>
    <t>00501-3683</t>
  </si>
  <si>
    <t>00501-3708</t>
  </si>
  <si>
    <t>Плотность: 14.39 oz.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</si>
  <si>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00501-3719</t>
  </si>
  <si>
    <t>99% хлопок, 1% эластан</t>
  </si>
  <si>
    <t>501® LEVIS®ORIGINAL FIT MED INDIGO - FLAT FINISH</t>
  </si>
  <si>
    <t>00501-3722</t>
  </si>
  <si>
    <t>00501-3737</t>
  </si>
  <si>
    <t>00501-3739</t>
  </si>
  <si>
    <t>501® LEVIS®ORIGINAL FIT BLACKS</t>
  </si>
  <si>
    <t>00501-3783</t>
  </si>
  <si>
    <t>00501-3785</t>
  </si>
  <si>
    <t>00501-3789</t>
  </si>
  <si>
    <t>00501-3852</t>
  </si>
  <si>
    <t>00501-3895</t>
  </si>
  <si>
    <t>00501-3898</t>
  </si>
  <si>
    <t>00501-3908</t>
  </si>
  <si>
    <t>00505-2913</t>
  </si>
  <si>
    <t>Мужские джинсы Levis 505 Regular Fit — это идеальное сочетание современного стиля и классического кроя, создающие простой, но элегантный повседневный образ. Эти джинсы, отличающиеся прямым кроем, предоставляют просторный фасон, что гарантирует комфорт и свободу движения в течение всего дня. Посадка на талии обеспечивает удобную и естественную посадку, а наличие ширинки на молнии добавляет практичности. Классический стиль с пятью карманами делает их незаменимыми в мужском гардеробе. Задние карманы украшены фирменными дугообразными строчками, что придаёт уникальность и узнаваемость. Особое внимание привлекает нашивка с культовым логотипом Two Horse Pull, символом прочности и качества, присущих бренду Levis. Эти джинсы являются универсальным элементом одежды, подходящим для различных стилий — от повседневного до более официального. Один из самых универсальных вариантов среди прямых моделей, Levis 505 — это надежный выбор для тех, кто ценит комфорт и стиль.</t>
  </si>
  <si>
    <t>505® REGULAR</t>
  </si>
  <si>
    <t>00505-3435</t>
  </si>
  <si>
    <t>00505-3439</t>
  </si>
  <si>
    <t>514 Levi's Original STRAIGHT NATIVE CALI</t>
  </si>
  <si>
    <t>00514-0730</t>
  </si>
  <si>
    <t>Плотность: 11.6 oz. 
Классические джинсы прямого кроя идеально подходят для среднего и спортивного телосложения. Универсальные и удобные джинсы с заниженной талией, со стандартной посадкой по бедру и прямой штаниной. Комфортный эластичный деним. Ширинка на молнии. Классический стиль с пятью карманами. Фирменный лейбл Levis и дугообразные строчки на задних карманах.</t>
  </si>
  <si>
    <t>514 Levi's Original STRAIGHT CLEANER ADV T3</t>
  </si>
  <si>
    <t>00514-1325</t>
  </si>
  <si>
    <t>Ищете не слишком свободные и не слишком прямые джинсы? Джинсы прямого кроя Levis 514 идеально подходят для этой цели. Благодаря своему универсальному обтекаемому силуэту они будут так же хорошо смотреться с футболкой, как и с рубашкой на пуговицах. Классические джинсы прямого кроя идеально подходят для среднего и спортивного телосложения. Универсальные и удобные джинсы с заниженной талией. 5 карманов. Застежка на молнию. Эластан обеспечивают дополнительный комфорт в течение всего дня и легкость движений.</t>
  </si>
  <si>
    <t>514® STRAIGHT</t>
  </si>
  <si>
    <t>00514-1780</t>
  </si>
  <si>
    <t>Представляем мужские классические джинсы прямого кроя Levis 514 Straight — идеальное сочетание стиля, комфорта и качества. Эти джинсы созданы специально для мужчин со средним и спортивным телосложением, обеспечивая превосходную посадку и свободу движений. Заниженная талия и стандартная посадка по бедру подчеркивают естественный силуэт, придавая уверенность в каждом шаге.
Прямые штанины делают модель универсальной, идеально подходящей как для повседневной носки, так и для особых случаев. Ширинка на молнии обеспечивает удобство и практичность, а классический стиль с пятью карманами добавляет функциональности и аутентичного шарма. 
Особое внимание привлекают фирменный лейбл Levi's и дугообразные строчки на задних карманах — знаковые элементы бренда, которые делают эти джинсы узнаваемыми и подчеркивают ваше чувство стиля. Изготовленные из высококачественного денима, они гарантируют долговечность и сохраняют первоначальный вид даже после многочисленных стирок. 
Преимущества:
- Идеальная посадка для среднего и спортивного телосложения. 
- Универсальный дизайн, подходящий для разных случаев. 
- Высокое качество материалов обеспечивает долговечность. 
- Классические детали придают аутентичный стиль. 
- Комфорт и свобода движений благодаря продуманному крою. 
- Практичные элементы: ширинка на молнии, пять карманов. 
- Фирменные знаки Levi's подчеркивают статус и стиль. 
Выбирая джинсы Levi's 514 Straight, вы выбираете проверенный временем стиль и непревзойденное качество, которое сделает ваш образ совершенным на каждый день.</t>
  </si>
  <si>
    <t>514™ STRAIGHT MED INDIGO - WORN IN</t>
  </si>
  <si>
    <t>00514-2018</t>
  </si>
  <si>
    <t>514™ STRAIGHT LIGHT INDIGO - WORN IN</t>
  </si>
  <si>
    <t>00514-2022</t>
  </si>
  <si>
    <t>501® LOOSE BLACKS</t>
  </si>
  <si>
    <t>0057U-0005</t>
  </si>
  <si>
    <t>Мужские джинсы Levis 501 Loose представляют собой смелую интерпретацию легендарной модели, сохраняя фирменные элементы, такие как застежка на пуговицах и прямые штанины, но с более свободной посадкой. Этот современный свободный крой придает образу свежесть и универсальность, позволяя джинсам идеально вписываться в повседневные и более нарядные образы. 
Ключевая особенность – это непринужденный стиль, который обеспечивается свободным кроем в области ягодиц и бедер. Джинсы изготовлены из классического неэластичного денима, обеспечивая комфорт и прочность в носке. Они свободно сидят на талии, а прямая нога добавляет модели современный стиль. При этом, застежка на пуговицах подчеркивает связь с исходным дизайном. Эти джинсы подойдут тем, кто ценит как традиции, так и современные тренды, гармонично соединяя в себе обе эти составляющие. Воплощая сочетание классики и актуальности, Levis 501 Loose станет идеальным дополнением к гардеробу.</t>
  </si>
  <si>
    <t>501® LOOSE DARK INDIGO - FLAT FINISH</t>
  </si>
  <si>
    <t>0057U-0006</t>
  </si>
  <si>
    <t>501® LOOSE LIGHT INDIGO - WORN IN</t>
  </si>
  <si>
    <t>0057U-0009</t>
  </si>
  <si>
    <t>501® LOOSE</t>
  </si>
  <si>
    <t>0057U-0026</t>
  </si>
  <si>
    <t>501® RELAXED</t>
  </si>
  <si>
    <t>0057V-0008</t>
  </si>
  <si>
    <t>Мужские джинсы Levis 501 Relaxed Jeans.  Эти культовые мужские джинсы из плотного денима — воплощение аутентичного стиля и безупречного качества. Натуральный хлопок обеспечивает долговечность изделия, которое со временем становится только лучше, идеально адаптируясь под вашу фигуру. Классическая пятикарманная конструкция и фирменная фурнитура подчеркивают наследие легендарного бренда. Эти джинсы станут настоящим сердцем вашего гардероба. Носите их с базовой футболкой и грубыми ботинками для создания брутального образа в духе вест-коаст. Для более мягкого и расслабленного лука дополните их объемным худи и легкими кедами. Эти джинсы безгранично универсальны, они легко впишутся в любой стиль, добавив вашему повседневному аутфиту нотку настоящей американской свободы, непоколебимой классики и бунтарского духа.</t>
  </si>
  <si>
    <t>0057V-0009</t>
  </si>
  <si>
    <t>0057V-0011</t>
  </si>
  <si>
    <t>0057V-0014</t>
  </si>
  <si>
    <t>LOOSE BOOT</t>
  </si>
  <si>
    <t>005DO-0004</t>
  </si>
  <si>
    <t>25/29</t>
  </si>
  <si>
    <t>31/29</t>
  </si>
  <si>
    <t>501 CURVE LIGHTWEIGHT DARK INDIGO - WORN IN</t>
  </si>
  <si>
    <t>0066J-0001</t>
  </si>
  <si>
    <t>88% хлопок, 9% лиоцелл, 2% эластомультиэстер, 1% эластан</t>
  </si>
  <si>
    <t>LOW SLIM BOOT BLACKS</t>
  </si>
  <si>
    <t>006KC-0000</t>
  </si>
  <si>
    <t>Женские джинсы Levis Low Slim Boot Jeans.  Эти культовые женские джинсы с высокой посадкой из инновационного денима с лиоцеллом и эластаном созданы для безупречной посадки и максимального комфорта. Ткань невероятно мягкая, хорошо тянется и возвращает свою первоначальную форму, не образуя пузырей на коленях. Классический крой визуально удлиняет ноги и подчеркивает талию, создавая эффектный силуэт. Эти джинсы станут настоящим сердцем вашего гардероба. Носите их с укороченным топом и кедами для создания расслабленного уличного образа. Для более элегантного вида дополните их шелковой блузой и туфлями на каблуке. В прохладную погоду они идеально сочетаются с объемными свитерами и стильными ботильонами. Эти джинсы безгранично универсальны, они легко впишутся в любой стиль, добавив вашему повседневному аутфиту нотку современной классики и уверенности в себе.</t>
  </si>
  <si>
    <t>LOW SLIM BOOT MED INDIGO - WORN IN</t>
  </si>
  <si>
    <t>006KC-0002</t>
  </si>
  <si>
    <t>TWISTED SLIM KICK FLARE</t>
  </si>
  <si>
    <t>0088N-0000</t>
  </si>
  <si>
    <t>Мужские джинсы Levis Twisted Slim Kick Flare — это современная интерпретация классических винтажных моделей, взятая из архива Levis. Эти джинсы предлагают уникальный внешний вид благодаря перекрученным боковым швам, которые обхватывают ногу, создавая эффект легкой поношенности, будто джинсы были разносились с первого дня. Ассиметричные карманы добавляют дизайну оригинальности, подчеркивая связь с ретро-стилем.
Модель имеет зауженный крой в области бедер и ягодиц, плавно расклешенный книзу. Средняя посадка и прямые штанины обеспечивают комфортную посадку, которая подчёркивает стройность фигуры. Эластичная ткань Comfort Stretch, использованная при изготовлении джинсов, гарантирует свободу движений и комфорт в течение всего дня, не ограничивая активного образа жизни.
Классическая застежка-молния и 5-карманный дизайн сохраняют узнаваемый стиль Levis, обеспечивая одновременно функциональность и стиль. Джинсы Levis Twisted Slim Kick Flare воплощают в себе переосмысление прошлого с добавлением современных деталей, что делает их идеальным выбором для тех, кто ценит стиль с нотой ретро и хочет создать уникальный образ.</t>
  </si>
  <si>
    <t>723 HIGH RISE STRAIGHT</t>
  </si>
  <si>
    <t>008SY-0002</t>
  </si>
  <si>
    <t>Женские джинсы Levis 723 High Rise Straight Jeans сочетают в себе классический стиль и современные элементы, создавая идеальный базовый элемент гардероба. Эти джинсы вошли в фирменную линейку Lot 700 от Levi's и были переработаны с акцентом на ультрасовременный прямой крой. Высокая посадка джинсов подчеркивает талию и визуально удлиняет ноги, обеспечивая изысканный и утонченный силуэт. Изготовленные из инновационного мягкого материала Soft Stretch, эти джинсы сохраняют свою форму после каждой носки, обеспечивая непревзойденный комфорт. Лиоцелл TENCEL в составе материала придает джинсам нежность и экологичность, делая их идеальным выбором на каждый день. Прямой крой от бедра по всей длине ноги легок и универсален, что позволяет сочетать джинсы с различными топами и обувью. Традиционный 5-карманный дизайн и застежка-молния завершают образ, добавляя практичности и непринужденного стиля. Эти джинсы станут вашим любимым выбором для создания стильных образов.</t>
  </si>
  <si>
    <t>51% хлопок; 37% лиоцелл; 7% полиэстер; 3% эластомультиэстер; 2% эластан</t>
  </si>
  <si>
    <t>725 STUDDED SLIT HEM</t>
  </si>
  <si>
    <t>008T4-0000</t>
  </si>
  <si>
    <t>Женские джинсы Levis 725 Bootcut Studded Slit Hem — это сочетание элегантности и стиля, идеально подходящее для создания эффектных образов. Высокая посадка подчеркнут талию и обеспечивает комфорт за счёт облегающего кроя в области бедер и ягодиц. Узкие штанины переходят в слегка расклешенный низ, помогая визуально удлинить ноги и создать женственный силуэт. Эти джинсы из коллекции Lot 700 дополнены современным дизайном с изысканными заклепками и разрезами по низу, добавляющими стильные акценты и привлекающими внимание к обуви. Застежка-молния и классический 5-карманный дизайн обеспечивают практичность и удобство в повседневной носке. Изготовленные из качественного материала, они сохраняют форму и обеспечивают долговечность, предлагая высокий уровень комфорта и стильный внешний вид. Эти джинсы незаменимы для любителей модных вариаций, стремящихся подчеркнуть индивидуальность.</t>
  </si>
  <si>
    <t>81% хлопок; 18% полиэстер; 1% эластан</t>
  </si>
  <si>
    <t>511 Levi's Original Slim Fit</t>
  </si>
  <si>
    <t>04511-1042</t>
  </si>
  <si>
    <t>Плотность: 14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</si>
  <si>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Levi's Original Slim THROTTLE</t>
  </si>
  <si>
    <t>04511-1163</t>
  </si>
  <si>
    <t>04511-1390</t>
  </si>
  <si>
    <t>Плотность: 13.65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</si>
  <si>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Levi's Original Slim NIGHTSHINE</t>
  </si>
  <si>
    <t>04511-1507</t>
  </si>
  <si>
    <t>511 Levi's Original Slim ROCK COD</t>
  </si>
  <si>
    <t>04511-1786</t>
  </si>
  <si>
    <t>Плотность: 13.49 oz. 
Современные зауженные джинсы Levis 511 Slim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нашим культовым логотипом Two Horse Pull, олицетворяющая прочность и долговечность</t>
  </si>
  <si>
    <t>511 Levi's Original Slim NATIVE CALI</t>
  </si>
  <si>
    <t>04511-1907</t>
  </si>
  <si>
    <t>511 Levi's Original Slim BEGONIA OVERT ADV</t>
  </si>
  <si>
    <t>04511-3920</t>
  </si>
  <si>
    <t>LEVIS 511 SLIM MED INDIGO - FLAT FIN</t>
  </si>
  <si>
    <t>04511-4781</t>
  </si>
  <si>
    <t>79% хлопок, 20% полиэстер, 1% эластан</t>
  </si>
  <si>
    <t>511 Levi's Original Slim</t>
  </si>
  <si>
    <t>04511-5318</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</si>
  <si>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</si>
  <si>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511™ SLIM BLACKS</t>
  </si>
  <si>
    <t>04511-5474</t>
  </si>
  <si>
    <t>04511-5537</t>
  </si>
  <si>
    <t>LEVIS 511 SLIM DARK INDIGO - WORN IN</t>
  </si>
  <si>
    <t>04511-5656</t>
  </si>
  <si>
    <t>511™ SLIM BLUES</t>
  </si>
  <si>
    <t>04511-5830</t>
  </si>
  <si>
    <t>04511-6127</t>
  </si>
  <si>
    <t>04511-6136</t>
  </si>
  <si>
    <t>04511-6137</t>
  </si>
  <si>
    <t>511™ SLIM MED INDIGO - WORN IN</t>
  </si>
  <si>
    <t>04511-6208</t>
  </si>
  <si>
    <t>511 SLIM MED INDIGO - WORN IN</t>
  </si>
  <si>
    <t>04511-6225</t>
  </si>
  <si>
    <t>511™ SLIM DARK INDIGO - WORN IN</t>
  </si>
  <si>
    <t>04511-6321</t>
  </si>
  <si>
    <t>04511-6323</t>
  </si>
  <si>
    <t>Представляем джинсы Men 511 Slim Jeans — идеальное сочетание стиля и комфорта. Эти современные узкие джинсы напоминают скинни, но более свободны, что делает их отличной альтернативой обтягивающим моделям. Благодаря облегающему крою, сужающемуся к низу, они идеально сидят на бедрах и ягодицах, создавая аккуратный и стильный вид без излишней вычурности. Модель 511™ Slim идеально подходит для любого образа, будто сшита на заказ. Джинсы изготовлены из Levi's Authentic Soft, самого мягкого и эластичного денима, обеспечивая непревзойденный комфорт. Изогнутый дугообразный шов подчеркивает фирменный стиль Levi's.</t>
  </si>
  <si>
    <t>04511-6326</t>
  </si>
  <si>
    <t>04511-6347</t>
  </si>
  <si>
    <t>04511-6350</t>
  </si>
  <si>
    <t>511™ SLIM MED INDIGO - FLAT FINISH</t>
  </si>
  <si>
    <t>04511-6359</t>
  </si>
  <si>
    <t>81% хлопок, 18% лен, 1% эластан</t>
  </si>
  <si>
    <t>04511-6361</t>
  </si>
  <si>
    <t>04511-6393</t>
  </si>
  <si>
    <t>04511-6512</t>
  </si>
  <si>
    <t>99% хлопок; 1% эластан</t>
  </si>
  <si>
    <t>04511-6518</t>
  </si>
  <si>
    <t>04511-6523</t>
  </si>
  <si>
    <t>67% хлопок; 32% лиоцелл; 1% эластан</t>
  </si>
  <si>
    <t>04511-6534</t>
  </si>
  <si>
    <t>04511-6556</t>
  </si>
  <si>
    <t>510 Levi's Original Skinny</t>
  </si>
  <si>
    <t>05510-1160</t>
  </si>
  <si>
    <t>LEVIS 510 SKINNY</t>
  </si>
  <si>
    <t>05510-1248</t>
  </si>
  <si>
    <t>513 Slim Straight</t>
  </si>
  <si>
    <t>08513-0933</t>
  </si>
  <si>
    <t>Плотность: 13.9 oz. 
Современные мужские джинсы Levis 513 Slim Straight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</si>
  <si>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JEANS FOR WOMEN</t>
  </si>
  <si>
    <t>12501-0438</t>
  </si>
  <si>
    <t>Винтажные женские джинсы Levi's 501 Jeans For Women — это культовая модель, которая сочетает в себе классический стиль и современный подход к моде. Изготовленные из прочного неэластичного денима, они предлагают аутентичный вид и ощущение настоящей джинсовой ткани. Прямой фасон этих джинсов придаёт образу актуальный и универсальный стиль, который остаётся на пике моды. Джинсы отличаются средней посадкой на талии, что обеспечивает комфорт и подчёркивает женственный силуэт. Важной деталью является ширинка на пуговицах, которая добавляет ноту винтажности и оригинальности. Классический стиль с пятью карманами оставляет много места для мелочей и дополняет образ. Фирменный лейбл Levi's и узнаваемые дугообразные строчки на задних карманах являются символами качества и традиций. Завершает образ нашивка с культовым логотипом "Two Horse Pull", олицетворяющая прочность и долговечность, благодаря чему Levi's остаётся символом надёжности на протяжении десятилетий. Эти джинсы идеально подходят для создания стильного и уверенного образа.</t>
  </si>
  <si>
    <t>501 JEANS FOR WOMEN DARK INDIGO - WORN IN</t>
  </si>
  <si>
    <t>12501-0554</t>
  </si>
  <si>
    <t>Винтажные женские джинсы Levis 501 Jeans For Women выполнены из неэластичного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</si>
  <si>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JEANS FOR WOMEN MED INDIGO - WORN IN</t>
  </si>
  <si>
    <t>12501-0599</t>
  </si>
  <si>
    <t>Винтажные женские джинсы Levis 501 Jeans For Women — это культовая модель, которая сочетает в себе классический стиль и современный подход к моде. Изготовленные из прочного неэластичного денима, они предлагают аутентичный вид и ощущение настоящей джинсовой ткани. Прямой фасон этих джинсов придаёт образу актуальный и универсальный стиль, который остаётся на пике моды. Джинсы отличаются средней посадкой на талии, что обеспечивает комфорт и подчёркивает женственный силуэт. Важной деталью является ширинка на пуговицах, которая добавляет ноту винтажности и оригинальности. Классический стиль с пятью карманами оставляет много места для мелочей и дополняет образ. Фирменный лейбл Levi's и узнаваемые дугообразные строчки на задних карманах являются символами качества и традиций. Завершает образ нашивка с культовым логотипом "Two Horse Pull", олицетворяющая прочность и долговечность, благодаря чему Levi's остаётся символом надёжности на протяжении десятилетий. Эти джинсы идеально подходят для создания стильного и уверенного образа.</t>
  </si>
  <si>
    <t>710 Levi's Original SUPER SKINNY BLACKS</t>
  </si>
  <si>
    <t>17778-0034</t>
  </si>
  <si>
    <t>541® ATHLETIC TAPER</t>
  </si>
  <si>
    <t>18181-1048</t>
  </si>
  <si>
    <t>70% хлопок; 28% лиоцелл; 2% эластан</t>
  </si>
  <si>
    <t>541® ATH TAPER B&amp;T</t>
  </si>
  <si>
    <t>18757-0176</t>
  </si>
  <si>
    <t>Мужские джинсы Levi's 541 Athletic Taper созданы специально для обладателей спортивного телосложения, предлагая больше пространства в области бедер и ягодиц для максимального комфорта и свободы движений. Эти джинсы отличаются уникальным сочетанием современного стиля и непринужденной атмосферы, благодаря слегка приталенной отделке и сужающемуся силуэту от колена до лодыжки, что создает обтекаемый и четкий образ. Модель 541 разработана с учетом потребностей высоких и крупных мужчин, обеспечивая идеальную посадку. Изготовленные из ткани Levi's Ease, они сочетают в себе деним средней плотности и оптимальное содержание эластичных волокон, что дарит ощущение легкости и комфорт при движении. Эта фибра позволяет джинсам сохранять свою форму и с каждым днем становиться только лучше, напоминая любимые винтажные модели. Сидя на уровне талии и имея классический 5-карманный дизайн, джинсы также оснащены застежкой-молнией. Незаменимый элемент стиля для тех, кто ценит как внешний вид, так и удобство.</t>
  </si>
  <si>
    <t>42/32</t>
  </si>
  <si>
    <t>56-58</t>
  </si>
  <si>
    <t>44/34</t>
  </si>
  <si>
    <t>58-60</t>
  </si>
  <si>
    <t>18757-0177</t>
  </si>
  <si>
    <t>36/38</t>
  </si>
  <si>
    <t>38/38</t>
  </si>
  <si>
    <t>40/32</t>
  </si>
  <si>
    <t>42/34</t>
  </si>
  <si>
    <t>44/32</t>
  </si>
  <si>
    <t>725™ HIGH RISE BOOTCUT</t>
  </si>
  <si>
    <t>18759-0116</t>
  </si>
  <si>
    <t>Женские джинсы Levis 725 High Rise Bootcut Jeans предлагает стильное сочетание современного кроя и классического дизайна. Эти джинсы с ультравысокой посадкой подойдут для создания актуального образа и подчёркивания женственности. Узкие штанины плавно расширяются к подолу, создавая легкий эффект клеш, который визуально удлиняет ноги и добавляет элегантности фигуре.
Фасон джинсов облегает бедра и ягодицы, обеспечивая комфортную посадку и поддержку. Высокая талия деликатно подчеркивает силуэт, а мягкая эластичность денима позволяет джинсам адаптироваться к движениям тела, даря вам свободу и уверенность. В этих джинсах сочетается аутентичный вид классического денима и современные технологии, обеспечивающие максимальное восстановление формы. Джинсы остаются аккуратными и не мнутся, сохраняя свою форму и стиль даже после длительной носки.
Идеальные для повседневной носки или создания элегантных образов, эти джинсы станут основой любого гардероба, превращая каждую прогулку в модный выход.</t>
  </si>
  <si>
    <t>725 HIGH RISE BOOTCUT LIGHT INDIGO - WORN IN</t>
  </si>
  <si>
    <t>18759-0201</t>
  </si>
  <si>
    <t>Классические джинсы с высокой посадкой и силуэтом bootcut, который визуально удлиняет ноги и подчёркивает талию. Эта модель сочетает уютный деним с продуманным кроем  - идеальный выбор на каждый день.
Особенности:
• Высокая посадка High Rise — подчёркивает талию и визуально вытягивает силуэт
• Классический bootcut-крой — слегка расширенный низ
• 5-карманный дизайн и застёжка на молнию
• Комбинация Lyocell, полиэстера, хлопка и эластана — плотный материал, более устойчивый к износу, с небольшой мягкостью
• Отличный выбор для прохладной погоды благодаря более плотной фактуре денима</t>
  </si>
  <si>
    <t>18882-0024</t>
  </si>
  <si>
    <t>721 Levi's Original HIGH RISE SKINNY SNATCHED</t>
  </si>
  <si>
    <t>18882-0469</t>
  </si>
  <si>
    <t>Плотность: 11.4 oz. 
Джинсы скинни Levis 721 - такие же как модель 720 High-Rise Super Skinny, но с менее облегающими штанинами. Эта модель, подчеркивающая достоинства фигуры, с облегающей посадкой 25 см изготовлена из инновационной эластичной ткани, которая похожа на деним на вид и на ощупь. Подчеркивает фигуру, удлиняет ноги и отлично держит форму. Подъем 25 см подчеркивает фигуру, фиксирует и подтягивает. Достаточно тянущаяся ткань повторяет изгибы тела и не обвисает.</t>
  </si>
  <si>
    <t>721™ HIGH RISE SKINNY</t>
  </si>
  <si>
    <t>18882-0594</t>
  </si>
  <si>
    <t>18882-0762</t>
  </si>
  <si>
    <t>73% хлопок, 26% полиэстер, 1% эластан</t>
  </si>
  <si>
    <t>18882-0868</t>
  </si>
  <si>
    <t>18882-0934</t>
  </si>
  <si>
    <t>18883-0011</t>
  </si>
  <si>
    <t>18883-0016</t>
  </si>
  <si>
    <t>78% хлопок, 21% полиэстер, 1% эластан,</t>
  </si>
  <si>
    <t>724™ HIGH RISE STRAIGHT</t>
  </si>
  <si>
    <t>18883-0204</t>
  </si>
  <si>
    <t>18883-0227</t>
  </si>
  <si>
    <t>724 HIGH RISE STRAIGHT DARK INDIGO - WORN IN</t>
  </si>
  <si>
    <t>18883-0304</t>
  </si>
  <si>
    <t>18883-0321</t>
  </si>
  <si>
    <t>73% хлопок, 26% полиэстер, 1% эластан</t>
  </si>
  <si>
    <t>18883-0385</t>
  </si>
  <si>
    <t>724 HIGH RISE STRAIGHT MED INDIGO - WORN IN</t>
  </si>
  <si>
    <t>18883-0441</t>
  </si>
  <si>
    <t>74% хлопок, 24% полиэстер, 2% эластан</t>
  </si>
  <si>
    <t>18883-0485</t>
  </si>
  <si>
    <t>80% хлопок; 19% полиэстер; 1% эластан</t>
  </si>
  <si>
    <t>311 Levi's Original SHAPING SKINNY SOFT BLACK</t>
  </si>
  <si>
    <t>19626-0000</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</si>
  <si>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</si>
  <si>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311™ SHAPING SKINNY</t>
  </si>
  <si>
    <t>19626-0277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</si>
  <si>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</si>
  <si>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312 SHAPING SLIM SOFT BLACK</t>
  </si>
  <si>
    <t>19627-0000</t>
  </si>
  <si>
    <t>312 Levi's Original SHAPING SLIM DARK INDIGO - FLAT FINISH</t>
  </si>
  <si>
    <t>19627-0001</t>
  </si>
  <si>
    <t>315™ SHAPING BOOT</t>
  </si>
  <si>
    <t>19632-0000</t>
  </si>
  <si>
    <t>Женские джинсы 31S Shaping Bootcut от Levi’s — это идеальный выбор для тех, кто хочет выглядеть стильно и уверенно каждый день. Эти джинсы созданы для того, чтобы подчеркнуть ваш силуэт и естественные изгибы, визуально удлинить ноги и акцентировать внимание на вашей фигуре. Благодаря технологии Levi’s Sculpt с материалом Hypersoft, джинсы обеспечивают невероятный комфорт и мягкость, обеспечивая утяжку в области живота и приятное облегание ног.
Их универсальный дизайн с клешем позволяет сочетать джинсы с различными типами блузок и обуви, от кроссовок до элегантных туфель. Вы сможете создавать разнообразные образы — как повседневные, так и более формальные. Эти джинсы станут незаменимой частью вашего гардероба, разнообразив ваш стиль и позволяя экспериментировать с различными комплектами одежды. Прочные материалы обеспечат долговечность и сохранение формы даже после многих стирок. Разнообразьте свой гардероб вместе с джинсами от Levi's и привлекайте внимание окружающих.</t>
  </si>
  <si>
    <t>315 SHAPING BOOT MED INDIGO - WORN IN</t>
  </si>
  <si>
    <t>19632-0170</t>
  </si>
  <si>
    <t>Levi's Original MID RISE BOYFRIEND DARK INDIGO - WORN IN</t>
  </si>
  <si>
    <t>19887-0164</t>
  </si>
  <si>
    <t>Женские джинсы Levis Mid Rise Boyfriend отличаются повышенным комфортом и свободой. Джинсы-бойфренды с отголосками мужского кроя подчеркнут ультра-непринужденный образ. Средняя посадка на талии. Ширинка на молнии с фирменной пуговицей-болтом. Свободные в бедрах, при этому брючины сужаются книзу, обретая стильную коническую форму. Изготовлены из ткани Levis Sculpt с использованием Hypersoft, обеспечивающей повышенный комфорт и поддержку. Классический стиль с пятью карманами. Фирменный лейбл Levis и дугообразные строчки на задних карманах.</t>
  </si>
  <si>
    <t>Levi's Original MID RISE BOYFRIEND MED INDIGO - WORN IN</t>
  </si>
  <si>
    <t>19887-0225</t>
  </si>
  <si>
    <t>Levi's Original MILE HIGH SUPER SKINNY NAPLES STONE</t>
  </si>
  <si>
    <t>22791-0197</t>
  </si>
  <si>
    <t>Плотность: 12.7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</si>
  <si>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Levi's Original MILE HIGH SUPER SKINNY ONTARIO RIPPER</t>
  </si>
  <si>
    <t>22791-0204</t>
  </si>
  <si>
    <t>Levi's Original HIGH WAISTED MOM JEAN MED INDIGO - WORN IN</t>
  </si>
  <si>
    <t>26986-0026</t>
  </si>
  <si>
    <t>Джинсы Levis Women High Waisted Mom Jeans - это стильная и модная модель джинсов для женщин. Они имеют высокую посадку на талии, что актуально и модно в настоящее время.
Изготовлены из высококачественных материалов, состоящих из хлопка, полиэстера и эластана, что делает их комфортными и приятными к носке на протяжении всего дня. Эти материалы также обеспечивают хорошую вентиляцию и прочность, что позволяет джинсам оставаться в отличном состоянии долгое время.
Дизайн джинсов сочетает в себе стиль мом-джинс, который придает им элегантность и некую ретро-атмосферу. Серый цвет делает их универсальными и легко сочетающимися с другими предметами гардероба.
Эти джинсы идеально подходят для создания стильного повседневного образа. Их можно сочетать с топами, блузками или футболками, и создавать различные модные образы в зависимости от вашего настроения и ситуации.
Джинсы Levis Women High Waisted Mom Jeans - это удобная, стильная и модная вещь, которая станет надежным выбором для любой женщины.</t>
  </si>
  <si>
    <t>23/27</t>
  </si>
  <si>
    <t>512 Levi's Original SLIM TAPER NIGHTSHINE</t>
  </si>
  <si>
    <t>28833-0013</t>
  </si>
  <si>
    <t>Плотность: 10.5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</si>
  <si>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33/36</t>
  </si>
  <si>
    <t>512 Levi's Original SLIM TAPER ROCK COD</t>
  </si>
  <si>
    <t>28833-0280</t>
  </si>
  <si>
    <t>Плотность: 12.25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</si>
  <si>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SLIM TAPER</t>
  </si>
  <si>
    <t>28833-0287</t>
  </si>
  <si>
    <t>512 SLIM TAPER DARK INDIGO - W</t>
  </si>
  <si>
    <t>28833-0682</t>
  </si>
  <si>
    <t>87% хлопок, 11% полиэстер, 2% эластан</t>
  </si>
  <si>
    <t>512 Levi's Original SLIM TAPER BLUES</t>
  </si>
  <si>
    <t>28833-1193</t>
  </si>
  <si>
    <t>28833-1195</t>
  </si>
  <si>
    <t>70% хлопок, 28% тенсель, 2% лайкра</t>
  </si>
  <si>
    <t>512 Levi's Original SLIM TAPER GREYS</t>
  </si>
  <si>
    <t>28833-1262</t>
  </si>
  <si>
    <t>94% хлопок, 5% эластомультиэстер, 1% эластан</t>
  </si>
  <si>
    <t>28833-1310</t>
  </si>
  <si>
    <t>512  SLIM TAPER</t>
  </si>
  <si>
    <t>28833-1317</t>
  </si>
  <si>
    <t>512™ SLIM TAPER TANS</t>
  </si>
  <si>
    <t>28833-1364</t>
  </si>
  <si>
    <t>512™ SLIM TAPER DARK INDIGO - WORN IN</t>
  </si>
  <si>
    <t>28833-1454</t>
  </si>
  <si>
    <t>512™ SLIM TAPER MED INDIGO - WORN IN</t>
  </si>
  <si>
    <t>28833-1456</t>
  </si>
  <si>
    <t>28833-1538</t>
  </si>
  <si>
    <t>28833-1553</t>
  </si>
  <si>
    <t>568 STAY LOOSE BLACKS</t>
  </si>
  <si>
    <t>29037-0052</t>
  </si>
  <si>
    <t>Свободный силуэт в стиле 90-х. Отличные джинсы Levis Stay Loose Denim Spotted Road на каждый день. Свободный крой от бедра. Средняя посадка на талии.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</si>
  <si>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568® LOOSE STRAIGHT</t>
  </si>
  <si>
    <t>29037-0059</t>
  </si>
  <si>
    <t>568 Levi's Original STAY LOOSE LIGHT INDIGO - WORN IN</t>
  </si>
  <si>
    <t>29037-0062</t>
  </si>
  <si>
    <t>Мужские джинсы Levis Men 568 Stay Loose – это стильная и комфортная модель для мужчин из 100% хлопка. Джинсы имеют широкий и свободный крой, который обеспечивает идеальную посадку на фигуре и позволяет свободно двигаться. Они подчеркнут вашу индивидуальность и станут отличным дополнением к вашему повседневному образу.
Изготовленные из высококачественного денима, мягкие и приятны на ощупь. Цвет с элементами стирки и выцветания добавляет им стиля и элегантности, делая их универсальными для любого сезона и стиля.
Они удобны и функциональны, подходят для повседневного использования и могут сочетаться с различными типами верхней одежды и аксессуарами. Джинсы Levis Men 568 Stay Loose станут отличным выбором для мужчин, ценящих комфорт, стиль и качество.</t>
  </si>
  <si>
    <t>29037-0066</t>
  </si>
  <si>
    <t>29037-0070</t>
  </si>
  <si>
    <t>82% хлопок, 18% лен</t>
  </si>
  <si>
    <t>568 LOOSE STRAIGHT DARK INDIGO - FLAT FINISH</t>
  </si>
  <si>
    <t>29037-0078</t>
  </si>
  <si>
    <t>568™ LOOSE STRAIGHT DARK INDIGO - WORN IN</t>
  </si>
  <si>
    <t>29037-0140</t>
  </si>
  <si>
    <t>502 Levi's Original Taper NATIVE CALI</t>
  </si>
  <si>
    <t>29507-0001</t>
  </si>
  <si>
    <t>99% хлопок, 1% лайкра</t>
  </si>
  <si>
    <t>502 Levi's Original Taper NIGHTSHINE</t>
  </si>
  <si>
    <t>29507-0031</t>
  </si>
  <si>
    <t>Плотность: 10.5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</si>
  <si>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502 Levi's Original Regular Taper</t>
  </si>
  <si>
    <t>29507-0036</t>
  </si>
  <si>
    <t>Плотность: 11.6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</si>
  <si>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88% хлопок, 10% полиэстер, 2% эластан</t>
  </si>
  <si>
    <t>502 Levi's Original Regular Taper FIT</t>
  </si>
  <si>
    <t>29507-0053</t>
  </si>
  <si>
    <t>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</si>
  <si>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82% хлопок, 17% полиэстер, 1% эластан</t>
  </si>
  <si>
    <t>502 Levi's Original Taper ROCK COD</t>
  </si>
  <si>
    <t>29507-0280</t>
  </si>
  <si>
    <t>Плотность: 12.25 oz. 
Мужские джинсы Levis 502 синего цвета. Выполнены из стрейчевого денима. Прямой крой, слегка зауженные книзу брючины, средняя посадка.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</si>
  <si>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502 Levi's Original Taper STONEWASH STRETCH T2</t>
  </si>
  <si>
    <t>29507-0555</t>
  </si>
  <si>
    <t>502 Levi's Original Taper MED INDIGO - WORN IN</t>
  </si>
  <si>
    <t>29507-1317</t>
  </si>
  <si>
    <t>29507-1364</t>
  </si>
  <si>
    <t>29507-1417</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</si>
  <si>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
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</si>
  <si>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29507-1420</t>
  </si>
  <si>
    <t>94% хлопок, 5% эластомультиэстер, 1% эластан</t>
  </si>
  <si>
    <t>502™ TAPER LIGHT INDIGO - WORN IN</t>
  </si>
  <si>
    <t>29507-1440</t>
  </si>
  <si>
    <t>Плотность: 12 oz
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</si>
  <si>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502 TAPER BLUES</t>
  </si>
  <si>
    <t>29507-1458</t>
  </si>
  <si>
    <t>Мужские джинсы Levis 502 синего цвета. Выполнены из стрейчевого денима. Прямой крой, слегка зауженные книзу брючины, средняя посадка.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</si>
  <si>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502 TAPER DARK INDIGO - WORN IN</t>
  </si>
  <si>
    <t>29507-1460</t>
  </si>
  <si>
    <t>29507-1572</t>
  </si>
  <si>
    <t>29507-1636</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</si>
  <si>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жизни.&lt;br/&gt;&lt;br/&gt;Джинсы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</si>
  <si>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81% Хлопок, 18% Лен, 1% Эластан</t>
  </si>
  <si>
    <t>29507-1637</t>
  </si>
  <si>
    <t>29507-1638</t>
  </si>
  <si>
    <t>502™ TAPER MED INDIGO - WORN IN</t>
  </si>
  <si>
    <t>29507-1651</t>
  </si>
  <si>
    <t>29507-1711</t>
  </si>
  <si>
    <t>29507-1772</t>
  </si>
  <si>
    <t>502™ TAPER DARK INDIGO - WORN IN</t>
  </si>
  <si>
    <t>29507-1775</t>
  </si>
  <si>
    <t>29507-1777</t>
  </si>
  <si>
    <t>29507-1778</t>
  </si>
  <si>
    <t>29507-1800</t>
  </si>
  <si>
    <t>29507-1801</t>
  </si>
  <si>
    <t>29507-1819</t>
  </si>
  <si>
    <t>501 Levi's Original CROP BLACK HEART</t>
  </si>
  <si>
    <t>36200-0085</t>
  </si>
  <si>
    <t>97% хлопок, 2% полиэстер, 1% эластан</t>
  </si>
  <si>
    <t>36200-0179</t>
  </si>
  <si>
    <t>Плотность: 15.25 oz. 
Винтажные джинсы Levis 501 синего цвета. Выполнены из денима с добавлением эластана для комфорта движения. Прямой крой, длина до щиколотки. Средняя посадка.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 Укороченный фасон для современного стиля.</t>
  </si>
  <si>
    <t>501® CROP BLACKS</t>
  </si>
  <si>
    <t>36200-0304</t>
  </si>
  <si>
    <t>Женские джинсы Levis 501 укороченного кроя – это воплощение винтажного стиля и современного комфорта. Эти джинсы являются настоящим чистым холстом для самовыражения с момента своего появления в 1873 году и до наших дней. Джинсы выполнены в винтажном стиле с универсальными прямыми штанинами, что делает их идеальным выбором для разнообразных образов и случаев. Изготовленные из высококачественного денима с добавлением эластана, они обеспечивают комфортные движения и сохраняют форму в течение всего дня. Высокая посадка на талии подчеркивает силуэт и создает элегантный образ. Легендарная кожаная нашивка на задней стороне пояса свидетельствует о подлинности и высоком качестве изделия. Ширинка на пуговицах добавляет ретро-шарма и надежности. Джинсы оснащены практичными карманами спереди и двумя карманами с фирменной строчкой Levis сзади, которые обеспечивают удобство и функциональность. Этот классический элемент гардероба легко сочетается с разными топами и обувью, делая его незаменимым в гардеробе каждой модницы. Выберите женские джинсы Levis 501 укороченного кроя, чтобы подчеркнуть свой уникальный стиль и насладиться непревзойденным комфортом.</t>
  </si>
  <si>
    <t>501® CROP</t>
  </si>
  <si>
    <t>36200-0335</t>
  </si>
  <si>
    <t>Женские джинсы Levi's® 501 Crop — современный взгляд на легендарную модель 501®, адаптированный под актуальные тренды. Эта укороченная версия сохраняет культовый прямой крой и фирменную застежку на пуговицах, придавая классике свежий, модный характер.
Укороченная длина открывает щиколотки, делая образ легким и динамичным — отлично подходит для демонстрации обуви: кроссовок, босоножек или ботинок. Средняя посадка комфортно сидит на талии, подчеркивая фигуру без лишней обтяжки.
Выполнены из прочного хлопкового денима с небольшим добавлением эластана  — материал приятно облегает, сохраняя форму и обеспечивая свободу движений. Универсальный синий оттенок с деликатным эффектом выстиранности придаёт модели винтажный характер и делает её универсальной для любого гардероба.
Фирменные детали Levi's® — культовая пуговичная застежка, задние карманы с отстрочкой и кожаный патч с логотипом Two Horse — подчеркивают подлинность бренда и многолетнее качество.
Идеальны для создания стильных повседневных образов: носите с футболками, топами, рубашками или укороченными жакетами для непринужденно модного вида.</t>
  </si>
  <si>
    <t>501® CROP MED INDIGO - WORN IN</t>
  </si>
  <si>
    <t>36200-0391</t>
  </si>
  <si>
    <t>Женские джинсы Levis 501 Crop Jeans — это идеальный вариант для тех, кто стремится сочетать винтажный стиль и современный комфорт. Укороченный крой и универсальные прямые штанины придают им уникальный вид, а добавление эластана в деним обеспечивает свободу движения. Высокая посадка на талии подчеркивает женственные формы и создает элегантный силуэт. Легендарная кожаная нашивка на задней стороне пояса свидетельствует об оригинальности модели, а ширинка на пуговицах возвращает нас к классике 1873 года. Практичные передние карманы и два задних кармана с фирменной строчкой Levi's завершают этот непревзойденный образ, делая джинсы не только стильными, но и функциональными.</t>
  </si>
  <si>
    <t>LVC 1947 501® JEANS Vintage MADE IN JAPAN</t>
  </si>
  <si>
    <t>47501-0225</t>
  </si>
  <si>
    <t>Мужские джинсы Levis Vintage Clothing 1947 501 Jeans являются знаковой моделью, идеально демонстрирующей эволюцию моды середины XX века. В 1947 году Levi's внесла в 501 джинсы изменения, отражающие новые тенденции и предпочтения времени. 
Эти джинсы отличаются более узким кроем, который стал характерной чертой моды тех лет, а также тщательно продуманными деталями. Например, карман для часов теперь украшен заклепками, что добавляет изделию стильный и функциональный акцент. Знаменитая дугообразная строчка на задних карманах выполняется с помощью технологии двойной иглы, что гарантирует ее точность и долговечность. 
Для создания модели используется деним Red Line Selvedge плотностью 340 г, который ткется на традиционных узких ткацких станках. Это обеспечивает высокое качество материала и придает джинсам аутентичный вид подлинника. Эти джинсы относятся к коллекции Shrink-to-Fit, что дает возможность покупателям добиться идеальной посадки путем самостоятельной регулировки после стирки, адаптируя их под индивидуальные особенности фигуры. 
Ключевые особенности: 
- Классический стиль 501 с богатой историей.
- Современный узкий крой с прямыми штанинами.
- Изготовлены из органического хлопка и высококачественного денима с кромкой.
- Застежка на пуговицах и традиционный дизайн с пятью карманами.
- Скрытые заклепки на задних карманах для дополнительной прочности и комфорта. 
Эти джинсы не только отражают стиль эпохи, но и предлагают современным покупателям уникальное сочетание традиционного качества и актуальной моды. Они идеально подойдут для ценителей винтажного стиля и качественных, долговечных вещей.</t>
  </si>
  <si>
    <t>99% хлопок 1% эластан</t>
  </si>
  <si>
    <t>502® TAPER B&amp;T</t>
  </si>
  <si>
    <t>59684-0168</t>
  </si>
  <si>
    <t>Мужские джинсы Levi's 502 Taper — это воплощение универсальности и современного стиля, специально созданное для тех, кто ценит комфорт и изысканный внешний вид. Эти джинсы представляют собой идеальный баланс между узким и просторным кроем, обеспечивая комфортное прилегание и свободу движений. Обтекаемые зауженные штанины придают им утонченный и модный вид, делая 502 Taper отличной альтернативой традиционным прямым джинсам. Благодаря размерной сетке, которая учитывает высоких и крупных людей, вы можете быть уверены в идеальной посадке. 
Изготовленные из ткани Levi's Ease, сочетающей деним средней плотности и эластичные волокна, эти джинсы обеспечивают прочность и комфорт, а также сохраняют форму, напоминая ваши любимые винтажные модели. Посадка на уровне талии и регулярный крой по бедру акцентируют внимание на фигуре, в то время как сужающиеся штанины добавляют стилю элегантности. Джинсы оснащены застежкой-молнией и классическим 5-карманным дизайном, выполнены из смеси хлопка и лайкры, что делает их незаменимой частью повседневного гардероба.</t>
  </si>
  <si>
    <t>59684-0171</t>
  </si>
  <si>
    <t>59684-0172</t>
  </si>
  <si>
    <t>RIBCAGE STRAIGHT ANKLE MED INDIGO - WORN IN</t>
  </si>
  <si>
    <t>72693-0177</t>
  </si>
  <si>
    <t>Женские джинсы Levis Ribcage Straight Ankle синего цвета. Выполненные из мягкого денима, они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</si>
  <si>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RIBCAGE STRAIGHT ANKLE DARK INDIGO - WORN IN</t>
  </si>
  <si>
    <t>72693-0218</t>
  </si>
  <si>
    <t>Женские джинсы Levi's Ribcage Straight Ankle – идеальный выбор для тех, кто предпочитает гармоничное сочетание классики и современности. Эти джинсы прямого кроя с высокой посадкой созданы для того, чтобы выгодно подчеркнуть талию и создать элегантный силуэт. Длина до щиколотки придает образу легкость и стиль, позволяя комбинировать их как с обувью на каблуке, так и с casual кедами.
Джинсы оснащены пуговичной ширинкой, что добавляет винтажный акцент и обеспечивает надежную фиксацию. Особенностью является легендарная кожаная нашивка на поясе сзади, которая подчеркивает высокое качество и подлинность продукта Levi's.
Классический стиль с пятью карманами делает эти джинсы функциональными и удобными для повседневного ношения, обеспечивая достаточную вместимость для разных мелочей. Фирменный лейбл Levi's и узнаваемые дугообразные строчки на задних карманах добавляют характерный стильный акцент, который является визитной карточкой бренда. Эти джинсы станут незаменимой частью гардероба и легко впишутся в любой образ, обеспечивая комфорт и уверенность в каждой детали.</t>
  </si>
  <si>
    <t>31/27</t>
  </si>
  <si>
    <t>RIBCAGE STRAIGHT ANKLE</t>
  </si>
  <si>
    <t>72693-0256</t>
  </si>
  <si>
    <t>30/27</t>
  </si>
  <si>
    <t>72693-0257</t>
  </si>
  <si>
    <t>Плотность: 10.25 oz.
Джинсы Levis Women Ribcage Straight Ankle Jeans  - выбор идеального сочетания стиля, комфорта и качества. Изготовленные из прочного материала, состоящего на 97% из хлопка, 2% полиэстера и 1% эластана, эти джинсы обеспечивают максимальную прочность и долговечность. Хлопок придает им приятную тактильную текстуру, полиэстер добавляет эластичность, а эластан обеспечивает свободу движений.
Модель женских джинс Ribcage Straight Ankle Jeans имеет стильный прямой крой и длину до щиколотки. Это идеальный вариант для женщин, которым нравится модный и элегантный образ. 
Их высокая посадка акцентирует внимание на талии и создает эффектный силуэт. Классический дизайн с пятью карманами делает эти джинсы практичными и функциональными. 
Джинсы Levis Ribcage Straight Ankle легко комбинируются со многими стилями верхней одежды и аксессуарами, что позволяет создавать разнообразные модные образы. 
Будьте уверены, что эти джинсы не только будут выглядеть стильно, но и прослужат вам долгое время. Они идеально подойдут для повседневной носки или для особых случаев, когда вы хотите выглядеть потрясающе и комфортно одновременно.</t>
  </si>
  <si>
    <t>72693-0286</t>
  </si>
  <si>
    <t>28/27</t>
  </si>
  <si>
    <t>RIBCAGE STRAIGHT ANKLE LIGHT INDIGO - FLAT FINISH</t>
  </si>
  <si>
    <t>72693-0287</t>
  </si>
  <si>
    <t>RIBCAGE FULL LENGTH</t>
  </si>
  <si>
    <t>79078-0008</t>
  </si>
  <si>
    <t>Женские джинсы Levis Women Ribcage Full Length Jeans — это классика с современной ноткой, которая покорит ваше сердце своим безупречным стилем и комфортом. Эти джинсы выделяются своей супер высокой посадкой, которая визуально удлиняет ноги и подчеркивает талию, создавая женственный и элегантный силуэт.
Облегающее штанины от бедра до колена обеспечивают комфорт и поддержку, не сковывая движений. Прямая штанина полной длины завершает образ, добавляя нотку непринужденной элегантности.
Состав ткани обеспечивает джинсам комфортную растяжку и позволяет адаптироваться к вашему телосложению. Деним высокого качества гарантирует долговечность и приятные тактильные ощущения, а комфортная растяжка делает их идеальными для активного образа жизни.
Ширинка на пуговицах и 5-карманный фасон подчеркивают аутентичность и практичность дизайна. Эти джинсы — отличный выбор для создания стильных повседневных образов, которые подчеркнут вашу индивидуальность и уверенность.</t>
  </si>
  <si>
    <t>79078-0014</t>
  </si>
  <si>
    <t>79078-0023</t>
  </si>
  <si>
    <t>97% хлопок, 2% полиэстер, 1% эластан</t>
  </si>
  <si>
    <t>RIBCAGE FULL LENGTH DARK INDIGO - WORN IN</t>
  </si>
  <si>
    <t>79078-0044</t>
  </si>
  <si>
    <t>79078-0061</t>
  </si>
  <si>
    <t>A1959-0106</t>
  </si>
  <si>
    <t>Женские джинсы Levis 501 '90s Women's Jeans — это идеальное сочетание вашего любимого стиля и ностальгии по 90-м. Эти джинсы с классической средней посадкой и свободным прямым кроем обеспечивают комфорт и стиль в одном флаконе. Легкая мешковатость по ноге добавляет современного шарма, придавая образу непринужденность. Мы создали их так, чтобы они выглядели как те винтажные джинсы, которые вы давно искали в комиссионках, но без необходимости долгих поисков. Если вы хотите более облегающий крой, выбирайте джинсы на размер меньше, а для менее свободного — обратите внимание на модель 501 Original. Эти джинсы с 1873 года остаются символом аутентичности и стиля. Освобожденные в области бедер и ягодиц, они предлагают комфортную посадку, при этом сохранена средняя высота талии в 10 1/2 дюймов. Изготовленные из 100% хлопкового денима, они не растягиваются, что сохраняет их форму. Классическая ширинка на пуговицах и пять карманов завершают образ, делая их неотъемлемой частью любого гардероба.</t>
  </si>
  <si>
    <t>501® 90S LIGHT INDIGO - WORN IN</t>
  </si>
  <si>
    <t>A1959-0115</t>
  </si>
  <si>
    <t>Levis 511™ Slim</t>
  </si>
  <si>
    <t>A2081-0078</t>
  </si>
  <si>
    <t>67% Хлопок, 32% Лиоцелл, 1% Эластан</t>
  </si>
  <si>
    <t>726 HR FLARE DARK INDIGO - WORN IN</t>
  </si>
  <si>
    <t>A3410-0014</t>
  </si>
  <si>
    <t>Современные женские джинсы клеш Levis 726 с высокой посадкой визуально удлинняют силуэт и обеспечат комфорт в течение всего дня. Подчеркивают стройный вид. Облегающие в поясе, бедрах и ягодицах, они имеют расклешенные брючины внизу. Ширинка на молнии с фирменной металлической застежкой на пуговицу. Изготовлены из ткани Levis Sculpt с использованием Hypersoft, обеспечивающей свободу движения.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</si>
  <si>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85% хлопок, 7% лиоцелл, 6% эластомультиэстер, 2% эластан</t>
  </si>
  <si>
    <t>BAGGY DAD LIGHT INDIGO - WORN IN</t>
  </si>
  <si>
    <t>A3494-0036</t>
  </si>
  <si>
    <t>BAGGY DAD BLACKS</t>
  </si>
  <si>
    <t>A3494-0056</t>
  </si>
  <si>
    <t>Джинсы Levi's Women Baggy Dad Jeans — это идеальное сочетание комфорта и актуального стиля для современных женщин. Их уникальная посадка и свободный крой вдохновлены популярными свободными стилями добавляют непринужденности и трендовости. Изготовлены из 79% хлопка и 21% лиоцелла, обеспечивая прочность и долговечность.
- Высокий пояс и широкие штанины создают стильный и запоминающийся образ, который идеально подчеркивает фигуру, добавляя уверенности.
- Натуральные материалы, такие как хлопок и лиоцелл, обеспечивают комфортное носование и отличную воздухопроницаемость, что особенно важно для повседневного использования.
- Универсальность модели позволяет комбинировать с различной одеждой, от облегающих футболок до объемных свитшотов, создавая разнообразные образы.
- Машинная стирка при 30 градусах упрощает уход, сохраняя джинсы Levi's Women Baggy Dad Jeans в первозданном виде на протяжении долгого времени.
- Продуманный дизайн джинсов добавляет в гардероб элемент стиля, подчёркивая индивидуальность и осведомленность в модных тенденциях.
- Эти джинсы предлагают свободу движения, делая их отличным выбором для активного образа жизни и повседневного комфорта.</t>
  </si>
  <si>
    <t>BAGGY DAD MED INDIGO - WORN IN</t>
  </si>
  <si>
    <t>A3494-0091</t>
  </si>
  <si>
    <t>Джинсы Levi's Women Baggy Dad Jeans — это идеальное сочетание комфорта и актуального стиля для современных женщин. Их уникальная посадка и свободный крой вдохновлены популярными свободными стилями добавляют непринужденности и трендовости. Изготовлены из хлопка, обеспечивая прочность и долговечность.
- Высокий пояс и широкие штанины создают стильный и запоминающийся образ, который идеально подчеркивает фигуру, добавляя уверенности.
- Натуральные материалы, такие как хлопок и лиоцелл, обеспечивают комфортное носование и отличную воздухопроницаемость, что особенно важно для повседневного использования.
- Универсальность модели позволяет комбинировать с различной одеждой, от облегающих футболок до объемных свитшотов, создавая разнообразные образы.
- Машинная стирка при 30 градусах упрощает уход, сохраняя джинсы Levi's Women Baggy Dad Jeans в первозданном виде на протяжении долгого времени.
- Продуманный дизайн джинсов добавляет в гардероб элемент стиля, подчёркивая индивидуальность и осведомленность в модных тенденциях.
- Эти джинсы предлагают свободу движения, делая их отличным выбором для активного образа жизни и повседневного комфорта.</t>
  </si>
  <si>
    <t>94 BAGGY MED INDIGO - WORN IN</t>
  </si>
  <si>
    <t>A3510-0102</t>
  </si>
  <si>
    <t>Джинсы Levis Women '94 Baggy Jeans - это стильные и удобные джинсы для женщин, созданные из 100% хлопка. Эта модель предлагает комфортную посадку и свободный крой, что делает их идеальным вариантом для ежедневной носки.
Дизайн этих джинсов вдохновлен популярным стилем "бэгги", что добавляет им непринужденности и актуальности. Они имеют широкие штанины и высокий пояс, что придает им крутой и запоминающийся вид.
Эти Levis джинсы также обладают отличной прочностью и долговечностью благодаря использованию высококачественного хлопка. Они легко сочетаются с различной одеждой, от облегающих футболок до объемных свитшотов, что делает их универсальным выбором. Будьте в тренде с Levis Women Baggy Jeans и добавьте стиль и свободу движений в свой гардероб.</t>
  </si>
  <si>
    <t>77% хлопок, 23% полиэстер</t>
  </si>
  <si>
    <t>25/31</t>
  </si>
  <si>
    <t>26/31</t>
  </si>
  <si>
    <t>27/33</t>
  </si>
  <si>
    <t>94 BAGGY DARK INDIGO - WORN IN</t>
  </si>
  <si>
    <t>A3510-0103</t>
  </si>
  <si>
    <t>30/31</t>
  </si>
  <si>
    <t>SUPERLOW BOOT MED INDIGO - WORN IN</t>
  </si>
  <si>
    <t>A4679-0043</t>
  </si>
  <si>
    <t>Женские джинсы Levi's Superlow Bootcut Jeans — как из 2000-х для современного женского гардероба. Одна из самых низких посадок для стиля без компромиссов в качестве исполнения. Джинсы-клеш для большинства типов женской фигуры без ограничений в комфорте носки. Культовая модель эпохи для узнаваемости бренда Levi's без лишних деталей в дизайне. Образец Levi's Superlow для стиля без компромиссов в качестве изделия. Ностальгия 2000-х для повседневной носки без ограничений в комфорте при активности. Джинсы смелы, уникальны для стиля без компромиссов в качестве исполнения. Сочетаются с кроп-топами, платформами для различных образов в гардеробе. Это выбор для ретро-стиля современной женщины без ограничений в комфорте носки. Добавьте в гардероб джинсы Levi's Superlow Bootcut для повседневной носки без компромиссов. Идеальны для вечеринок, прогулок, фото и особых случаев без ограничений в качестве. Славные времена возвращаются в новом качестве для гардероба без компромиссов в стиле.</t>
  </si>
  <si>
    <t>84% хлопок, 15% полиэстер, 1% эластан</t>
  </si>
  <si>
    <t>LOW LOOSE MED INDIGO - WORN IN</t>
  </si>
  <si>
    <t>A5566-0063</t>
  </si>
  <si>
    <t>Женские джинсы Levis Low Loose Jeans — это идеальное сочетание стиля и комфорта, вдохновленное модой 2000-х годов. Эти джинсы с низкой посадкой, которая снова в тренде, станут вашим новым любимым элементом гардероба. Их особенность — прямые широкие штанины и свободный крой в области бедер и ягодиц, что обеспечивает комфорт и легкость движений. Джинсовая ткань высокого качества дарит ощущение надежности и долговечности. 
Модель отличается универсальной низкой посадкой, позволяя комбинировать джинсы с разнообразными топами и обувью для создания как повседневных, так и более нарядных образов. Застежка-молния и классический 5-карманный дизайн добавляют практичности и классики стилю. 
Эти джинсы подходят для повседневной носки и будут гармонично смотреться в вашем образе. Levis Low Loose — это сочетание трендовой эстетики и непревзойденного удобства, которые идеально впишутся в гардероб любой модницы, ценящей стиль и комфорт.</t>
  </si>
  <si>
    <t>55% хлопок, 45% лиоцелл</t>
  </si>
  <si>
    <t>1980'S 501 Vintage MADE IN JAPAN</t>
  </si>
  <si>
    <t>A5875-0007</t>
  </si>
  <si>
    <t>Мужские прямые джинсы Levis Men Made In Japan 1980s 501 Jeans — это образец элегантности и высокого качества, гармонично сочетающий традиции и современные тенденции. Созданные в Японии с использованием первоклассного денима, они демонстрируют непревзойденное мастерство и внимание к деталям, что свойственно японским технологиям. Эта модель, вдохновленная культовым стилем 1980-х годов, сохраняет классический прямой крой 501, который остается символом комфорта и вечной моды. Прочные, стильные и долговечные, они станут неотъемлемой частью гардероба тех, кто ценит не только уникальный дизайн, но и безупречное качество. Фирменный лейбл Levi's и легендарная нашивка с логотипом Two Horse Pull подчеркивают аутентичность и долговечность бренда. Эти джинсы легко сочетать с любым стилем, от кэжуал до более официального. Выбирая Levi's Made In Japan 1980s 501, вы выбираете уникальность и непревзойденное качество, проверенное временем.</t>
  </si>
  <si>
    <t>512 Vintage MADE IN JAPAN</t>
  </si>
  <si>
    <t>A5877-0002</t>
  </si>
  <si>
    <t>Современные мужские джинсы слим Levis 512 Slim Taper Fit — идеальный выбор для тех, кто ищет стильное и комфортное решение на каждый день. Эти зауженные джинсы с добавлением эластана обеспечивают комфорт и свободу движений, сохраняя при этом стройный и аккуратный вид. Они являются отличной альтернативой классическим джинсам скинни, предлагая более расслабленный, но в то же время модный крой. Джинсы оснащены ширинкой на молнии с фирменной металлической застежкой на пуговицу, что обеспечивает удобство и надежность. Классический стиль с пятью карманами добавляет функциональности, а фирменный лейбл Levi's и дугообразные строчки на задних карманах подчеркивают аутентичность и высокий статус бренда. Культовая нашивка с логотипом Two Horse Pull свидетельствует о прочности и долговечности, которые сделали Levi's символом качества. Эти джинсы легко сочетаются с разными элементами гардероба, предлагая стиль и комфорт для современных мужчин.</t>
  </si>
  <si>
    <t>502 Vintage MADE IN JAPAN</t>
  </si>
  <si>
    <t>A5881-0003</t>
  </si>
  <si>
    <t>Мужские джинсы Levis 502 Taper Fit Jeans представляют собой современное воплощение джинсового шика, где культовое наследие сочетается с традиционным мастерством пошива. Эти джинсы являются примером универсальности и стиля, объединяя продуманные детали, безупречный крой и выразительную отделку. Созданные из эластичного денима с кромкой, они обеспечивают дополнительную прочность и комфорт. 
502 Taper Fit – это модель с более узким кроем и обтекаемыми зауженными штанинами, предлагающая современную и изысканную альтернативу классическим прямым джинсам. Они подходят для людей различных комплекций, благодаря своему регулярному крою по бедру и средней посадке, что обеспечивает комфорт на каждый день. 
Эти джинсы изготовлены из эластичной джинсовой ткани, сотканной на традиционном челночном ткацком станке. Такое плетение обеспечивает плотность и создает уникальный, обработанный край, подчёркивающий их исключительность. Модель дополнена классическим 5-карманным дизайном и застёжкой-молнией, которая добавляет удобства. Состав из хлопка и эластана обеспечивает удобство и долговечность, делая их идеальным выбором для создания элегантного повседневного образа.</t>
  </si>
  <si>
    <t>A6081-0001</t>
  </si>
  <si>
    <t>A6081-0009</t>
  </si>
  <si>
    <t>A6081-0019</t>
  </si>
  <si>
    <t>A6081-0020</t>
  </si>
  <si>
    <t>565 LOOSE STRAIGHT</t>
  </si>
  <si>
    <t>A7221-0028</t>
  </si>
  <si>
    <t>Джинсы мужские Levi's Men 565 Loose Straight Jeans идеально подходят для тех, кто ценит стильные и удобные решения. Эта модель возвращает нас в 90-е, вдохновляясь смелыми модными тенденциями того времени, но адаптирована для современных мужчин. Джинсы отличаются непринужденным кроем, обеспечивающим комфортное прилегание. Они сидят низко на талии, а пространство в области ягодиц и бедер обеспечивает свободу движений без излишней мешковатости, сохраняя при этом стильный вид. 
Классический прямой крой штанин делает эти джинсы универсальными – они отлично подходят к любой обуви. Изготовленные из неэластичной ткани, они отличаются прочностью и долговечностью. Средняя высота посадки обеспечивает комфорт при движении и в сидячем положении, а надежная застежка-молния облегчает ежедневное использование. Пять карманов добавляют функциональности, позволяя удобно хранить телефон, ключи и другие мелочи. 
Джинсовая ткань высокого качества делает эти джинсы идеальными для повседневной носки и работы. Сочетайте их с футболками или рубашками, чтобы создать разнообразные образы. Бренд Levi's, известный возрождением легендарных модных решений прошлого, снова в центре внимания. Эти джинсы станут надежной основой вашего гардероба на долгие годы благодаря высококачественному пошиву и прочным ниткам.</t>
  </si>
  <si>
    <t>515 SLIM FIT STRAIGHT MED INDIGO - WORN IN</t>
  </si>
  <si>
    <t>A7222-0002</t>
  </si>
  <si>
    <t>Мужские джинсы Levi's 515 Slim Taper — ваш идеальный выбор, если вы ищете джинсы, которые сочетают в себе утонченность узкого кроя и комфорт традиционных моделей. С балансом между слим-фитом и зауженными, они обеспечивают аккуратное облегание в области бедер и естественно сужаются к лодыжкам, обеспечивая современный и стильный силуэт. Эти джинсы — ультрауниверсальный элемент гардероба, который легко подстроить под любой стиль и случай. Будь то кэжуал в выходные или смарт-кэжуал на работу, 515 Slim Taper джинсы легко адаптируются к вашему образу. Комфортный крой обеспечивается за счет легкого стрейча в ткани, который добавляет гибкости и позволяет джинсам идеально сидеть по фигуре, не стесняя движения. Застежка-молния и классическая конфигурация из пяти карманов делают их максимально удобными и функциональными в повседневном использовании. Мужские джинсы Levi's 515 Slim Taper — это сочетание непревзойденного стиля и непреходящей классики, предназначенное для мужчин, которые ценят качество и комфорт без компромиссов.</t>
  </si>
  <si>
    <t>95% хлопок, 3% эластан, 2% эластан</t>
  </si>
  <si>
    <t>515 SLIM FIT STRAIGHT BLACKS</t>
  </si>
  <si>
    <t>A7222-0003</t>
  </si>
  <si>
    <t>A7222-0004</t>
  </si>
  <si>
    <t>SUPERLOW LOOSE BLACKS</t>
  </si>
  <si>
    <t>A7498-0027</t>
  </si>
  <si>
    <t>RIBCAGE BELLS</t>
  </si>
  <si>
    <t>A7503-0021</t>
  </si>
  <si>
    <t>501® 90S LIGHTWEIGHT MED INDIGO - WORN IN</t>
  </si>
  <si>
    <t>A8421-0014</t>
  </si>
  <si>
    <t>Женские джинсы Levis 501 90s Lightweight Jeans — это идеальное сочетание вашего любимого стиля и духа 90-х годов. Эти джинсы отличаются классической средней посадкой и свободным прямым кроем, создающим слегка мешковатую посадку. Они напоминают винтажные джинсы, найденные в комиссионном магазине, но теперь без долгих поисков. Оригинальный деним с 1873 года воплощает в себе традиции и качество. 
Джинсы имеют среднюю посадку и свободный крой, что обеспечивает комфорт и стиль. Для более тесной посадки выберите размер меньше, а для классического менее свободного варианта рассмотрите модель 501 . Изготовленные из сверхмягкой и легкой ткани, они дарят комфорт на весь день. Свободный крой через бедро, средняя длина и прямой крой делают их универсальными для любого гардероба. 
В составе используется хлопок и лиоцелл, что обеспечивает мягкость и износостойкость. Джинсы оснащены ширинкой на пуговицах и имеют классический 5-карманный фасон. Незаменимый элемент вашего гардероба.</t>
  </si>
  <si>
    <t>501® '90S LIGHTWEIGHT</t>
  </si>
  <si>
    <t>A8421-0020</t>
  </si>
  <si>
    <t>79% хлопок; 21% лиоцелл</t>
  </si>
  <si>
    <t>XL STRAIGHT MED INDIGO - WORN IN</t>
  </si>
  <si>
    <t>A8701-0041</t>
  </si>
  <si>
    <t>55% хлопок, 45% лиоцелл</t>
  </si>
  <si>
    <t>Levi's Original Delilah Chelsea</t>
  </si>
  <si>
    <t>D5381-0009</t>
  </si>
  <si>
    <t>Сапоги</t>
  </si>
  <si>
    <t>Обувь</t>
  </si>
  <si>
    <t>Зимняя обувь</t>
  </si>
  <si>
    <t>Гладкий и модный, свежий и изысканный стиль. Эти универсальные кожаные ботинки челси с легким закругленным носком и устойчивым блочным каблуком имеют эластичную прорезь и язычок, который позволяет легко надевать и снимать обувь. Классические сапоги Levis на каблуке средней высоты. Гладкий кожаный верх. Высота каблука: 55 мм.</t>
  </si>
  <si>
    <t>90% овечья кожа, 10% эластик</t>
  </si>
  <si>
    <t>41</t>
  </si>
  <si>
    <t>LAZY GIRL LOGO CAP</t>
  </si>
  <si>
    <t>000AG-0002</t>
  </si>
  <si>
    <t>Кепка</t>
  </si>
  <si>
    <t>Аксессуары</t>
  </si>
  <si>
    <t>Кепки</t>
  </si>
  <si>
    <t>Бейсболка Levi's Lazy Girl Logo Cap — это стильное дополнение к вашему образу, сочетающее в себе удобство и уникальный дизайн. Эта кепка станет идеальным аксессуаром для повседневной носки, добавляя изюминку в ваш наряд.
Изготовленная из прочного 100% хлопка, бейсболка обеспечивает комфорт и долговечность, что делает её незаменимой в вашем гардеробе. Уникальная графика с логотипом Lazy Girl добавляет индивидуальности и делает её выделяющейся среди других головных уборов.
Кепка оснащена регулируемой застежкой, что позволяет настроить посадку по вашему желанию для максимального удобства. При размерах 27 см в длину, 18 см в ширину и 12 см в высоту она идеально подходит для любой формы головы.
Рекомендуется ручная стирка, чтобы сохранить качество и яркость принта. Эта бейсболка станет отличным выбором для тех, кто ценит стиль без компромиссов с комфортом. Выбирайте Levi's Lazy Girl Logo Cap, чтобы всегда оставаться в тренде!</t>
  </si>
  <si>
    <t>Tech size</t>
  </si>
  <si>
    <t>OS</t>
  </si>
  <si>
    <t>_</t>
  </si>
  <si>
    <t>RINOA WIDE LEG JUMPSUIT BLACKS</t>
  </si>
  <si>
    <t>003S4-0001</t>
  </si>
  <si>
    <t>Комбинезон</t>
  </si>
  <si>
    <t>Комбинезоны</t>
  </si>
  <si>
    <t>Levi's Original  Jacket</t>
  </si>
  <si>
    <t>LM2RU419-ICE</t>
  </si>
  <si>
    <t>Куртка</t>
  </si>
  <si>
    <t>Куртки и пуховики</t>
  </si>
  <si>
    <t>Мужская куртка Levis Double Pocket Stretch Quilted Down Jacket - это стеганая куртка-пуховик с двумя карманами из гладкой искусственной кожи. Два нагрудных кармана с клапанами на кнопках, два боковых кармана для рук, внутренний карман. Красный логотип Levi's на левом кармане.
Эластичные манжеты и подол для комфорта, застежка-молния спереди.
Стеганые панели из водостойкого материала наполнены термоизоляцией из искусственного пуха для удержания тепла тела.</t>
  </si>
  <si>
    <t>100% полиуретан</t>
  </si>
  <si>
    <t>LM2RP467-RTR</t>
  </si>
  <si>
    <t>Мужская куртка Levis Heavyweight Mid-Length Hooded Military Puffer Jacket - это плотная куртка средней длины с капюшоном в стиле милитари. Водонепроницаемая куртка-пуховик с капюшоном и встроенными трикотажными манжетами в рубчик. Два нагрудных кармана с клапанами на кнопках, два нижних прорезных кармана на молнии и один внутренний карман. Регулируемый шнурок на капюшоне. Застежка-молния спереди с планкой на кнопках.
Красная бирка Levi's на левом нагрудном кармане.</t>
  </si>
  <si>
    <t>Levi's Original TYPE 3 SHERPA TRUCKER STONEBRIDG</t>
  </si>
  <si>
    <t>16365-0070</t>
  </si>
  <si>
    <t>Куртка утеплённая</t>
  </si>
  <si>
    <t>Плотность: 14 oz. 
Мужская джинсовая куртка Levis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подходит для ношения каждый день.</t>
  </si>
  <si>
    <t>LM2RS077-BRN</t>
  </si>
  <si>
    <t>Мужская утепленная куртка Levis Buffed Cow Faux Leather Hoody Bomber из мягкой гладкой искусственной овчины, которая согреет вас. Пришитый капюшон с регулируемыми шнурками, трикотажные манжеты и нижний край в рубчик для регулируемой посадки, на подкладке из шерпы в стиле толстовки -  карман-кенгуру, застежка-молния по центру спереди.</t>
  </si>
  <si>
    <t>Levi's Original TRUCKER CLEAN DARK AUTHEN</t>
  </si>
  <si>
    <t>29945-0036</t>
  </si>
  <si>
    <t>Джинсовка</t>
  </si>
  <si>
    <t>Плотность: 14 oz. 
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</si>
  <si>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XXS</t>
  </si>
  <si>
    <t>LM9RC684-RBK</t>
  </si>
  <si>
    <t>Мужская куртка Levis Cotton Shirt Jacket with Soft Faux Fur Lining and Jersey Hood - это хлопковая куртка Levi's с подкладкой из мягкого искусственного меха и трикотажным капюшоном. Имеет крой рубашки. Куртка-рубашка в клетку с отложным воротником и трикотажным капюшоном на шнурке для регулировки посадки.
Мягкая подкладка из искусственного меха.
Застежка молния по центру и планкой на пуговицах, скрывающая молнию.
Два нагрудных кармана с клапанами на пуговицах, два боковых прорезных кармана и один внутренний прорезной карман.
Красная нашивка Levi's на левом нагрудном кармане.</t>
  </si>
  <si>
    <t>LM2RP472-BBL</t>
  </si>
  <si>
    <t>Мужская куртка Levis Out West Mixed Media Puffer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Стеганая обивка наполнена утеплителем из искусственного пуха, который удерживает тепло тела.
Фигурная кокетка, контрастная вставка из искусственной кожи, воротник на подкладке из шерпы. Красный логотип Levi's в левом нижнем шве.</t>
  </si>
  <si>
    <t>67% полиэстер, 33% хлопок</t>
  </si>
  <si>
    <t>Levi's Original EXBF SHERPA TRUCKER STRANGERWAYS</t>
  </si>
  <si>
    <t>36137-0026</t>
  </si>
  <si>
    <t>Джинсовка утепленная</t>
  </si>
  <si>
    <t>Плотность: 14 oz. 
Женская джинсовая куртка Levis EX-BOYFRIEND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согреет в прохладные дни.</t>
  </si>
  <si>
    <t>Демисезон</t>
  </si>
  <si>
    <t>LM2RP467-DDL</t>
  </si>
  <si>
    <t>салатовый</t>
  </si>
  <si>
    <t>LM0RP320-ORB</t>
  </si>
  <si>
    <t>Мужская куртка Levis Arctic Cloth Quilted Performance Parka - это стеганая парка из водостойкой арктической ткани.
Регулируемый капюшон на шнурке. Застежка-молния впереди и планка на кнопках. Два нагрудных и два нижних с клапанами на кнопках для хранения предметов первой необходимости, внутренний карман для безопасного хранения ценных вещей. Фирменная этикетка на левом нижнем кармане.</t>
  </si>
  <si>
    <t>85% полиэстер, 15% хлопок</t>
  </si>
  <si>
    <t>LM2RU419-BLK</t>
  </si>
  <si>
    <t>Levi's Original Prairie Trucker</t>
  </si>
  <si>
    <t>A0804-0000</t>
  </si>
  <si>
    <t>В этой модели Prairie Trucker от Levis сочетаются джинсовая куртка Trucker Jacket и блузка в романтичном стиле. Благодаря объемному воротнику с оборками, завязке из той же ткани и рукавам-фонарикам эта новая модель невероятно элегантна. Двусторонний воротник создает эффект двух курток в одной. Новая женственная модель нашей легендарной куртки Trucker Jacket. Съемный супербольшой воротник. Женственные детали: оборки, завязки и объемные рукава.</t>
  </si>
  <si>
    <t>Levi's Original TRUCKER BLACK LILLY</t>
  </si>
  <si>
    <t>29945-0070</t>
  </si>
  <si>
    <t>Плотность: 12.5 oz. 
Классическая куртка, выдержавшая испытание временем. Культовая, мгновенно узнаваемая джинсовая куртка на протяжении десятилетий была символом индивидуального самовыражения. Это также идеальный промежуточный слой, который одинаково хорошо смотрится поверх футболки или под пальто. Оригинальная джинсовая куртка 1967 года, разработанная с высочайшим мастерством. Украшена легендарной кожаной нашивкой по краю сзади. Металлические пуговицы с логотипом Levis и заостренные V-образные стежки делают ее мгновенно узнаваемой. Эта культовая вещь действительно хорошо смотрится на всех.</t>
  </si>
  <si>
    <t>85.5% хлопок, 13.5% полиэстер, 1% эластан</t>
  </si>
  <si>
    <t>Levi's Original Trucker</t>
  </si>
  <si>
    <t>29945-0111</t>
  </si>
  <si>
    <t>Джинсовая куртка Trucker Jacket создает целостный образ. Трудно будет найти более удобную, универсальную и классную куртку. Бонус: для пошива этой куртки мы использовали пеньку, которая требует меньше воды и меньше пестицидов для роста.Оригинальная джинсовая куртка с 1967 года. Идеальна в любой ситуации, в любое время и в любом месте. Изготовлена из смеси хлопка и пеньки.</t>
  </si>
  <si>
    <t>77% хлопок, 23% пеньковое волокно</t>
  </si>
  <si>
    <t>WESTERN BUBBLE VEST BLACKS</t>
  </si>
  <si>
    <t>A8526-0003</t>
  </si>
  <si>
    <t>Жилетка</t>
  </si>
  <si>
    <t>100% нейлон</t>
  </si>
  <si>
    <t>LM9RC684-GPD</t>
  </si>
  <si>
    <t>LM3MC753-LBW</t>
  </si>
  <si>
    <t>Мужская куртка Levis Lightweight Trucker Shirt Jacket из легкого дышащего хлопка. Красный ярлык Levi's в левом нижнем шве, отложной заостренный воротник. Два нижних накладных кармана с клапанами на кнопках, центральная застежка-молния спереди и планка на кнопках.</t>
  </si>
  <si>
    <t>светло-коричневый</t>
  </si>
  <si>
    <t>Levi's Original THE TRUCKER JACKET NEW LIGHT</t>
  </si>
  <si>
    <t>72334-0599</t>
  </si>
  <si>
    <t>Плотность: 13.75 oz. 
Оригинальная джинсовая куртка Levis Trucker Jacket с 1962 года. Легендарная модель дальнобойщик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</si>
  <si>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LM1RN593-GRE</t>
  </si>
  <si>
    <t>Мужская куртка Levis Mixed Media Hoodie Bomber представляет собой бомбер с капюшоном. Имеет один левый нагрудный карман на молнии, два прорезных кармана на кнопках для рук. Спереди застежка-молния с планкой на кнопках.
Логотип Levi's на левом рукаве, регулируемые эластичные шнуры на капюшоне, ребристые манжеты и подол для дополнительного комфорта.
Идеальная куртка для приключений на природе.</t>
  </si>
  <si>
    <t>94% полиэстер, 6% спандекс</t>
  </si>
  <si>
    <t>SHERPA BOMBER 1 BROWNS</t>
  </si>
  <si>
    <t>003JF-0000</t>
  </si>
  <si>
    <t>Эта модель создана, чтобы обеспечить вам максимальный комфорт и тепло в холодное время года, не жертвуя при этом стилем.
Куртка-бомбер Sherpa оборудована стильным воротником из искусственной овчины, который не только добавляет ей визуальное богатство, но и сохраняет тепло, защищая шею от холода. Фронтальная застежка на пуговицы обеспечивает удобство и легкость в использовании, позволяя вам адаптировать куртку под текущие погодные условия.
Свободный крой этой куртки гарантирует комфорт и свободу движений, так необходимую в повседневной жизни. Это делает её идеальной для многослойных образов, позволяя носить теплые свитеры или толстовки под ней без ущерба для удобства.
Изготовленная с использованием инновационных материалов, включая искусственную овчину, куртка обеспечивает надежную защиту от холода, оставаясь при этом легкой и дышащей. Это делает её отличным выбором для прогулок по городу или активного отдыха на природе в прохладные дни.
Куртка-бомбер Sherpa сочетает в себе функциональность и актуальный дизайн, становясь незаменимой частью гардероба, которая подарит вам уверенность и комфорт в любое время года.</t>
  </si>
  <si>
    <t>MA-1 BOMBER</t>
  </si>
  <si>
    <t>005AL-0000</t>
  </si>
  <si>
    <t>Мужская куртка-бомбер Levi's Bomber Jacket MA-1 — легендарная модель, переосмысленная для современного города и повседневной носки. Характерный силуэт отсылает к военному прошлому этой модели, оставаясь актуальным элементом уличной моды на протяжении десятилетий. Свободный крой обеспечивает комфорт и возможность носить теплые свитеры под курткой в прохладную погоду без скованности движений. Два боковых кармана на пуговицах удобны для согревания рук или хранения мелочей, таких как телефон, ключи или перчатки в доступном месте. Эластичный низ и манжеты плотно прилегают к телу, сохраняя тепло внутри и защищая от ветра и сквозняков при ходьбе. Молния по всей длине позволяет быстро регулировать температуру тела в зависимости от погодных условий и активности. Длинные рукава полностью закрывают руки, обеспечивая защиту от холода и механических воздействий. Куртка изготовлена из износостойкой ткани, сохраняющей цвет и форму после множества стирок и сезонов носки. Универсальный дизайн сочетается с джинсами, худи, футболками и кроссовками, создавая брутальные образы для города. Это выбор для тех, кто ценит историю стиля, функциональность и надежность в верхней одежде от легендарного бренда.</t>
  </si>
  <si>
    <t>100% полиамид</t>
  </si>
  <si>
    <t>005AL-0001</t>
  </si>
  <si>
    <t>SCOUT WESTERN BOMBER BLACKS</t>
  </si>
  <si>
    <t>005AZ-0002</t>
  </si>
  <si>
    <t>100% полиамид</t>
  </si>
  <si>
    <t>TATE BUBBLE PUFFER</t>
  </si>
  <si>
    <t>006RQ-0001</t>
  </si>
  <si>
    <t>006RQ-0004</t>
  </si>
  <si>
    <t>BRYNN CROP PUFFER - NOVELTY</t>
  </si>
  <si>
    <t>006RY-0000</t>
  </si>
  <si>
    <t>SPRUCE OVERSHIRT</t>
  </si>
  <si>
    <t>007RY-0002</t>
  </si>
  <si>
    <t>007RY-0003</t>
  </si>
  <si>
    <t>ROCKWELL HOODED PUFFER 1</t>
  </si>
  <si>
    <t>007SP-0000</t>
  </si>
  <si>
    <t>007SP-0005</t>
  </si>
  <si>
    <t>TYPE 3 SHERPA TRUCKER DARK INDIGO - FLAT FINISH</t>
  </si>
  <si>
    <t>16365-0271</t>
  </si>
  <si>
    <t>Мужская джинсовая куртка Levis Type III Sherpa Trucker Jacket — это легендарный элемент гардероба, который появился в 1967 году и с тех пор стал символом самовыражения. Эта куртка идеально подходит для тех, кто хочет выделиться и добавить индивидуальности в свой стиль. Изготовленная из 100% хлопкового денима, она не теряет форму благодаря отсутствию эластичных материалов.
Одним из отличительных элементов этой куртки является утеплитель из шерпы, который обеспечивает тепло, идеально подходя для прохладной погоды. Мягкая стеганая подкладка в рукавах добавляет дополнительного комфорта, позволяя вам чувствовать себя уютно в любой ситуации. Свободный крой делает куртку удобной, а также позволяет носить под ней дополнительные слои одежды, например худи или свитшот.
С годами эта куртка только улучшается, приобретая характерный вид благодаря естественному износу, выцветанию, появлению пятен и дырочек. Это делает каждую куртку уникальной и придает ей особенный шарм. Levis Type III Sherpa Trucker Jacket — это не просто одежда, а ваш личный способ выразить себя и создать свой неповторимый стиль.</t>
  </si>
  <si>
    <t>100% хлопок: подкладка: иск.мех</t>
  </si>
  <si>
    <t>TYPE 3 SHERPA TRUCKER BLACKS</t>
  </si>
  <si>
    <t>16365-0291</t>
  </si>
  <si>
    <t>TYPE 3 SHERPA TRUCKER BROWNS</t>
  </si>
  <si>
    <t>16365-0305</t>
  </si>
  <si>
    <t>TYPE 3 SHERPA TRUCKER</t>
  </si>
  <si>
    <t>16365-0351</t>
  </si>
  <si>
    <t>Levi's Original TRUCKER SOFT AS BUTTER DARK</t>
  </si>
  <si>
    <t>29945-0063</t>
  </si>
  <si>
    <t>Плотность: 12.25 oz. 
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</si>
  <si>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Original Jacket</t>
  </si>
  <si>
    <t>36136-0058</t>
  </si>
  <si>
    <t>Куртка Levi's Original Trucker Jacket с утеплителем из шерпы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</si>
  <si>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ORIGINAL SHERPA TRUCKER JACKET</t>
  </si>
  <si>
    <t>36136-0063</t>
  </si>
  <si>
    <t>Куртка Levi's Original Trucker Jacket с утеплителем из шерпы - это классический предмет одежды, без которого не обходится ни один гардероб. Представляет собой уютную версию нашей оригинальной куртки Trucker с ворсистой подкладкой из шерпы для дополнительного тепла. Эта удивительно универсальная вещь сочетает в себе прохладу и уют, сохраняя при этом такую ​​же аутентичность, как и ее тезка. Мягкая стеганая подкладка в рукавах. Эта культовая незаменимая вещь действительно сидит хорошо. Заостренный воротник. Планка с пуговицами спереди. Накладные карманы на груди с клапанами на пуговицах. Боковые карманы для рук. Планка на кнопках спереди. Длинные рукова.</t>
  </si>
  <si>
    <t>ORIGINAL SHERPA TRUCKER</t>
  </si>
  <si>
    <t>36136-0140</t>
  </si>
  <si>
    <t>Levi's Original EXBF SHERPA TRUCKER FOREVER BLA</t>
  </si>
  <si>
    <t>36137-0015</t>
  </si>
  <si>
    <t>Плотность: 11.9 oz. 
Джинсовая куртка Ex-Boyfriend Sherpa Trucker — классика с изюминкой, представляет собой уютную версию оригинальной куртки Trucker с подкладкой из пушистой шерпы для дополнительного тепла. Мягкий искусственный мех для комфорта и тепла. Очень свободный крой и удлиненный низ придают силуэту объем. Стеганые рукава с мягкой подкладкой. Этот удивительно универсальный продукт сочетает в себе тепло и уют, но при этом остается таким же аутентичным. Наша вечная джинсовая куртка с теплой подкладкой из шерпы. Эта культовая базовая вещь действительно хорошо смотрится на всех, даже если ее размер больше или меньше. Воротник с подкладкой из шерпы. Планка на кнопках спереди. Нагрудные накладные карманы с клапанами на кнопках. Прорезные боковые карманы. Петли сзади на талии для регулируемой посадки. Внутренняя кожаная нашивка Levis Two Horse. Со временем джинсовка становится лучше от естественного износа с выцветанием и потертостями.</t>
  </si>
  <si>
    <t>THE TRUCKER JACKET DARK INDIGO</t>
  </si>
  <si>
    <t>72334-0134</t>
  </si>
  <si>
    <t>Levi's Original AGNES WOOL COAT JAMES PLAID CAVIAR PLAID</t>
  </si>
  <si>
    <t>A1634-0000</t>
  </si>
  <si>
    <t>Пальто</t>
  </si>
  <si>
    <t>Шерстяное пальто Levis Agnes готово к холодам благодаря смеси полиэстера и шерсти. Пальто укроет вас от шеи до колен. Наденьте толстовку с капюшоном, Trucker или другую основу для дополнительного тепла и стиля. Двубортный воротник, застежка на кнопки.</t>
  </si>
  <si>
    <t>50% полиэстер, 45% шерсть, 5% другие волокна</t>
  </si>
  <si>
    <t>Xl Womens Trucker</t>
  </si>
  <si>
    <t>A3472-0003</t>
  </si>
  <si>
    <t>Джинсовая куртка</t>
  </si>
  <si>
    <t>Плотность: 12.3 oz</t>
  </si>
  <si>
    <t>79% хлопок, 21% полиэстер</t>
  </si>
  <si>
    <t>90S SHERPA TRUCKER LIGHT INDIGO - WORN IN</t>
  </si>
  <si>
    <t>A4435-0010</t>
  </si>
  <si>
    <t>Вельветовая куртка для женщин Levis Women 90's Sherpa Trucker Jacket, выполненная в ярком оранжевом цвете, станет надежным помощником в холодное время года. Она выполнена из высококачественного вельвета, который приятен на ощупь и выглядит очень стильно. Куртка имеет классический крой «тракер», который идеально подчеркнет вашу фигуру. Внутренняя часть куртки обложена мягкой шерпой, что обеспечит вам комфорт и тепло в любую погоду. Застежка и нагрудные карманы на кнопках. На воротнике имеется удобная петля для подвешивания. Levis Women 90's Sherpa Trucker Jacket - это отличный выбор для тех, кто ценит удобство, комфорт и стиль.</t>
  </si>
  <si>
    <t>LOLA SHACKET LIGHT INDIGO - FLAT FINISH</t>
  </si>
  <si>
    <t>A7183-0010</t>
  </si>
  <si>
    <t>Куртка джинсовая</t>
  </si>
  <si>
    <t>Частично рубашка. Частично куртка. Это новый взгляд на классическую основу мужского гардероба. Наша Lola Shacket обновляет отчетливо выраженный стиль Levi's® с помощью свободного кроя и застежки на пуговицы спереди, в сочетании с мгновенно узнаваемым красным ярлычком и двойными передними карманами с клапанами.
Просторная интерпретация классической мужской рубашки
Покрой свободного покроя
С легко узнаваемым красным фирменным лейблом и двойным передним карманом с клапанами.</t>
  </si>
  <si>
    <t>POLLY PACKABLE VEST BLACKS</t>
  </si>
  <si>
    <t>A8523-0001</t>
  </si>
  <si>
    <t>Жилет Levis A8523-0000 Polly Packable Vest — практичный женский жилет из 100% нейлона, идеально подходящий для прохладных дней. Сочетает в себе тепло и комфорт, обеспечивая свободу движений. Возможность компактной упаковки делает жилет незаменимым спутником в путешествиях, его можно легко сложить и хранить в кармане.
- Нейлоновое покрытие жилета предлагает изоляцию от внешних условий, обеспечивая надёжное тепло и комфорт при понижении температуры.
- Прямой покрой со стандартной посадкой гарантирует удобство и стиль, позволяя легко сочетать жилет с другими элементами гардероба.
- Передняя застежка-молния облегчает процесс надевания и снятия, добавляя практичности и комфорта.
- Два боковых кармана предоставляют дополнительное место для хранения необходимых вещей, сохраняя руки в тепле.
- Жилет Levis — идеальный вариант для многослойного образа, обеспечивая тепло и комфорт в прохладные дни без лишних объемов.</t>
  </si>
  <si>
    <t>POLLY MIDI PUFFER REDS</t>
  </si>
  <si>
    <t>A8525-0001</t>
  </si>
  <si>
    <t>Основной материал: 100 % полиамид. Подкладка: 100 % полиэстер. Наполнитель: 75 % утиный пух, 25 % утиные перья.</t>
  </si>
  <si>
    <t>WESTERN BUBBLE VEST LIGHT INDIGO - WORN IN</t>
  </si>
  <si>
    <t>A8526-0000</t>
  </si>
  <si>
    <t>Женский жилет Levi's Western Bubble Vest — это воплощение классического вестерн-стиля с современными акцентами, идеально подходящее для прохладной погоды. Этот стеганый пуховый жилет сочетает в себе элегантность и практичность, обеспечивая комфорт и тепло. Изготовленный из 100% хлопка, жилет отличается высоким качеством и долговечностью. Утепленный дизайн гарантирует, что вы будете чувствовать себя уютно даже в более холодные дни. Застежка-молния спереди и регулируемый подол позволяют легко адаптировать жилет под ваш образ и настроение. Два накладных кармана добавляют функциональности, предоставляя место для хранения необходимого. Стандартная посадка жилета обеспечивает стильный и аккуратный вид, делая его универсальным элементом для любого гардероба. Идеален для создания модных многослойных образов, этот жилет станет вашим надежным спутником в путешествиях по городским улицам и в походах на природу, подчеркивая ваш индивидуальный стиль и любовь к качественным изделиям.</t>
  </si>
  <si>
    <t>WESTERN BUBBLE SHORTY WHITES</t>
  </si>
  <si>
    <t>A8527-0001</t>
  </si>
  <si>
    <t>Куртка Levis Western Bubble Shorty — стильная современная женская модель из 100% нейлона, подходящая для прохладной погоды. Эта куртка сочетает в себе практичность и модный дизайн, модель легко интегрируется в городской стиль, оставаясь комфортной и надежной в любую погоду.
- Нейлоновый материал куртки обеспечивает защиту от ветра и холодной влаги, гарантируя комфортный микроклимат даже в непогоду.
- Застёжка на кнопках и молнии предоставляет дополнительную защиту и позволяет взаимодействовать с температурным режимом, регулируя тепло.
- Длинные рукава и капюшон добавляют практичности, создавая барьер от ветра и холода, поддерживая комфорт в прохладные дни.
- Удобные карманы обеспечивают место для хранения необходимых мелочей, сохраняя их в безопасности и легкой доступности.
- Короткий покрой "Western Bubble Shorty" придает куртке современный и молодежный вид, привнося нотку стиля в ваш образ.</t>
  </si>
  <si>
    <t>WESTERN BUBBLE LONG BLACKS</t>
  </si>
  <si>
    <t>A8529-0000</t>
  </si>
  <si>
    <t>ROCKRIDGE VEST BLACKS</t>
  </si>
  <si>
    <t>A8556-0000</t>
  </si>
  <si>
    <t>Жилет</t>
  </si>
  <si>
    <t>Жилет Levi's Men Rockridge Vest – это сочетание стиля и функциональности, созданное для современных мужчин. Этот черный жилет выполнен из 100% нейлона, что делает его легким и прочным. Он станет идеальным дополнением к любому гардеробу благодаря универсальному дизайну, который позволяет сочетать его с различными предметами одежды. Удобный и долговечный, жилет обеспечивает комфорт в любых условиях.
- Высококачественный нейлон в составе обеспечивает легкость и устойчивость к износу, позволяя жилету сохранять свой первоначальный вид даже при интенсивном использовании.
- Универсальный черный цвет подходит для создания многослойных образов, легко комбинируясь с рубашками, свитерами и куртками.
- Жилет оснащен удобными карманами, которые предлагают безопасное хранение мелочей, таких как телефон или ключи, что очень удобно в повседневной носке.
- Подходит для стирки в машине при температуре 30 градусов, что упрощает уход за изделием и сохраняет его форму и цвет.
- Элегантный и минималистичный дизайн делает его выбором для городских условий и активного отдыха.
- Воплощает в себе традиции качества Levi's и предлагает отличную износостойкость благодаря современным материалам, удовлетворяя потребности пользователей в комфорте и надежности.</t>
  </si>
  <si>
    <t>ROCKRIDGE SHORT PUFFER BLACKS</t>
  </si>
  <si>
    <t>A8557-0000</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</si>
  <si>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Черный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</si>
  <si>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XXL</t>
  </si>
  <si>
    <t>ROCKRIDGE SHORT PUFFER BLUES</t>
  </si>
  <si>
    <t>A8557-0001</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</si>
  <si>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Синий цвет модели позволяет легко сочетать её с различными стилями, как с джинсами, так и со спортивными брюками.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</si>
  <si>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100% Полиамид</t>
  </si>
  <si>
    <t>PIEDMONT SHORT PUFFER</t>
  </si>
  <si>
    <t>A8568-0018</t>
  </si>
  <si>
    <t>RAMSEY SHERPA VEST NEUTRALS</t>
  </si>
  <si>
    <t>A9340-0000</t>
  </si>
  <si>
    <t>Жилетка женская Levis Ramsey Sherpa Vest – это идеальное сочетание комфорта, тепла и стиля. Когда температура за окном начинает падать, ничто не согреет лучше, чем этот теплый и уютный жилет. Изготовленный из 100% полиэстера, он гарантирует долговечность и простоту ухода. Внешний вид жилета привлекает внимание благодаря современной отделке из искусственного меха, которая придает образу нотку роскоши. 
Жилет оснащен застежкой на молнию и кнопках спереди, что обеспечивает надежную фиксацию и защиту от ветра. Дизайн без рукавов позволяет носить его как самостоятельный элемент одежды или комбинировать с кофтами и свитерами для создания многослойности. Высокий воротник-стойка защищает шею от холода, а боковые карманы добавляют функциональности, позволяя согреть руки или хранить мелкие предметы. 
Стандартный крой подходит для всех типов фигур, не стесняя движений и обеспечивая максимум комфорта. Жилетка Levis Ramsey Sherpa Vest станет незаменимым элементом гардероба для тех, кто ценит тепло и стиль в холодное время года.</t>
  </si>
  <si>
    <t>100% полиэстер</t>
  </si>
  <si>
    <t>LM2RP401-BRN</t>
  </si>
  <si>
    <t>Мужская куртка Levis Stretch Hooded Puffer Jacket - это cтеганая куртка с капюшоном, на подкладке с синтетическим наполнителем. Плюшевый наполнитель обеспечивают стильный внешний вид. Несколько карманов для удобства: два нижних кармана на молнии, два нагрудных карманах с клапанами на кнопках и один внутренний карман. Застежка-молния. Фиксированный капюшон. Эластичные манжеты и подол.</t>
  </si>
  <si>
    <t>89% полиэстер, 11% эластан</t>
  </si>
  <si>
    <t>LM2RP467-RBD</t>
  </si>
  <si>
    <t>LM2RP472-RBD</t>
  </si>
  <si>
    <t>LEVIS MEN SOLID BASIC BOXER BRIEF ORGANIC CO 2P</t>
  </si>
  <si>
    <t>37149-0812</t>
  </si>
  <si>
    <t>Боксеры (2 шт)</t>
  </si>
  <si>
    <t>Нижнее белье</t>
  </si>
  <si>
    <t>Мужские трусы-боксеры Levis Solid Boxer Briefs 2P — это основа мужского гардероба, предлагающая надежность и комфорт на каждый день. Этот комплект из двух однотонных боксеров сочетает в себе стильный дизайн и качественное исполнение, делая их не только практичными, но и эстетически привлекательными. 
- Боксеры изготовлены так, чтобы выдерживать ежедневную носку и частые стирки, сохраняя форму и цвет. 
- Использование 95% хлопка и 5% эластана обеспечивает комфортную посадку и легкость движений, а также добавляет изделию прочности и эластичности. 
- 72% органически выращенного хлопка в составе говорят о заботе об экологии и вашем здоровье. 
- Удобный эластичный пояс с культовым логотипом Levi's гарантирует отличную фиксацию, избегая скольжения и скатывания. 
- Двухслойный мешок обеспечивает дополнительную поддержку и комфорт, что особенно важно в течение активного дня. 
- Чистый, однотонный дизайн делает трусы подходящими под любую одежду, от джинсов до спортивной формы. 
- Комплект из двух штук обеспечивает запас на каждый день, решая проблемы с выбором белья. 
Эти трусы-боксеры Levi's — идеальное решение для современного мужчины, ценящего комфорт и стиль.</t>
  </si>
  <si>
    <t>черный, белый</t>
  </si>
  <si>
    <t>95% хлопок, 5% эластан</t>
  </si>
  <si>
    <t>Levis Men Tencel Boxer Brief 2P</t>
  </si>
  <si>
    <t>37149-0736</t>
  </si>
  <si>
    <t>Комплект мужских трусов Levis. Выполнены из мягкого трикотажа с добавлением эластана для комфортной посадки. Эластичный пояс с брендингом Levis. В упаковке 2 шт.</t>
  </si>
  <si>
    <t>LEVIS MEN DENIM INSPIRED BOXER BRIEF</t>
  </si>
  <si>
    <t>37149-1173</t>
  </si>
  <si>
    <t>Боксеры</t>
  </si>
  <si>
    <t>Трусы мужские Levis Men Boxer Brief 2P. Мужские трусы-боксеры Levis станут ярким и солидным предметом гардероба каждого мужчины. Простой дизайн и удобная конструкция делают трусы-боксеры качественными. Понятная модель, украшенная культовым логотипом Levi's на поясе. Супермягкий эластичный хлопок. Удобный эластичный пояс с логотипом. В упаковке 2 шт.</t>
  </si>
  <si>
    <t>LEVIS MEN FRUITY AOP BOXER BRIEF 2P</t>
  </si>
  <si>
    <t>37149-1283</t>
  </si>
  <si>
    <t>синий/красный</t>
  </si>
  <si>
    <t>37149-1284</t>
  </si>
  <si>
    <t>черный/серый/зеленый</t>
  </si>
  <si>
    <t>LEVIS MEN CAMO AOP BOXER BRIEF 2P</t>
  </si>
  <si>
    <t>37149-1296</t>
  </si>
  <si>
    <t>зеленый/серый</t>
  </si>
  <si>
    <t>Levi's Original SLIM 2PK CREWNECK 1 TWOPACK TEE BLACK</t>
  </si>
  <si>
    <t>79541-0001</t>
  </si>
  <si>
    <t>Футболка</t>
  </si>
  <si>
    <t>Комплект из двух черных футболок Levis. Футболки с круглым вырезом из мягкого джерси. 2 шт в упаковке. Небольшой фирменный ярлык на подоле.</t>
  </si>
  <si>
    <t>LEVIS REGULAR CUT SPORT STRIPE 2P</t>
  </si>
  <si>
    <t>37157-1063</t>
  </si>
  <si>
    <t>Носки (2 пары)</t>
  </si>
  <si>
    <t>Носки и гетры</t>
  </si>
  <si>
    <t>Унисекс</t>
  </si>
  <si>
    <t>Мягкие и удобные носки средней длины Levis. Модель выполнена из эластичного материала. Усиленная пятка и носок. В упаковке 2 пары.</t>
  </si>
  <si>
    <t>74% хлопок, 22% полиэстер, 3% эластан, 1% полиамид</t>
  </si>
  <si>
    <t>35/38</t>
  </si>
  <si>
    <t>35-38</t>
  </si>
  <si>
    <t>39/42</t>
  </si>
  <si>
    <t>39-42</t>
  </si>
  <si>
    <t>Levi's Original REGULAR CUT SPRTWR</t>
  </si>
  <si>
    <t>37157-0151</t>
  </si>
  <si>
    <t>Женские высокие носки Levis серого и белого цветов. Выполнены из хлопкового материала с добавлением эластана. 2 пары в упаковке.</t>
  </si>
  <si>
    <t>75% хлопок, 22% полиамид, 3% эластан</t>
  </si>
  <si>
    <t>RUS</t>
  </si>
  <si>
    <t>LEVIS REGULAR CUT SPRTWR</t>
  </si>
  <si>
    <t>37157-0153</t>
  </si>
  <si>
    <t>Мягкие и удобные длинные носки Levis. Модель выполнена из эластичного материала. Усиленная пятка и носок. В упаковке 2 пары.</t>
  </si>
  <si>
    <t>Levis Short Cut Logo Sport 2P</t>
  </si>
  <si>
    <t>37157-0666</t>
  </si>
  <si>
    <t>Носки средней длины Levis Short Cut Logo Sport 2P. Модель выполнена из эластичного материала. В упаковке 2 пары.</t>
  </si>
  <si>
    <t>73% хлопок, 24% полиамид, 3% эластан</t>
  </si>
  <si>
    <t>Levi's Original SHORT CUT LOGO SPOR</t>
  </si>
  <si>
    <t>37157-0668</t>
  </si>
  <si>
    <t>Носки</t>
  </si>
  <si>
    <t>LEVIS REG CUT SPORT 2P</t>
  </si>
  <si>
    <t>37157-1216</t>
  </si>
  <si>
    <t>78% хлопок, 10% полиэстер, 10% полиамид</t>
  </si>
  <si>
    <t>LEVIS LOW RISE SPORT 2P</t>
  </si>
  <si>
    <t>37157-1314</t>
  </si>
  <si>
    <t>Носки 2 пары Levis Low Cut Sport Socks 2P. Эта стильная упаковка из двух пар низких спортивных носков станет незаменимым дополнением вашего повседневного гардероба, даря абсолютный комфорт на протяжении всего дня. Модель с низкой посадкой идеально подходит для ношения с кедами, кроссовками или мокасинами, оставаясь незаметной и обеспечивая максимальную свободу движений. Высококачественный дышащий материал отлично отводит влагу, сохраняя ноги сухими даже при высокой активности. Классический дизайн с лаконичными деталями подчеркивает аутентичный стиль легендарного бренда.  
- Комплект из двух пар для максимальной практичности и удобства в ежедневном использовании. 
- Низкий крой, который остается незаметным в обуви, обеспечивая современный и аккуратный вид.
- Премиальный дышащий материал, отлично отводящий влагу и сохраняющий свежесть ног. 
- Усиленные зоны пятки и мыска для повышенной износостойкости и долговечности изделия. 
- Универсальный дизайн, который легко дополнит любой спортивный или городской повседневный образ.</t>
  </si>
  <si>
    <t>70% хлопок, 28% полиамид, 2% эластан</t>
  </si>
  <si>
    <t>43/46</t>
  </si>
  <si>
    <t>43-46</t>
  </si>
  <si>
    <t>Levi's Original Tijuana</t>
  </si>
  <si>
    <t>D5274-0004</t>
  </si>
  <si>
    <t>Кеды</t>
  </si>
  <si>
    <t>Повседневная обувь</t>
  </si>
  <si>
    <t>Мы достигаем новых высот с этими элегантными кедами Levis Tijuana. Классическая модель, в которой сочетаются свежие, четкие детали, придающие вашей обуви совершенно новый вид в этом сезоне.
Массивная подошва для современного внешнего вида.
Модель выполнена из искусственной кожи классического цвета для создания лаконичного образа, блеска и гламура.
Износостойкая подошва из мягкой резины обеспечивает удобную посадку и полную свободу движений.</t>
  </si>
  <si>
    <t>95% коровья замша,  5% хлопок,</t>
  </si>
  <si>
    <t>42</t>
  </si>
  <si>
    <t>MEN'S NEW NARROW</t>
  </si>
  <si>
    <t>0009Y-0001</t>
  </si>
  <si>
    <t>Ремень</t>
  </si>
  <si>
    <t>Прочие аксессуары</t>
  </si>
  <si>
    <t>Узкий кожаный ремень Levis Narrow Belt — это воплощение элегантности и минимализма. Этот ремень станет стильным завершением как делового, так и повседневного образа благодаря своему тонкому дизайну и высококачественному материалу. Изготовленный из 100% цельнозерновой бычьей кожи, он сочетает в себе прочность и изысканность, что делает его идеальным выбором для мужчин, ценящих качество и долговечность.
С шириной всего 25 мм, ремень выдерживает баланс между утонченностью и функциональностью. Он без лишних деталей и декоративных элементов, что придаёт ему гладкость и универсальность.
Этот ремень подходит для всех типов брюк, включая классические и джинсы, и легко комбинируется с различными стилями одежды. Levi's Narrow Belt — это аксессуар, который подчеркнет ваш вкус и добавит нотку лоска в любой наряд. Незаменимый и долговечный, он станет отличным вложением в ваш гардероб, радуя вас долгие годы.</t>
  </si>
  <si>
    <t>100% кожа</t>
  </si>
  <si>
    <t>СМ</t>
  </si>
  <si>
    <t>110</t>
  </si>
  <si>
    <t>HEADLINE WEB PLAQUE BELT</t>
  </si>
  <si>
    <t>000I7-0000</t>
  </si>
  <si>
    <t>Универсальный ремень Levis Headline Web Plaque Belt сочетает в себе стиль и функциональность, предлагая современный дизайн, который станет отличным дополнением к любому образу. Этот плетеный ремень создан для тех, кто ценит качество и комфорт в каждом элементе своего гардероба. Изготовлен из прочных материалов, он обеспечит долговечность и надежность в любой ситуации. Благодаря своей полностью регулируемой конструкции, ремень легко адаптируется под любой размер, обеспечивая идеальную посадку и максимальное удобство. Особое внимание привлекает фирменный логотип Levis, расположенный на стильной пряжке, который подчеркивает ваше чувство стиля и уникальность. Независимо от того, носите ли вы ремень с джинсами, брюками или шортами, он всегда будет выглядеть уместно и привлекательно. Этот аксессуар станет не только функциональным решением, но и ярким акцентом вашего гардероба, добавляя изюминку в каждодневные и особенные образы.</t>
  </si>
  <si>
    <t>RECTANGLE BUCKLE BELT</t>
  </si>
  <si>
    <t>004CH-0002</t>
  </si>
  <si>
    <t>кожа</t>
  </si>
  <si>
    <t>100</t>
  </si>
  <si>
    <t>HERMOSILLA</t>
  </si>
  <si>
    <t>37460-0090</t>
  </si>
  <si>
    <t>Ремень женский Levis Belt — это классический аксессуар, который станет идеальным дополнением к любой паре джинсов. Изготовленный из натуральной кожи, этот ремень сочетает в себе стиль и долговечность, гарантируя, что он будет служить вам долгие годы. 
Ремень выполнен с учётом последних модных тенденций, но сохраняет в себе элементы вечной классики, что делает его универсальным решением для создания разнообразных образов. Благодаря высококачественной натуральной коже, он не только выглядит шикарно, но и приятно ощущается на теле. 
Этот ремень прекрасно сочетается с джинсами и другими элементами гардероба, добавляя изысканный акцент к любому вашему наряду. Независимо от стиля одежды, кожаный ремень Levis станет вашим надежным спутником, подчеркивающим вашу индивидуальность и утонченный вкус. 
Размер ремня измеряется от края пряжки до среднего отверстия.</t>
  </si>
  <si>
    <t>95</t>
  </si>
  <si>
    <t>Levi's Original LARKSPUR</t>
  </si>
  <si>
    <t>37460-0271</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</si>
  <si>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t>
  </si>
  <si>
    <t>100% натуральная кожа</t>
  </si>
  <si>
    <t>90</t>
  </si>
  <si>
    <t>Levi's Original FREE METAL</t>
  </si>
  <si>
    <t>38016-0033</t>
  </si>
  <si>
    <t>Ремень Levi's Men Belt — классический аксессуар, который подчеркнет ваш стиль и добавит изюминку в образ. Этот ремень из 100% натуральной кожи обладает превосходной прочностью и долговечностью. Оснащен элегантной металлической пряжкой, он органично дополнит любую пару джинсов или брюк, придавая завершенность вашему образу.
- Изготовленный из натуральной кожи, этот ремень обеспечивает надежность и долговечность, выдерживая ежедневные нагрузки и сохраняя привлекательный внешний вид.
- Элегантная металлическая пряжка подчеркивает стильность аксессуара, добавляя акцент к вашему образу и делая его идеальным для любого случая.
- Цвет ремня обеспечивает универсальность, позволяя сочетать его с различными типами одежды, от делового стиля до повседневного.
- Ширина 35 мм обеспечивает комфортную посадку и надежную фиксацию, а 5 отверстий позволяют легко регулировать размер и адаптировать его к талии.
- Простота ухода достигается благодаря естественной сушке, что помогает сохранить эластичность и внешний вид ремня на долгие годы.</t>
  </si>
  <si>
    <t>85</t>
  </si>
  <si>
    <t>Levi's Original Seine</t>
  </si>
  <si>
    <t>38016-0195</t>
  </si>
  <si>
    <t>Мужской ремень Levis New Albert Belt — универсальный и долговечный аксессуар, который станет идеальным дополнением к вашим джинсам и любым другим повседневным или деловым нарядам. Изготовленный из красивой натуральной кожи, этот ремень не только прочный, но и обладает выразительным классическим дизайном, который добавит нотку элегантности вашему образу.
Ширина ремня составляет 40 мм, что делает его идеальным для большинства брюк и джинсов, обеспечивая надежную фиксацию и комфорт. Эта ширина позволяет ремню уверенно смотреться как с повседневной, так и более формальной одеждой, добавляя вашему облику уверенности и стиля.
Levis Men New Albert Belt — это не просто аксессуар, а настоящее сочетание стиля и функциональности. Этот ремень, изготовленный из 100% кожи, обеспечит вам надежность и долговечность, оставаясь незаменимым элементом вашего гардероба на протяжении многих лет. Он подчеркнёт вашу индивидуальность и дополнит любой наряд безупречным акцентом. 
Размер ремня измеряется от пряжки до среднего отверстия.</t>
  </si>
  <si>
    <t>Levi's Original Tonal Tickfaw Web Belt</t>
  </si>
  <si>
    <t>38136-0012</t>
  </si>
  <si>
    <t>Стильный и функциональный ремень из прочной тесьмы моментально преобразит ваш стрит-стиль. Этот современный практичный ремень добавит изюминку повседневному образу. Классический цвет с логотипом Levis на ремешке и квадратной пряжкой в ​​тон. Ширина 25 мм.</t>
  </si>
  <si>
    <t>D5480-0002</t>
  </si>
  <si>
    <t>Легко собери свой образ. Этот практичный ремень Levis из прочной ткани стильный и функциональный. C ним уличная одежда будет смотреться по-новому. Ширина 25 мм.</t>
  </si>
  <si>
    <t>Levi's Original ATHENA METAL BELT</t>
  </si>
  <si>
    <t>D5484-0001</t>
  </si>
  <si>
    <t>Ремень женский Levis Women Athena Metal Belt — это стильный и универсальный аксессуар, который станет отличным дополнением любого гардероба. Этот высококачественной ремень из дубленой кожи не только впечатляет своим внешним видом, но и обладает долговечностью и прочностью. Натуральная кожа обеспечивает изделию элегантный внешний вид, а круглая однотонная пряжка с логотипом Levis добавляет ему особый шарм и оригинальность. Этот классический ремень идеально подходит для создания как повседневных, так и более нарядных образов. Его можно продевать через петли любимых джинсов с высокой посадкой, чтобы подчеркнуть талию, или носить поверх стильного блейзера для создания более сложного и интересного образа. Независимо от выбранного стиля, этот ремень придаст любому наряду завершенность и элегантность. Аксессуары, подобные этому, действительно делают образ полным, подчеркивая внимание к деталям и вкус их обладательницы. Не упустите возможность обзавестись этим универсальным аксессуаром, который будет служить вам долгое время, начиная от рабочих будней до выходных встреч с друзьями. Ширина ремня 37 мм</t>
  </si>
  <si>
    <t>75</t>
  </si>
  <si>
    <t>Levi's Original feminine Shell Belt</t>
  </si>
  <si>
    <t>D6014-0002</t>
  </si>
  <si>
    <t>Суть этого модного кожаного ремня Levis в деталях, и особенно акриловой пряжке. Носите его с джинсами с заправленной футболкой для создания непринужденного образа или на блейзере, чтобы выглядеть модно и элегантно. Идеально подходит к джинсам, шортам, платьям и блейзерам. Смелая акриловая пряжка для создания  эффектного образа. Регулируемый ремень с логотипом Levis.</t>
  </si>
  <si>
    <t>50% регенерированная кожа, 45% полиуретан, 5% полиэстер</t>
  </si>
  <si>
    <t>D6014-0003</t>
  </si>
  <si>
    <t>70</t>
  </si>
  <si>
    <t>Levi's Original feminine Twisted Belt OV</t>
  </si>
  <si>
    <t>D6024-0002</t>
  </si>
  <si>
    <t>Женский ремень Levi's Women Twisted Belt — это идеальное сочетание стиля и качества, которое дополнит ваш образ. Классический аксессуар, выполненный из высококачественной натуральной кожи, подчеркивает ваше непревзойденное чувство моды и уверенность. Массивная золотистая пряжка добавляет изюминку и привлекает внимание, делая ремень не только функциональным, но и стильным акцентом в вашем гардеробе. На ремешке аккуратно расположен фирменный логотип Levi's, свидетельствующий о подлинности и высоком качестве изделия. Этот ремень легко сочетается как с повседневной, так и с более формальной одеждой, предоставляя широкие возможности для создания различных образов. Независимо от того, выбираете ли вы джинсы или платье, ремень Levi's станет вашим надежным спутником. Прекрасный выбор для тех, кто ценит идеальное сочетание комфорта и утонченного стиля.</t>
  </si>
  <si>
    <t>100% бычья кожа</t>
  </si>
  <si>
    <t>80</t>
  </si>
  <si>
    <t>D6606-0001</t>
  </si>
  <si>
    <t>Классический кожаный ремень с застежкой на изогнутую пряжку и регулируемой посадкой. На ремешке имеется логотип Levis. Носите его с джинсами или поверх блейзера оверсайз. Ширина 25 мм.</t>
  </si>
  <si>
    <t>Levi's Origina SS CALLIOPE SHIRT GOLDEN</t>
  </si>
  <si>
    <t>29764-0002</t>
  </si>
  <si>
    <t>Рубашка</t>
  </si>
  <si>
    <t>Рубашки</t>
  </si>
  <si>
    <t>Эта стильная блузка Levis Women Calliope Ss Top Golden Shirt в ярком желтом цвете станет отличным дополнением к вашему гардеробу. Изготовленная из высококачественного материала, она обеспечит комфорт и удобство в течение всего дня. Прекрасно сочетается с джинсами или юбкой, идеальна для повседневной носки или для особых случаев. Уникальный дизайн и безупречное качество делают эту блузку отличным выбором для стильных женщин.</t>
  </si>
  <si>
    <t>желтый</t>
  </si>
  <si>
    <t>Levi's Original FAWN TIE BLOUSE DAISY FOULARD ENAMEL OR</t>
  </si>
  <si>
    <t>A1875-0001</t>
  </si>
  <si>
    <t>Блуза</t>
  </si>
  <si>
    <t>Блузка Fawn Tie Blouse с объемными рукавами привлекает внимание. И это не говоря о неожиданной детали галстука спереди. Эта блузка яркого цвета с классным принтом привлекает внимание. Слегка укороченный силуэт с непринужденной посадкой по рукавам и фигуре. Завязки спереди.</t>
  </si>
  <si>
    <t>HALSEY 3/4 SLV BLOUSE BLACKS</t>
  </si>
  <si>
    <t>A7423-0000</t>
  </si>
  <si>
    <t>Женская блузка Levis Halsey 3/4 Sleeves Blouse отличается круглой горловиной с застежкой на пуговицы, пышными рукавами 3/4 и струящимся свободным кроем.
Блузка с длинными рукавами, придающая нотку женственности. Изготовлена ​​из вискозы ECOVERO — древесного волокна.</t>
  </si>
  <si>
    <t>100% вискоза</t>
  </si>
  <si>
    <t>HALSEY 3/4 SLV BLOUSE LIGHT INDIGO - FLAT FINISH</t>
  </si>
  <si>
    <t>A7423-0005</t>
  </si>
  <si>
    <t>В этой блузке Halsey вы будете выглядеть великолепно мгновенно. С высоким вырезом, планкой на полупуговицах, рукавами-блузонами и струящимся свободным кроем. Блузка с длинными рукавами, придающая нотку женственности. Рукава блузки 3/4. Эта одежда изготовлена ​​из ECOVERO — древесного волокна.</t>
  </si>
  <si>
    <t>100% ЛИОЦЕЛЛ</t>
  </si>
  <si>
    <t>Levi's Original BARSTOW WESTERN STANDARD MULTI-COLOR</t>
  </si>
  <si>
    <t>85744-0049</t>
  </si>
  <si>
    <t>Джинсовая рубашка для мужчин Levis Men Barstow Western Denim Shirt - это стильная и современная версия классической вестерн рубашки. Она изготовлена из качественного денима и имеет уникальный дизайн, который включает в себя карманы на груди, фигурную кокетку, остроконечные детали в традиционном вестерн стиле. Эта рубашка предлагает отличный комфорт и легкость в ношении, что делает ее идеальным выбором для любых повседневных событий. Она подойдет для создания стильного образа в офисе, на встрече с друзьями, а также для свободного времяпрепровождения. Рубашка застегивается на кнопки и может служить в качестве ленкого верхнего слоя поверх футболки. Если вы ищете классическую, но современную рубашку высочайшего качества, то Levis Men Barstow Western Denim Shirt именно то, что вам нужно.</t>
  </si>
  <si>
    <t>Levi's Original Mimmi Collar Blouse</t>
  </si>
  <si>
    <t>A0668-0002</t>
  </si>
  <si>
    <t>Классическая рубашка Levis Mimmi Collar Blouse в невероятно милом дизайне благодаря объемным, слегка укороченным рукавам, чтобы на руке были видны часы или браслет. Объемный воротник с отделкой оборками. Красивая, элегантная и игривая рубашка на пуговицах. Широкий воротник с изящными оборками завершает неповторимый образ.</t>
  </si>
  <si>
    <t>S/S SUNSET 1 PKT STANDRD</t>
  </si>
  <si>
    <t>86624-0012</t>
  </si>
  <si>
    <t>Плотность: 3.1 oz. 
Рубашка Levis синего цвета с коротким рукавом - идеальный вариант на лето. Выполнена из 100% хлопка. Застегивается на пуговицы. Прямой крой, закругленный подол. Заправьте ее в любимые джинсы или носите навыпуск - останетесь модным в любом случае.</t>
  </si>
  <si>
    <t>SS CLASSIC WESTERN</t>
  </si>
  <si>
    <t>86626-0016</t>
  </si>
  <si>
    <t>Мужская рубашка Levis Short Sleeves Classic Western Shirt — это идеальный выбор для поклонников классического западного стиля. Эмблема прочности и утонченного стиля, эта рубашка является отражением наследия бренда, укорененного на просторах американского Запада. Она обладает всеми отличительными чертами, которые делают продукты Levis уникальными и востребованными. 
Выполненная в стандартном крое, рубашка обеспечивает комфорт и свободу движений, оставаясь при этом абсолютно стильной. Характерные черты, такие как застежка на кнопках, заостренная кокетка и закругленный низ, добавляют нотку аутентичности, а короткие рукава делают её идеальной для теплых дней. 
Изготовленная из прочного хлопка с джинсовой текстурой, рубашка легко комбинируется с различными элементами гардероба — от классических джинсов до более формальных брюк. Отложной воротник завершает образ, придавая ему дополнительную элегантность. Эта рубашка — незаменимый элемент гардероба для каждого мужчины, ценящего стиль и качество.</t>
  </si>
  <si>
    <t>DARLENE UTILITY SHIRT PINKS</t>
  </si>
  <si>
    <t>A8745-0025</t>
  </si>
  <si>
    <t>Женская рубашка Levis Darlene Utility Shirt.  Эта элегантная женская рубашка из смесовой ткани с вискозой, хлопком и льном дарит невероятную легкость и воздухопроницаемость. Материал приятно холодит кожу, что делает ее идеальным выбором для жарких дней. Свободный, но структурированный крой позволяет носить ее как самостоятельный элемент или как легкую верхнюю одежду. Фирменная отделка и перламутровые пуговицы добавляют изделию нотку утонченности. Эта рубашка легко впишется в любой стиль. Носите ее заправленной в джинсы с высоким поясом для создания классического образа. Расстегните несколько верхних пуговиц и закатайте рукава для более расслабленного вида. Она также идеально смотрится поверх топа или майки в сочетании с шортами. Эта модель станет вашим надежным спутником, добавляя в повседневный стиль атмосферу непринужденной элегантности и безупречного вкуса.</t>
  </si>
  <si>
    <t>50% вискоза, 40% хлопок, 10% лен</t>
  </si>
  <si>
    <t>LANEY SS BUTTON DOWN PEONY</t>
  </si>
  <si>
    <t>29460-0003</t>
  </si>
  <si>
    <t>Плотность: 4.57 oz. 
Эта рубашка на пуговицах имеет свободный, слегка объемный крой, ее можно легко запахнуть. Уникальная текстура ткани добби для создания стильного образа. Женственная интерпретация классической рубашки на пуговицах. Простой, окутывающий силуэт. Текстурированная ткань добби.</t>
  </si>
  <si>
    <t>55% ЛЁН;45% ХЛОПОК;</t>
  </si>
  <si>
    <t>SS LAMA BOXY SHIRT</t>
  </si>
  <si>
    <t>005GH-0002</t>
  </si>
  <si>
    <t>53% лиоцелл, 47% хлопок</t>
  </si>
  <si>
    <t>Levi's Original MAEVE BLOUSE GREENS</t>
  </si>
  <si>
    <t>A4571-0002</t>
  </si>
  <si>
    <t>Рубашка Levis Women Maeve Blouse с цветочным принтом представляет собой идеальный выбор для модной и элегантной женщины. Изготовлена из мягкого материала высокого качества, благодаря чему обеспечивает комфорт при ношении и не ограничивает движения. Крой полуприлегающий, длинный рукав с манжетами. Отложной воротник добавляет рубашке элегантности и изысканности. Классический дизайн данной рубашки делает ее универсальным элементом гардероба, который можно использовать как для офиса, так и для повседневной жизни.</t>
  </si>
  <si>
    <t>96% полиэстер, 4% эластан</t>
  </si>
  <si>
    <t>JOURNEY WSTRN FSHN SHIRT</t>
  </si>
  <si>
    <t>003P4-0012</t>
  </si>
  <si>
    <t>60% лиоцелл, 40% хлопок</t>
  </si>
  <si>
    <t>HARLIE SS CROPPED SHIRT</t>
  </si>
  <si>
    <t>003QI-0000</t>
  </si>
  <si>
    <t>LS BOXY WESTERN</t>
  </si>
  <si>
    <t>0085P-0001</t>
  </si>
  <si>
    <t>JACKSON WORKER</t>
  </si>
  <si>
    <t>19573-0294</t>
  </si>
  <si>
    <t>Рубашка Levis Men Jackson Worker Overshirt — стильная мужская модель в клетку для повседневного использования. Изготовлена из хлопка с добавлением пенькового волокна, что придаёт ей особую текстуру и долговечность.Рубашку можно сочетать как с джинсами, так и надевать под футболку, создавая стильный многослойный образ.
- Материал на 100% из хлопка с пеньковым волокном уникально сочетает комфорт и долговечность, идеален для ежедневной носки.
- Стиль рабочей одежды добавляет рубашке практичности и универсальности, позволяя легко создавать повседневные образы.
- Прямая кокетка и заостренный воротник придают модели элегантный и строгий вид, который отлично вписывается в современные тренды.
- Нагрудные карманы с клапанами на пуговицах обеспечивают дополнительное удобство для хранения мелочей.
- Манжеты на пуговицах и длинные рукава добавляют функциональности и комфорта, обеспечивая свободу движений.</t>
  </si>
  <si>
    <t>CLASSIC WORKER</t>
  </si>
  <si>
    <t>19587-0364</t>
  </si>
  <si>
    <t>Мужская рубашка Levis Men Classic Worker Corduroy Shirt выполнена из мягкого и прочного вельвета бежевого цвета. Классический крой с длинными рукавами и пуговицами по всей длине изделия обеспечивает комфорт и свободу движений. Рубашка украшена небольшим логотипом Levis на груди и имеет два удобных кармана на груди с клапанами. Эта рубашка является идеальным выбором для создания элегантного и стильного образа в повседневной жизни.</t>
  </si>
  <si>
    <t>Levi's Original THE CLASSIC SHIRT CUPERTINO PRINTED STR</t>
  </si>
  <si>
    <t>22645-0014</t>
  </si>
  <si>
    <t>Рубашка Levis в полоску. Эту интерпретацию классической оксфордской рубашки можно заправлять или носить на выпуск, объемно или по фигуре. Современная интерпретация базовой мужской одежды. Заправляйте ее в джинсы Levis с высокой талией или носите на выпуск. Эта универсальная базовая модель в мужской стиле станет твоим любимым предметом гардероба.</t>
  </si>
  <si>
    <t>100% лиоцелл</t>
  </si>
  <si>
    <t>THE CLASSIC BW SHIRT WHITES</t>
  </si>
  <si>
    <t>34574-0042</t>
  </si>
  <si>
    <t>Женская рубашка Levi's New Classic Fit Shirt – это воплощение элегантности и классического стиля. Рубашка выполнена из высококачественного материала, а ее дизайн в сочетании с французским воротником придает ей утонченный вид. Застежка на 7 белых пуговиц добавляет изысканности и позволяет легко регулировать посадку. Отстрочка в тон подчеркивает внимание к деталям, а вышитый логотип бренда на левой груди добавляет фирменный акцент. Levi's New Classic Fit Shirt – идеальный выбор для создания стильного и элегантного образа как для деловых встреч, так и для повседневной носки.</t>
  </si>
  <si>
    <t>Levi's Original BARSTOW WESTERN STANDARD RED CAST RI</t>
  </si>
  <si>
    <t>85744-0000</t>
  </si>
  <si>
    <t>Плотность: 7.5 oz. 
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</si>
  <si>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Longsleeve Shirt</t>
  </si>
  <si>
    <t>85744-0041</t>
  </si>
  <si>
    <t>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</si>
  <si>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Shirt Blue</t>
  </si>
  <si>
    <t>85744-0047</t>
  </si>
  <si>
    <t>SUNSET 1 POCKET STANDARD</t>
  </si>
  <si>
    <t>85746-0157</t>
  </si>
  <si>
    <t>Мужская рубашка Levis Men Sunset 1 Pocket Standard Fit Shirt сочетает в себе клаcсический дизайн и повседневный комфорт. Она выполнена из мягкого и приятного на ощупь материала, который обеспечивает комфортную носку на протяжении всего дня. Прямой крой и закругленный подол делают рубашку универсальной и подходящей для любых ситуаций, добавляя элегантности вашему стилю. Длинные рукава с манжетами на пуговицах придают классический штрих и делают рубашку идеальным выбором как для офиса, так и для более неформальных мероприятий. Нагрудный карман слева с логотипом Levis добавляет стильный акцент и подчеркивает качество бренда. Эта рубашка может быть застегнута на все пуговицы для более формального вида или надета поверх футболки, как легкая верхняя одежда, для создания более расслабленного образа. Надежная и стильная, она всегда будет актуальной частью вашего гардероба, прекрасно сочетаясь с джинсами и брюками.</t>
  </si>
  <si>
    <t>SUNSET 1 POCKET STANDARD NEUTRALS</t>
  </si>
  <si>
    <t>85746-0197</t>
  </si>
  <si>
    <t>43% лен, 34% вискоза, 23% хлопок</t>
  </si>
  <si>
    <t>SS BATTERY HM SLIM</t>
  </si>
  <si>
    <t>86623-0005</t>
  </si>
  <si>
    <t>Мужская рубашка Levis Battery Housemark Slim Fit — это обязательный элемент гардероба для современных мужчин, которые ценят стиль и практичность. Эта рубашка с коротким рукавом на пуговицах, вдохновленная рабочей униформой, воплощает в себе сочетание функциональности и элегантности, мгновенно преобразуя любой образ. Благодаря приталенному крою, рубашка аккуратно подчеркивает силуэт, создавая утонченный и современный вид. Эластичный поплин обеспечивает комфорт и свободу движений, что делает её идеальной для повседневной носки. Слим крой и короткие рукава придают образу лёгкость и свежесть, а сдержанный логотип Levi's на груди добавляет фирменной узнаваемости. Эта универсальная рубашка безупречно сочетается как с джинсами, так и с чиносами, позволяя создавать разнообразные образы для работы или отдыха. Независимо от ситуации, рубашка Levi's Battery Housemark Slim Fit станет отличным выбором для тех, кто стремится выглядеть стильно и уверенно.</t>
  </si>
  <si>
    <t>86624-0062</t>
  </si>
  <si>
    <t>Levi's Original LS BATTERY HM SHIRT SLIM</t>
  </si>
  <si>
    <t>86625-0017</t>
  </si>
  <si>
    <t>Рубашка приталленого кроя от Levis - это рубкашка, которую млжно ность застегнутой доверху, чтобы создать классический образ, или вообще проигнорируйте пуговицы и носите расстегнутой поверх любимой футболки, чтобы создать более непринужденный стиль. Нет неправильного способа носить эту вневременную вещь.
Универсальная рубашка на пуговицах, которую можно носить с джинсами или брюками чинос.
Дополнена сдержанным логотипом на груди.</t>
  </si>
  <si>
    <t>86625-0018</t>
  </si>
  <si>
    <t>LS BATTERY HM SHIRT SLIM BLUES</t>
  </si>
  <si>
    <t>86625-0039</t>
  </si>
  <si>
    <t>Плотность: 4.3 oz. 
Классическая рубашка Levis белого цвета. Выполнена из 100% хлопка. Застегивается на пуговицы. Прямой крой, закругленный подол, длинные рукава с манжетами на пуговицах. Вышивка логотипа Levis Batwings на груди слева. Заправьте ее в любимые джинсы или носите навыпуск - останетесь модным в любом случае.</t>
  </si>
  <si>
    <t>LS BATTERY HM SHIRT SLIM</t>
  </si>
  <si>
    <t>86625-0040</t>
  </si>
  <si>
    <t>Классическая рубашка Levis Men Battery Housemark Slim Fit Shirt — это утонченная вещь, которая придаст вашему образу современное изящество. Выполненная из высококачественного хлопкового материала, она обеспечивает комфортную носку и воздухопроницаемость. Приталенный крой подчеркивает фигуру, создавая стройный и элегантный силуэт, а закругленный подол добавляет стильный акцент, позволяющий легко варьировать стиль. Длинные рукава с манжетами на пуговицах добавляют классический штрих, подходящий как для делового, так и для повседневного образа. Вышивка логотипа Levis Batwings на груди слева придает рубашке фирменное очарование и подчеркивает принадлежность к легендарному бренду. Эта рубашка универсальна в своем применении: заправьте ее в джинсы для более формального вида или носите навыпуск для непринужденного стиля. В любом случае, вы останетесь модным и уверенным, что делает эту рубашку незаменимой частью вашего гардероба.</t>
  </si>
  <si>
    <t>SS CLASSIC WESTERN DARK INDIGO - WORN IN</t>
  </si>
  <si>
    <t>86626-0012</t>
  </si>
  <si>
    <t>SS CLASSIC WESTERN MED INDIGO - FLAT FINISH</t>
  </si>
  <si>
    <t>86626-0014</t>
  </si>
  <si>
    <t>AUTHENTIC BUTTON DOWN BLACKS</t>
  </si>
  <si>
    <t>A7210-0038</t>
  </si>
  <si>
    <t>AUTHENTIC BUTTON DOWN</t>
  </si>
  <si>
    <t>A7210-0055</t>
  </si>
  <si>
    <t>Мужская рубашка Levis Authentic Button Down Shirt – это идеальное сочетание классики и комфорта. Разработанная с учетом современных тенденций, эта рубашка станет отличным дополнением к вашему гардеробу. Благодаря свободному крою и натуральным материалам, вы будете чувствовать себя непринужденно в любой ситуации.
- Застежка на пуговицах спереди и воротник на пуговицах подчеркивают стиль и универсальность.
- Обеспечивает максимальный комфорт и свободу движений, подходя для повседневной носки и неформальных мероприятий.
- Изготовлена из 100% хлопка шамбре, что гарантирует долговечность и комфорт.
-  Отлично сочетается с джинсами и другой одеждой, позволяя создавать разнообразные образы.
- Длинные рукава добавляют стильности и делают рубашку подходящей как для теплой, так и для прохладной погоды.
Эта рубашка – отличный выбор для современного мужчины, ценящего комфорт и стиль в повседневной жизни.</t>
  </si>
  <si>
    <t>A7210-0065</t>
  </si>
  <si>
    <t>AUTHENTIC BUTTON DOWN PINKS</t>
  </si>
  <si>
    <t>A7210-0068</t>
  </si>
  <si>
    <t>CARINNA BLOUSE NEUTRALS</t>
  </si>
  <si>
    <t>A7356-0001</t>
  </si>
  <si>
    <t>Женская блузка Levis  Carinna Blouse сочетает в себе женственность и элементы западного стиля. Отличается круглой горловиной, застежкой на пуговицы, рушами и пышными рукавами. Изготовлена с использованием мягкого и воздушного льна, который обеспечит прохладу и комфорт, когда на улице жарко.</t>
  </si>
  <si>
    <t>SS AUTHENTIC BUTTON DOWN</t>
  </si>
  <si>
    <t>A9161-0007</t>
  </si>
  <si>
    <t>Рубашка Men Short Sleeve Authentic Button-Down Shirt — идеальный выбор для тех, кто ценит комфорт и стиль в повседневной одежде. Эта рубашка свободного кроя обеспечивает свободу движения, делая её отличным вариантом для теплой погоды. Застежка на пуговицах добавляет классический акцент, позволяя легко регулировать посадку. Короткие рукава придают изделию легкость и обеспечивают дополнительный комфорт в жаркие дни. Отложной воротник придаёт рубашке элегантность, благодаря чему она подходит как для прогулок по городу, так и для неформальных встреч. Выполненная из высококачественных материалов, эта рубашка обеспечит вам уют и стиль на каждый день.</t>
  </si>
  <si>
    <t>SS AUTHENTIC BUTTON DOWN WHITE</t>
  </si>
  <si>
    <t>A9161-0014</t>
  </si>
  <si>
    <t>PIECED LOLA SHIRT BLUES</t>
  </si>
  <si>
    <t>A9304-0000</t>
  </si>
  <si>
    <t>Эта универсальная женская рубашка идеально подходит как для повседневных образов, так и для создания стильных многослойных сочетаний. Выполнена из 100% хлопка и украшена тонким полосатым узором.
Свободный крой.
Классический отложной воротник.
Застежка на пуговицы по всей длине.
Длинные рукава с манжетами на пуговицах.
Комбинированный принт в стиле колор-блок.</t>
  </si>
  <si>
    <t>June S Sf</t>
  </si>
  <si>
    <t>37545-0034</t>
  </si>
  <si>
    <t>Шлепанцы</t>
  </si>
  <si>
    <t>Сандалии и шлепанцы</t>
  </si>
  <si>
    <t>Если вы ищете легкие и универсальные шлепанцы, эта пара как раз для вас. Пантолеты отлично зарекомендуют себя в бассейне или во время летних прогулок. Они станут вашей любимой обувью. Незаменимые шлепанцы для повседневной носки. Гибкий резиновый материал обеспечивает амортизацию и комфорт при ходьбе. Верх с удобным синтетическим ремешком.</t>
  </si>
  <si>
    <t>37</t>
  </si>
  <si>
    <t>39</t>
  </si>
  <si>
    <t>Levi's Original GRAPHIC STANDARD HOODIE HOODIE REFLECTI</t>
  </si>
  <si>
    <t>18487-0132</t>
  </si>
  <si>
    <t>Худи</t>
  </si>
  <si>
    <t>Толстовки и ветровки</t>
  </si>
  <si>
    <t>Худи Levis классического кроя.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</si>
  <si>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STANDARD GRAPHIC HOODIE BW HOODIE</t>
  </si>
  <si>
    <t>38424-0041</t>
  </si>
  <si>
    <t>Худи для мужчин Levis Men New Original Hoodie выполнено из высококачественного 100% хлопка, что обеспечивает максимальный комфорт и приятное ощущение на коже. 
Дизайн данной модели простой и стильный: зеленый цвет придает изделию особую свежесть и яркость. 
Худи имеет капюшон с регулируемыми завязками, которые позволяют настроить его наиболее удобным образом. Карман-кенгуру на передней части худи предоставляет место для хранения мелочей или для согрева рук. 
Эта модель является классической и универсальной, подходящей для различных повседневных образов. Худи отлично сочетается с джинсами или спортивными штанами, а также с любимыми кроссовками или ботинками.
Худи Levis Men New Original Hoodie - это отличный выбор для людей, которые ценят комфорт, стиль и качество. Данная модель не только добавит индивидуальности вашему гардеробу, но и станет незаменимой вещью в холодные дни, обеспечивая тепло и защиту от ветра.</t>
  </si>
  <si>
    <t>Levi's Original Ocean Camo HEDGE</t>
  </si>
  <si>
    <t>28412-0008</t>
  </si>
  <si>
    <t>Ветровка</t>
  </si>
  <si>
    <t>Плотность: 5.6 oz. 
Что отличает парку Mission Fishtail от остальных? Идеальный баланс стиля и практичности благодаря минималистскому силуэту и водоотталкивающему покрытию. Все дело в деталях! Именно с ними съемный капюшон стал еще более универсальным. Универсальная парка с водоотталкивающим покрытием. Сохраняет сухость и комфорт в любых условиях.</t>
  </si>
  <si>
    <t>84% полиэстер, 16% хлопок,</t>
  </si>
  <si>
    <t>Levi's Original Standard Graphic Sweatshirt</t>
  </si>
  <si>
    <t>38424-0046</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</si>
  <si>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</si>
  <si>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STANDARD GRAPHIC HOODIE MULTI-COLOR</t>
  </si>
  <si>
    <t>38424-0055</t>
  </si>
  <si>
    <t>хаки</t>
  </si>
  <si>
    <t>PREMIUM GRAPHIC CREW</t>
  </si>
  <si>
    <t>000MS-0013</t>
  </si>
  <si>
    <t>Толстовка</t>
  </si>
  <si>
    <t>Мужской свитшот Levis Premium Graphic Crewneck идеально подходит для тех, кто ищет универсальность и комфорт в одном предмете одежды. Этот свитшот изготовлен из мягкой и уютной ткани френч терри, которая обеспечит комфорт в любой ситуации. Свободный крой и длинные рукава создают расслабленный и стильный образ, который прекрасно подойдет для повседневного ношения. Круглый вырез и ребристые манжеты с подолом добавляют классический акцент, обеспечивая при этом удобство и хорошую посадку. Свитшот выполнен из 100% хлопка, который известен своими дышащими свойствами и мягкостью. Это делает модель идеальной для ношения в любое время года. Превосходное качество и стильный графический дизайн Levi's делают этот свитшот отличным выбором для тех, кто ценит простоту и элегантность. Легкий в уходе, он будет долго радовать вас своим первоначальным видом.</t>
  </si>
  <si>
    <t>Levi's Original LS TURTLENECK TEE YELLOWS/ORANGES</t>
  </si>
  <si>
    <t>A1849-0005</t>
  </si>
  <si>
    <t>Джемпер</t>
  </si>
  <si>
    <t>Лонгслив Levis Men Long Sleeve Turtleneck Tee - это стильная футболка с длинными рукавами и воротником-тулуп. Она выполнена из 100% хлопкового материала, который обеспечивает комфорт и долговечность. 
Цвет придает данной модели яркость и выразительность. Футболка имеет классический крой, который подчеркивает мужскую силу и стиль. 
Этот лонгслив Levis идеально подходит для создания повседневного образа. Он многофункционален и может использоваться как соло, так и в качестве слоя при нанесении другой одежды. 
Благодаря своему дизайну и качеству, лонгслив Levis Men Long Sleeve Turtleneck Tee является отличным выбором для мужчин, которые ценят комфорт, стиль и качество в одежде.</t>
  </si>
  <si>
    <t>GR ICONIC HERITAGE CREW WHITES</t>
  </si>
  <si>
    <t>000RM-0002</t>
  </si>
  <si>
    <t>Свитшот</t>
  </si>
  <si>
    <t>Женский свитшот Levis Graphic Iconic Heritage из 100% хлопка — воплощение комфорта и стиля, вдохновленное наследием легендарного бренда Levi's. Он сочетает классический дизайн и современные акценты, создавая универсальную вещь, которая станет ярким дополнением любого гардероба.
Ключевое преимущество свитшота — удобный стандартный крой, который идеально подходит на любой тип фигуры. Он не сковывает движений и позволяет чувствовать себя свободно весь день. Мягкая ткань дарит комфорт и уют, делая свитшот идеальным для повседневной носки. Эластичные манжеты и нижняя кромка обеспечивают дополнительное удобство и прилегание, создавая завершенный образ.
Главная изюминка модели — уникальный графический дизайн, привлекающий внимание и выделяющий вас из толпы. Графика выполнена в фирменном стиле Levi's, что подчеркивает ваш безупречный вкус и любовь к качественным вещам. Этот свитшот — стильное заявление и выражение индивидуальности, радующее вас и окружающих.
Универсальность модели позволяет легко сочетать её с различными элементами гардероба. Носите свитшот с джинсами и кроссовками для casual образа или с юбкой и ботильонами для более смелого стиля. Он идеально подходит для прогулок по городу, встреч с друзьями или уютных вечеров дома, создавая непринужденный, но стильный образ в любой ситуации.
Воплощая дух времени и современность, женский свитшот Levis Graphic Iconic Heritage — незаменимый элемент гардероба для тех, кто ценит качество, комфорт и стиль. Выбирайте этот свитшот, чтобы добавить в свой гардероб нотку уникальности и стиля, который всегда будет актуальным независимо от модных тенденций.</t>
  </si>
  <si>
    <t>Levi's Original Graphic Standard Crew</t>
  </si>
  <si>
    <t>18686-0011</t>
  </si>
  <si>
    <t>Свитшот Levis белого цвета. Выполнен из мягкого хлопка. Классический крой, круглый вырез горловины. Подол и манжеты в рубчик. Принт LEVIS на груди.</t>
  </si>
  <si>
    <t>100% Хлопок</t>
  </si>
  <si>
    <t>Levi's Original GRAPHIC STANDARD HOODIE HOODIE SEASONAL</t>
  </si>
  <si>
    <t>18487-0110</t>
  </si>
  <si>
    <t>Базовое худи Levis из флиса.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</si>
  <si>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RLXD GRAPHIC 1/4 ZIP PCH BLACKS</t>
  </si>
  <si>
    <t>A4877-0001</t>
  </si>
  <si>
    <t>Свитшот Levis Men Relaxed Graphic Quarter-zip Sweatshirt A4877-0001 – это стильная и комфортная одежда для современного мужчины. Изготовлен из 100% хлопка, он обеспечивает непревзойденный комфорт и приятное ощущение на коже.
Черный цвет делает этот свитшот универсальным, идеально сочетающимся с любым гардеробом и подходящим для любой ситуации. Графический дизайн на груди придает ему стильный акцент и подчеркивает индивидуальность владельца.
Свитшот имеет воротник-стойку на молнии до четверти груди, эластичные манжеты и шнурок по низу. Расслабленный крой обеспечивает свободу движений и дополнительное удобство.
Свитшот Levis Men Relaxed Graphic Quarter-zip Sweatshirt – это идеальная комбинация стиля, комфорта и качества, которая превратит его в избранную вещь в вашем гардеробе.</t>
  </si>
  <si>
    <t>Levi's Original LMC TYPE II WORN TRUCKER LMC CRISP MOJ</t>
  </si>
  <si>
    <t>28943-0022</t>
  </si>
  <si>
    <t>Плотность: 13.5 oz. 
Эта куртка в винтажном стиле — интерпретация джинсовой куртки Levis Type II Trucker Jacket, которая славится уникальным элементом «в складку» и карманами с двум клапанами. Куртка Type II Worn Trucker Jacket отдает дань уважения оригинальным моделям, изготовленным из нашего лучшего денима индиго средней интенсивности со всемирно известной фабрики Kaihara Mill в Японии. Куртка Type II Trucker Jacket из коллекции Levis Made &amp; Crafted — дань одной из наших самых легендарных моделей. Куртка имеет складки по обеим сторонам передней планки и является образцом оригинального стиля. Изготовлена из японского селвидж-денима премиум-класса производства известной фабрики Kaihara Mill.</t>
  </si>
  <si>
    <t>THE ORIGINAL HM CREW BLUES</t>
  </si>
  <si>
    <t>35909-0056</t>
  </si>
  <si>
    <t>Мужской свитшот Levi's Men Original Housemark Crewneck Sweatshirt – идеальный выбор для тех, кто ценит комфорт и классический стиль. Этот свитшот выполнен из мягкого уютного хлопкового френч терри, что обеспечивает тепло и удобство в носке. Классический крой с круглым вырезом горловины, манжетами и подолом в рубчик обеспечивает идеальную посадку и комфортные ощущения. Небольшая вышивка культового логотипа Levi's Batwings на груди с левой стороны добавляет элегантную деталь и подчеркивает фирменный стиль бренда. Этот свитшот легко комбинируется с различными предметами гардероба, создавая стильные и непринужденные образы для любого случая.</t>
  </si>
  <si>
    <t>80% Хлопок/20% Полиэстер</t>
  </si>
  <si>
    <t>Levi's Original TYPE I TRUCKER DARK INDIGO - FLAT FINISH</t>
  </si>
  <si>
    <t>A3174-0010</t>
  </si>
  <si>
    <t>Джинсовая куртка Levis Men Type I Trucker Jacket для мужчин выполнена из высококачественного 100% хлопка и предлагает стильный синий цвет. Она сочетает в себе классический дизайн и комфортное облегание.
Эта модель куртки имеет характерные детали в стиле "тракер": перекрестные швы, два нагрудных кармана с пуговицами и плечевые планки. Они придают этой куртке уникальный и динамичный вид.
Материал из 100% хлопка обеспечивает прочность, долговечность и дышащие свойства. Он также позволяет коже дышать и не вызывает раздражений.
Куртка Levis Men Type I Trucker Jacket - это прекрасный выбор для создания стильного образа. Она идеально сочетается с джинсами, брюками или шортами. Эта куртка прекрасно подойдет для повседневного использования или как элемент стильного образа на особых мероприятиях.</t>
  </si>
  <si>
    <t>LEVIS TWIST SHACKET DARK INDIGO - FLAT FINISH</t>
  </si>
  <si>
    <t>003M1-0001</t>
  </si>
  <si>
    <t>Мужская куртка Levis Men Twist Shacket — это стильное и функциональное сочетание куртки и рубашки, идеально подходящее для повседневного ношения. Отличается классическим воротником и свободным кроем, что создает дополнительный комфорт и свободу движения в течение дня. Эта модель изготовлена из 100% денима, который не только прочный и долговечный, но и создает классический джинсовый образ.
Особое внимание уделено экологичности: куртка изготовлена с использованием переработанной воды, что способствует сокращению воздействия на водные ресурсы. Джинсовая ткань обеспечивает удобство и стиль, а заостренный воротник и длинные рукава добавляют классический акцент. 
Изготовленная из чистого хлопка, эта куртка обеспечивает комфорт кожи и является легкой в уходе. Twist Shacket идеальна для любого гардероба, где ценятся практичность и мода.</t>
  </si>
  <si>
    <t>Levi's Original RELAXD Graphic Sweatshirt</t>
  </si>
  <si>
    <t>38712-0072</t>
  </si>
  <si>
    <t>Свитшот Levis с круглым вырезом отличается свободным кроей и логотипом Levis 501 на груди. Классический крой. Изготовлен из уютной махровой ткани.
Ребристые манжеты и подол.</t>
  </si>
  <si>
    <t>EVERYDAY HOODIE NEUTRALS</t>
  </si>
  <si>
    <t>A5943-0028</t>
  </si>
  <si>
    <t>58% хлопок, 42% полиэстер</t>
  </si>
  <si>
    <t>Levi's Original RELAXED FIT GRAPHIC HOODIE</t>
  </si>
  <si>
    <t>38479-0182</t>
  </si>
  <si>
    <t>Мужское худи Levis Men Relaxed Graphic Hoodie выполнено из высококачественных материалов - 80% хлопка и 20% полиэстера. Этот стильный и комфортный свитшот станет прекрасным дополнением к гардеробу современного мужчины.
Худи имеет свободный крой, который обеспечивает удобную посадку и свободу движений. Оно идеально подходит для повседневной носки, спортивных тренировок или прогулок. 
На передней стороне худи расположена стильная графическая надпись от Levis, которая придает этой вещи уникальный стиль. Капюшон со шнурком позволяет регулировать его посадку, а передний карман отлично подходит для хранения различных мелочей или для размещения рук в холодную погоду.
Мужское худи Levis Men Relaxed Graphic Hoodie представляет собой идеальное сочетание стиля, комфорта и функциональности.</t>
  </si>
  <si>
    <t>Levi's Original GRAPHIC STANDARD HOODIE SPORTSWEAR 2.1</t>
  </si>
  <si>
    <t>18487-0058</t>
  </si>
  <si>
    <t>Худи Levis из мягкого хлопкового материала. Карман кенгуру спереди. Принт Levis на груди.</t>
  </si>
  <si>
    <t>X GU TECHNICAL ANORAK PIRATE BLACK</t>
  </si>
  <si>
    <t>A7411-0000</t>
  </si>
  <si>
    <t>Анорак</t>
  </si>
  <si>
    <t>Представляем мужской анорак Levis x Gundam Seed Technical Anorak, созданный в рамках уникальной коллаборации с культовым аниме Gundam Seed. Изготовленный из прочного и легкого нейлона, этот анорак идеально подходит для активного образа жизни и трендовых образов. Он отличается функциональным дизайном, включающим удобный капюшон и просторные карманы для хранения необходимых вещей. Вдохновленный футуристическим стилем и технологическими инновациями, этот анорак не только защитит от ветра и дождя, но и подчеркнет вашу индивидуальность.</t>
  </si>
  <si>
    <t>100% полиамид (нейлон)</t>
  </si>
  <si>
    <t>000RM-0000</t>
  </si>
  <si>
    <t>Женский свитшот Levis Graphic Iconic Heritage из 100% хлопка — воплощение комфорта и стиля, вдохновленное наследием легендарного бренда Levi's. Он сочетает классический дизайн и современные акценты, создавая универсальную вещь, которая станет ярким дополнением любого гардероба.
Ключевое преимущество свитшота — удобный стандартный крой, который идеально подходит на любой тип фигуры. Он не сковывает движений и позволяет чувствовать себя свободно весь день. Свитшот из мягкой махровой ткани french terry плотностью 405 г/кв.м. Мягкая ткань дарит комфорт и уют, делая свитшот идеальным для повседневной носки. Эластичные манжеты и нижняя кромка обеспечивают дополнительное удобство и прилегание, создавая завершенный образ. 
Главная изюминка модели — уникальный графический дизайн, привлекающий внимание и выделяющий вас из толпы. Графика выполнена в фирменном стиле Levi's, что подчеркивает ваш безупречный вкус и любовь к качественным вещам. Этот свитшот — стильное заявление и выражение индивидуальности, радующее вас и окружающих.
Универсальность модели позволяет легко сочетать её с различными элементами гардероба. Носите свитшот с джинсами и кроссовками для casual образа или с юбкой и ботильонами для более смелого стиля. Он идеально подходит для прогулок по городу, встреч с друзьями или уютных вечеров дома, создавая непринужденный, но стильный образ в любой ситуации.
Воплощая дух времени и современность, женский свитшот Levis Graphic Iconic Heritage — незаменимый элемент гардероба для тех, кто ценит качество, комфорт и стиль. Выбирайте этот свитшот, чтобы добавить в свой гардероб нотку уникальности и стиля, который всегда будет актуальным независимо от модных тенденций.</t>
  </si>
  <si>
    <t>COLOMA CLASSIC JACKET TANS</t>
  </si>
  <si>
    <t>001FJ-0000</t>
  </si>
  <si>
    <t>COLOMA CLASSIC JACKET BLUES</t>
  </si>
  <si>
    <t>001FJ-0004</t>
  </si>
  <si>
    <t>SUPER SOFT VNECK PULLOVER</t>
  </si>
  <si>
    <t>0046F-0002</t>
  </si>
  <si>
    <t>Пуловер</t>
  </si>
  <si>
    <t>Женский пуловер Levi's Supersoft V-neck Pullover Sweater — эталон комфорта и простоты. Супермягкая ткань, используемая при производстве, дарит невероятные тактильные ощущения и уют в прохладную погоду. V-образный вырез визуально удлиняет шею и позволяет носить пуловер поверх рубашек или водолазок, создавая интересные многослойные комбинации. Свободный расслабленный крой не сковывает движений и подходит для любого типа фигуры, мягко скрывая недостатки. Это идеальный базовый элемент гардероба, который легко комбинируется с джинсами, юбками и платьями. Модель универсальна: уместна как в офисе, так и на романтическом свидании или прогулке. Высокое качество вязки предотвращает образование катышков и деформацию изделия. Нейтральный дизайн позволяет экспериментировать с аксессуарами. Подарите себе ощущение нежности и тепла с пуловером, который станет вашей любимой вещью на каждый день благодаря непревзойденной мягкости и элегантной простоте кроя.</t>
  </si>
  <si>
    <t>53% хлопок, 32% полиэстер, 13% полиамид, 2% эластан</t>
  </si>
  <si>
    <t>0046F-0011</t>
  </si>
  <si>
    <t>53% хлопок; 32% полиэстер; 13% полиамид; 2% эластан</t>
  </si>
  <si>
    <t>0046F-0012</t>
  </si>
  <si>
    <t>0046F-0013</t>
  </si>
  <si>
    <t>CASTRO FULL ZIP MED INDIGO - WORN IN</t>
  </si>
  <si>
    <t>005AF-0003</t>
  </si>
  <si>
    <t>HAYES BOXY FULL ZIP NEUTRALS</t>
  </si>
  <si>
    <t>005PJ-0002</t>
  </si>
  <si>
    <t>BOXY GRAPHIC CREW BLUES</t>
  </si>
  <si>
    <t>005PK-0003</t>
  </si>
  <si>
    <t>SOFT CROPPED HOODIE</t>
  </si>
  <si>
    <t>0060R-0000</t>
  </si>
  <si>
    <t>Мужское худи Levis Men Soft Boxy Garment Dye Hoodie – это идеальное сочетание современного уличного стиля и непревзойденного комфорта. Выполненное в актуальном фасоне Boxy Fit, оно отличается свободным, слегка укороченным кроем с заниженной линией плеча, создавая расслабленный силуэт, который не стесняет движений и прекрасно подходит для многослойных образов. 
Ключевые особенности изделия включают в себя использование плотного и мягкого трикотажа French Terry из 100% высококачественного хлопка. Этот материал приятен на ощупь, хорошо держит форму и обладает высокой износостойкостью. Технология Garment Dye, при которой изделие окрашивается в готовом виде, придает ткани глубокий и неоднородный оттенок с мягким винтажным эффектом, который только улучшает внешний вид с каждой стиркой. 
Детали дизайна включают объемный капюшон на подкладке без шнурков для минималистичного вида, вместительный карман-кенгуру спереди, эластичные манжеты и нижний край в рубчик. Лаконичный внешний вид худи дополняется едва заметным фирменным логотипом, подчеркивающим премиальность линейки. 
Это худи станет базовым элементом вашего гардероба, идеально сочетаясь с широкими джинсами, джоггерами или шортами. Модель объединяет эстетику архивной спортивной одежды и современные требования к комфорту, делая ее незаменимой в повседневном стиле.</t>
  </si>
  <si>
    <t>0060R-0001</t>
  </si>
  <si>
    <t>0060R-0002</t>
  </si>
  <si>
    <t>88% хлопок, 12% полиэстер</t>
  </si>
  <si>
    <t>LAUREL CREW</t>
  </si>
  <si>
    <t>0065W-0004</t>
  </si>
  <si>
    <t>30% полиамид; 30% полиэстер; 20% хлопок; 20% шерсть</t>
  </si>
  <si>
    <t>ROCKWELL REVERSIBLE VEST</t>
  </si>
  <si>
    <t>007SZ-0000</t>
  </si>
  <si>
    <t>007SZ-0001</t>
  </si>
  <si>
    <t>WOODACRE HENLEY SWEATER</t>
  </si>
  <si>
    <t>007T3-0003</t>
  </si>
  <si>
    <t>62% акрил; 27% полиамид; 8% шерсть; 3% эластан</t>
  </si>
  <si>
    <t>MASON COLLARED QUARTER ZIP</t>
  </si>
  <si>
    <t>007T6-0000</t>
  </si>
  <si>
    <t>80% акрил; 10% полиамид; 10% шерсть</t>
  </si>
  <si>
    <t>SUPER SOFT VNECK SWEATER MILANO STITCH</t>
  </si>
  <si>
    <t>007VW-0000</t>
  </si>
  <si>
    <t>007VW-0003</t>
  </si>
  <si>
    <t>BOULDER COLLARED HALF ZIP</t>
  </si>
  <si>
    <t>007W2-0000</t>
  </si>
  <si>
    <t>Мужской джемпер Levis Boulder — классический предмет гардероба в современном исполнении. Этот стильный и универсальный джемпер станет идеальным выбором для повседневных образов, сочетая в себе комфорт, стиль и функциональность. Свободный крой модели обеспечивает непринужденную посадку, не стесняющую движений, а застежка-молния до середины груди добавляет практичности, позволяя регулировать уровень комфорта в зависимости от погодных условий.
Изготовленный из мягкого трикотажа с добавлением шерсти, джемпер отличается уникальной фактурой и обеспечивает дополнительное тепло, так необходимое в прохладное время года. Состав материала включает шерсть стандарт RWS, отвечающую строгим требованиям этичности и устойчивости, акрил для долговечности, переработанный полиэстер, подчеркивающий экологичность, и спандекс, обеспечивающий эластичность изделия.
Теплая базовая вещь от Levis с плотностью 1 унция станет вашим надежным спутником, дарящим уют и стиль в любое время года. Выбирайте качество и традиции, проверенные временем, и наслаждайтесь идеальным сочетанием классики и современности. Levis Boulder — это не просто джемпер, это ваш новый уютный стиль.</t>
  </si>
  <si>
    <t>64% акрил; 25% полиэстер; 9% шерсть; 2% эластан</t>
  </si>
  <si>
    <t>EVERYDAY FULL ZIP HOODIE SWEATSHIRT</t>
  </si>
  <si>
    <t>0082L-0000</t>
  </si>
  <si>
    <t>Женская толстовка на молнии Levi's® Everyday Full-Zip Hoodie - это классическая базовая модель с капюшоном, созданная для комфортной повседневной носки. Свободный расслабленный крой Relaxed Fit и слегка спущенная линия плеч обеспечивают свободу движений и позволяют легко сочетать худи с другими слоями одежды. Модель выполнена из плотного трикотажа Brushed Fleece с мягким начёсом с внутренней стороны.</t>
  </si>
  <si>
    <t>AUTHENTIC CREW-NECK SWEATSHIRT</t>
  </si>
  <si>
    <t>0083Q-0000</t>
  </si>
  <si>
    <t>AUTHENTIC PO HOODIE</t>
  </si>
  <si>
    <t>0083U-0000</t>
  </si>
  <si>
    <t>Это универсальная базовая модель с капюшоном, рассчитанная на комфортную повседневную носку. Свободный расслабленный крой Relaxed Fit обеспечивает удобную посадку и свободу движений, позволяя легко использовать худи в многослойных образах. Модель выполнена из мягкого трикотажа Brushed Fleece с начёсом с внутренней стороны, который делает материал более приятным и комфортным в прохладную погоду.</t>
  </si>
  <si>
    <t>WORKWEAR PO HOODIE</t>
  </si>
  <si>
    <t>0084Q-0000</t>
  </si>
  <si>
    <t>Мужская худи Levis Workwear Pullover Hoodie — это воплощение комфорта и практичности, созданное в стиле рабочей одежды. Эта толстовка идеально подходит для повседневного ношения, обеспечивая уют и свободу движений благодаря своему свободному крою. Изготовленная из мягкого начесанного флиса, худи служит отличным выбором как для самостоятельного ношения, так и в качестве нижнего слоя в более холодные дни.
Толстовка оснащена капюшоном, что придаёт ей дополнительную функциональность и делает её идеальной для любого времени года. Длинные рукава обеспечивают дополнительное тепло, а 100% хлопковый состав гарантирует длительную износостойкость и комфорт.
Levis Workwear Pullover Hoodie сохраняет свою форму даже при активной носке, оставаясь стильной и функциональной деталью вашего гардероба. Независимо от того, отправляетесь ли вы на прогулку в прохладную погоду или надеваете её дома для расслабленного отдыха, эта худи обеспечит вас комфортом и стилем на каждый день.</t>
  </si>
  <si>
    <t>0084Q-0003</t>
  </si>
  <si>
    <t>PL EVERYDAY FULL ZIP HOODIE SWEATSHIRT</t>
  </si>
  <si>
    <t>009AY-0001</t>
  </si>
  <si>
    <t>1X</t>
  </si>
  <si>
    <t>2X</t>
  </si>
  <si>
    <t>3X</t>
  </si>
  <si>
    <t>4X</t>
  </si>
  <si>
    <t>Levi's Original TYPOGRAPHIC PRINT HOODIE WITH KANGAROO POCKET</t>
  </si>
  <si>
    <t>17096-0091</t>
  </si>
  <si>
    <t>Худи Levis для мужчин выполнено из высококачественного материала, состоящего из хлопка с добавлением полиэстера. Это позволяет обеспечить комфорт и удобство носки на протяжении долгого времени.
Дизайн худи выполнен в классическом стиле, идеально подходящем для повседневного гардероба. Комбинация хлопка и полиэстера обеспечивает отличную терморегуляцию, позволяя телу дышать и оставаясь сухим при физических нагрузках.
Худи имеет свободный крой и удобные карманы, что делает его практичным и функциональным. На груди расположен принт с логотипом Levis, добавляющий стильный акцент и позволяющий окружающим сразу узнать марку вашей одежды.
Худи Levis представляет собой прекрасную комбинацию стиля, комфорта и качества. Худи идеально подходит для повседневного использования, спортивных тренировок или прогулок на свежем воздухе. 
Будьте модными с удобным худи Levis.</t>
  </si>
  <si>
    <t>ORIGINAL TRUCKER MED INDIGO -</t>
  </si>
  <si>
    <t>29945-0012</t>
  </si>
  <si>
    <t>ORIGINAL TRUCKER</t>
  </si>
  <si>
    <t>29945-0013</t>
  </si>
  <si>
    <t>ORIGINAL TRUCKER MED INDIGO - WORN IN</t>
  </si>
  <si>
    <t>29945-0014</t>
  </si>
  <si>
    <t>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</si>
  <si>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 TRUCKER SOFT ULTRA BLACK</t>
  </si>
  <si>
    <t>29945-0038</t>
  </si>
  <si>
    <t>Плотность: 10.6 oz. 
Классическая джинсовая куртка Levis, выдержавшая испытание временем. Чистый холст для самовыражения. Универсальная базовая модель, которая станет отличным дополнением любого ансамбля. Levis участвует в инициативе Better Cotton, призванной улучшить стандарты производства хлопка по всему миру.</t>
  </si>
  <si>
    <t>Levi's Origina TRUCKER ALL MINE</t>
  </si>
  <si>
    <t>29945-0100</t>
  </si>
  <si>
    <t>Плотность: 12.25 oz. 
Куртка Levis Original Trucker Jacket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</si>
  <si>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ORIGINAL TRUCKER TANS</t>
  </si>
  <si>
    <t>29945-0232</t>
  </si>
  <si>
    <t>Классическая женская джинсовая куртка Levis Original Trucker Jacket — это настоящий символ стиля, который выдержал испытание временем. Эта универсальная модель незаменима в любом гардеробе, предоставляя вам чистый холст для самовыражения и составляя основу множества образов. Ее можно носить практически с любой одеждой, чтобы создать вневременной и стильный образ.
Куртка выполнена с заостренным воротником и планкой с пуговицами спереди, что придает ей изысканный и классический вид. Накладные нагрудные карманы с клапанами на пуговицах и боковые карманы для рук обеспечивают не только стиль, но и функциональность. Благодаря высокому качеству материалов и традиционной отделке, эта куртка станет долговечным элементом вашего гардероба.
Levis Original Trucker Jacket — это воплощение классики, которое легко вписывается в любую современную моду. Она добавит харизмы и уверенности вашему стилю, выступая как надежный спутник в вашем повседневном выборе нарядов.</t>
  </si>
  <si>
    <t>CORE NG CREW SWEATSHIRT</t>
  </si>
  <si>
    <t>34257-0001</t>
  </si>
  <si>
    <t>Свитер</t>
  </si>
  <si>
    <t>Levi's Original NEW ORIGINAL HOODIE</t>
  </si>
  <si>
    <t>34581-0001</t>
  </si>
  <si>
    <t>Худи Levis классического кроя. Выполнено из мягкого хлопкового френч-терри. Свободный крой со спущенными плечевыми швами. Капюшон со шнурком для регулировки посадки. Карман кенгуру. Манжеты и подол в рубчик. Украшен небольшой вышивкой культового логотипа Levis Batwings на груди слева.</t>
  </si>
  <si>
    <t>Levi's Original HOODIE</t>
  </si>
  <si>
    <t>34581-0022</t>
  </si>
  <si>
    <t>Худи Levis Men New Original Hoodie - это удобная и стильная модель от известного бренда Levis, предназначенная для мужчин. Она выполнена из высококачественного 100% хлопка, что обеспечивает мягкость, комфорт и хорошую воздухопроницаемость.
Дизайн худи простой и современный. Оно имеет капюшон со стяжкой, которая позволяет регулировать его посадку на голове. Удобные карманы на передней части предлагают место для хранения мелочей или для согревания рук. Отличительной особенностью этой худи является его стильный зеленый цвет, который придает изделию свежий и модный вид.
Худи Levis Men New Original Hoodie идеально подходит для повседневной носки. Она отлично сочетается с джинсами или спортивными штанами. Будь то прогулка, занятия спортом или просто отдых в уютной обстановке, эта худи станет незаменимой в вашем гардеробе.
Выбирая эту худи, вы получаете отличное качество известного бренда Levis, надежность и комфорт. Модель легко стирается, что делает ее удобной и практичной для ежедневного использования.
Если вы ищете стильную и функциональную худи, Levis Men New Original Hoodie - идеальный выбор для вас.</t>
  </si>
  <si>
    <t>THE ORIGINAL HM HOODIE BLUES</t>
  </si>
  <si>
    <t>34581-0046</t>
  </si>
  <si>
    <t>Худи Levis Men Housemark Original Hoodie - это удобная и стильная модель от известного бренда Levis, предназначенная для мужчин. Она выполнена из высококачественного 100% хлопка, что обеспечивает мягкость, комфорт и хорошую воздухопроницаемость. Дизайн худи простой и современный. Оно имеет капюшон со стяжкой, которая позволяет регулировать его посадку на голове. Удобные карманы на передней части предлагают место для хранения мелочей или для согревания рук. Отличительной особенностью этой худи является его стильный цвет, который придает изделию свежий и модный вид. Худи Levis Men Housemark Original Hoodie идеально подходит для повседневной носки. Она отлично сочетается с джинсами или спортивными штанами. Будь то прогулка, занятия спортом или просто отдых в уютной обстановке, эта худи станет незаменимой в вашем гардеробе. Выбирая эту худи, вы получаете отличное качество известного бренда Levis, надежность и комфорт. Модель легко стирается, что делает ее удобной и практичной для ежедневного использования. Если вы ищете стильную и функциональную худи, Levis Men Housemark Original Hoodie - идеальный выбор для вас.</t>
  </si>
  <si>
    <t>THE ORIGINAL HM HOODIE</t>
  </si>
  <si>
    <t>34581-0065</t>
  </si>
  <si>
    <t>Levi's Original  CREW MINERAL BLACK</t>
  </si>
  <si>
    <t>35909-0003</t>
  </si>
  <si>
    <t>Свитшот Levis из мягкого хлопка. Классический крой, круглый вырез горловины. Подол и манжеты в рубчик. Небольшая вышивка Levis на груди слева.</t>
  </si>
  <si>
    <t>THE ORIGINAL HM CREW</t>
  </si>
  <si>
    <t>35909-0079</t>
  </si>
  <si>
    <t>Мужской свитшот Levis классического кроя. Выполнен из мягкого уютного хлопкового френч терри. Круглый вырез горловины. Манжеты и подол в рубчик. Украшен небольшой вышивкой культового логотипа Levis Batwings на груди слева.</t>
  </si>
  <si>
    <t>35909-0080</t>
  </si>
  <si>
    <t>Levi's Original QUARTER ZIP POLAR FLEECE VARSITY BLOCK</t>
  </si>
  <si>
    <t>35978-0008</t>
  </si>
  <si>
    <t>Мужской флисовый свитшот Levis. Карман на молнии в стиле кенгуру. Воротник стойкой застегивается на молнию. Украшен логотипом бренда на груди слева.</t>
  </si>
  <si>
    <t>Levi's Original Standard Graphic Crew Sweatshirt</t>
  </si>
  <si>
    <t>38423-0034</t>
  </si>
  <si>
    <t>Levi's Original STANDARD GRAPHIC CREW MULTI-COLOR</t>
  </si>
  <si>
    <t>38423-0042</t>
  </si>
  <si>
    <t>Свитшот Levis с круглым вырезом отличается свободным кроей и логотипом Levis на груди. Классический крой. Изготовлен из уютной махровой ткани.
Ребристые манжеты и подол.</t>
  </si>
  <si>
    <t>38423-0045</t>
  </si>
  <si>
    <t>Levi's Original RELAXED GRAPHIC PO REDS</t>
  </si>
  <si>
    <t>38479-0155</t>
  </si>
  <si>
    <t>Худи Levis Men Relaxed Graphic Hoodie - это модный и удобный выбор для мужчин, предпочитающих стильную одежду. 
Худи изготовлено из 100% хлопка, что обеспечивает естественную мягкость и комфорт на коже. Оно также позволяет коже "дышать" и обеспечивает хорошую воздухопроницаемость. 
Красный цвет худи привлекает внимание и придает вашему образу яркости и энергии. 
Модель худи имеет свободный крой, который обеспечивает удобство и свободу движений. Она идеально сочетается с различными стилями одежды и может быть использована как в повседневных образах, так и для активного отдыха или спортивных занятий. 
Графический принт на груди придает худи уникальность и индивидуальность. Капюшон с шнурками позволяет регулировать его под нужный размер. 
Худи Levis Men Relaxed Graphic Hoodie предлагает высокое качество и стиль от известного бренда Levis. Он станет отличным дополнением к вашему гардеробу и подчеркнет ваш индивидуальный стиль.</t>
  </si>
  <si>
    <t>RELAXD GRAPHIC CREW TANS</t>
  </si>
  <si>
    <t>38712-0475</t>
  </si>
  <si>
    <t>Мужской свитшот Levis Men Relaxed Graphic Crewneck Sweatshirt — идеальное сочетание комфорта и стиля для вашего повседневного гардероба. Изготовленный из мягкого хлопка, он обеспечивает уют и комфорт на протяжении всего дня. Свободный крой и спущенные плечевые швы придают образу непринужденность, а классический круглый вырез горловины добавляет нотку традиционной элегантности. Подол и манжеты в рубчик заботятся об идеальной посадке, гарантируя дополнительное удобство. Принт Levi's на груди не только подчеркивает фирменный стиль, но и служит стильным акцентом, выделяющим свитшот из массы других вещей. Этот свитшот станет вашим надежным спутником как для расслабленных выходных дома, так и для активного времени на улице. Комбинируйте его с вашими любимыми джинсами или штанами для создания завершенного повседневного образа.</t>
  </si>
  <si>
    <t>THE TRUCKER JACKET MED INDIGO - WORN IN</t>
  </si>
  <si>
    <t>72334-0773</t>
  </si>
  <si>
    <t>Оригинальная мужская джинсовая куртка Levis Men The Trucker Jacket модели 1967 года — это истинный символ самовыражения и стиля, который остается актуальным на протяжении десятилетий. Эта легендарная куртка, известная как "дальнобойщик", идеально дополняет любой образ и создана для того, чтобы выдерживать любые жизненные испытания и расстояния. 
Куртка выполнена из прочного неэластичного денима, что обеспечивает долговечность и надежность в носке. Французский воротник придает классический и элегантный вид, а планка на пуговицах спереди добавляет удобство и функциональность. Длинные рукава с манжетами на пуговицах позволяют носить куртку как в закрытом, так и в открытом виде, что делает её универсальной для разных сезонов.
Практичность и стиль куртки выражается в накладных нагрудных карманах с клапаном на кнопках, что позволяет безопасно хранить мелкие предметы. Боковые прорезные карманы служат для согрева рук и дают дополнительные возможности для удобства и функциональности. Регулируемые боковые края обеспечивают индивидуальную посадку, подчеркивая фигуру и комфортно сидя на теле. Эта куртка — не только стильный элемент вашего гардероба, но и надежный спутник в любых приключениях, отражающий дух свободы и уверенности.</t>
  </si>
  <si>
    <t>THE TRUCKER JACKET LIGHT INDIGO - WORN IN</t>
  </si>
  <si>
    <t>72334-0775</t>
  </si>
  <si>
    <t>Оригинальная джинсовая куртка Levis Trucker Jacket с 1962 года. Легендарная модель дальнобойщик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</si>
  <si>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THE TRUCKER JACKET BLACKS</t>
  </si>
  <si>
    <t>72334-0797</t>
  </si>
  <si>
    <t>CREW RIB SWEATER OREO COOKIE MULTI STR</t>
  </si>
  <si>
    <t>A0719-0003</t>
  </si>
  <si>
    <t>Уютные свитера — это главная причина, по которой мы с нетерпением ждем холодной погоды. Подчеркивающий фигуру свитер Levis Crew Rib Sweater из мягкого трикотажа в рубчик с круглым вырезом отличается текстурой. Мягкий, из трикотажа в рубчик. С легендарным логотипом в форме крыла летучей мыши на груди.</t>
  </si>
  <si>
    <t>51% акрил, 36% полиэстер, 13% полиамид</t>
  </si>
  <si>
    <t>90S TRUCKER MED INDIGO - WORN</t>
  </si>
  <si>
    <t>A1743-0000</t>
  </si>
  <si>
    <t>Levi's Original ORIGINAL HOUSEMARK SWEATER</t>
  </si>
  <si>
    <t>A4320-0000</t>
  </si>
  <si>
    <t>Этот мужской пуловер Levis Housemark идеально подходит для создания непринужденного образа. Выполнен из шерсти,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Стандартный крой с заниженной линией плеч. Круглая горловина, манжеты и подол в крупный вязаный рубчик. Неброский логотип Levis на груди.</t>
  </si>
  <si>
    <t>80% шерсть, 20% полиамид</t>
  </si>
  <si>
    <t>RELAXED FIT TRUCKER</t>
  </si>
  <si>
    <t>A5782-0078</t>
  </si>
  <si>
    <t>A5782-0083</t>
  </si>
  <si>
    <t>EVERYDAY SWEATSHIRT BLUES</t>
  </si>
  <si>
    <t>A5942-0024</t>
  </si>
  <si>
    <t>EVERYDAY SWEATSHIRT WHITES</t>
  </si>
  <si>
    <t>A5942-0036</t>
  </si>
  <si>
    <t>A5942-0060</t>
  </si>
  <si>
    <t>Женский свитшот Levi's Women Everyday Sweatshirt — это идеальное сочетание комфорта и модного стиля. Изготовленный из мягкого хлопкового флиса, он дарит тепло и уют, что делает его отличным выбором для прохладной погоды. Свободный крой с ненавязчивыми спущенными плечами создает расслабленный и современный силуэт, который легко адаптируется под любой образ. Классические элементы, такие как круглый вырез горловины и эластичные манжеты с подолом в рубчик, добавляют изысканность и завершают общий дизайн модели. На груди слева размещена небольшая вышивка с логотипом Levi's, придающая свитшоту особое очарование и подчеркивающая его фирменный стиль. Этот свитшот является универсальным предметом гардероба, который великолепно совмещает в себе комфорт и актуальные модные тенденции, становясь обязательным элементом вашего повседневного образа.</t>
  </si>
  <si>
    <t>Levi's® GRAPHIC SALINAS HOODIE BLUES</t>
  </si>
  <si>
    <t>A6069-0009</t>
  </si>
  <si>
    <t>Худи Levis классического кроя. Выполнено из мягкого хлопкового флиса. Свободный крой со спущенными плечевыми швами. Капюшон со шнурком для регулировки посадки. Карман кенгуру. Манжеты и подол в рубчик. Украшен вышивкой логотипа Levis на груди слева.</t>
  </si>
  <si>
    <t>сиреневый</t>
  </si>
  <si>
    <t>JUNO WESTERN PUFFER VEST GOING WEST</t>
  </si>
  <si>
    <t>A7189-0001</t>
  </si>
  <si>
    <t>Женский жилет Levis Women Juno Western Puffer Vest – это стильное и практичное решение для прохладной погоды. Изготовленный из высококачественного хлопка, этот жилет обеспечит вам комфорт и тепло. Двойная застежка на кнопках и молнии гарантирует надежную фиксацию и защиту от ветра, делая его удобным в повседневном использовании. Сочетая современный дизайн с классическими элементами, этот жилет легко впишется в ваш гардероб, добавляя к вашему стилю нотку элегантности и функциональности.</t>
  </si>
  <si>
    <t>THE AUTHENTIC HOODIE</t>
  </si>
  <si>
    <t>A8435-0008</t>
  </si>
  <si>
    <t>Мужская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выполнена в винтажном стиле с капюшоном на завязках, что добавляет функциональности и стиля. Изготовленная из смеси хлопка и полиэстера, она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</si>
  <si>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A8435-0019</t>
  </si>
  <si>
    <t>Мужское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выполнено в винтажном стиле с капюшоном на завязках, что добавляет функциональности и стиля. Изготовленное из смеси хлопка и полиэстера, оно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</si>
  <si>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THE AUTHENTIC HOODIE PINKS</t>
  </si>
  <si>
    <t>A8435-0039</t>
  </si>
  <si>
    <t>THE AUTHENTIC HOODIE GREENS</t>
  </si>
  <si>
    <t>A8435-0040</t>
  </si>
  <si>
    <t>THE AUTHENTIC HOODIE WHITES</t>
  </si>
  <si>
    <t>A8435-0041</t>
  </si>
  <si>
    <t>HERITAGE HOODIE</t>
  </si>
  <si>
    <t>A8790-0011</t>
  </si>
  <si>
    <t>Женская худи Levis Heritage Hoodie Sweatshirt сочетает в себе винтажный стиль и современный комфорт, делая ее идеальным выбором для повседневной носки. Эта толстовка с капюшоном выполнена из 100% хлопка, обеспечивая невероятную мягкость и уют. Материал приятен на ощупь и позволяет коже "дышать", что делает худи незаменимым в прохладную погоду.
Удобный карман-кенгуру добавляет функциональности, позволяя хранить мелкие нужные вещи под рукой или просто согреть руки. Дизайн с капюшоном в винтажном стиле добавляет изюминку образу, а стандартная посадка создает комфорт и ощущение свободы движений.
Длинные рукава и универсальный крой делают эту худи идеальной как для расслабленного отдыха дома, так и для активного дня на улице. Heritage Hoodie от Levis — это не просто одежда, это ваша уверенность в стиле и комфорте, подчеркивающая индивидуальность. Выбирайте худи, которое идеально дополнит ваш гардероб и станет незаменимым элементом вашего повседневного образа.</t>
  </si>
  <si>
    <t>GR EVERYDAY CREW BLACKS</t>
  </si>
  <si>
    <t>A8800-0086</t>
  </si>
  <si>
    <t>Женский свитшот Levis Graphic Everyday Crewneck Sweatshirt — это идеальное сочетание стиля и комфорта. Этот свитшот станет вашим любимым выбором для повседневного образа благодаря вневременному стандартному крою и круглому вырезу. Изготовленный из мягкой и уютной ткани, он обеспечит вам комфорт в течение всего дня. Стандартная посадка позволяет подчеркивать фигуру, сохраняя при этом свободу движений.
Благодаря классическому дизайну с длинными рукавами, свитшот Levis легко сочетается как с джинсами, так и с юбками, создавая стильные образы для различных случаев. Графический дизайн добавляет изюминку, логотип бренда привлекает внимание и подчеркивает ваш уникальный стиль.
Levis Women Graphic Everyday Crewneck — это идеальный вариант для тех, кто ценит качество и комфорт, оставаясь в тренде. Независимо от времени года, эта толстовка станет отличным дополнением вашего гардероба, ведь вы будете носить её снова и снова с удовольствием.</t>
  </si>
  <si>
    <t>58% хлопок,42% полиэстер</t>
  </si>
  <si>
    <t>GRAPHIC EVERYDAY HOODIE REDS</t>
  </si>
  <si>
    <t>A8801-0009</t>
  </si>
  <si>
    <t>Женская худи Levis Graphic Everyday Hoodie Sweatshirt — это воплощение комфорта и повседневного стиля, как подсказывает ее название. С учетом всех мелочей, необходимых для вашего комфорта, это худи быстро станет вашим любимым элементом гардероба. Изготовленная из мягкой ткани, она обеспечивает уют и нежность при каждом прикосновении. 
Классический регулируемый капюшон добавляет практичности и защищает в ненастную погоду, а стандартная посадка позволяет чувствовать себя свободно и уверенно. Украшенная фирменным графическим дизайном Levi’s, эта худи привносит в ваш образ атмосферу актуальности и современности.
Длинные рукава удерживают тепло, делая худи идеальной для прохладных дней или расслабленных вечеров. Носите ее с любимыми джинсами или спортивными брюками, чтобы создать стильный и непринужденный повседневный образ, который идеально подойдет для учебы, прогулок или отдыха на выходных. Откройте для себя комфорт и универсальность с худи Levi's Graphic Everyday Hoodie Sweatshirt.</t>
  </si>
  <si>
    <t>58% Хлопок, 42% Полиэстер</t>
  </si>
  <si>
    <t>AUTHENTIC FULL ZIP BLACKS</t>
  </si>
  <si>
    <t>A9265-0000</t>
  </si>
  <si>
    <t>SNOWFLAKE PULLOVER BLACKS</t>
  </si>
  <si>
    <t>A9283-0004</t>
  </si>
  <si>
    <t>Женский свитер Levis Snowflake Pullover Sweater – это воплощение уюта и элегантности, способное наполнить ваш зимний гардероб теплом и стилем. Представьте себе самые комфортные объятия, перенесенные в форму свитера – именно такой эффект создает этот пуловер. Он изготовлен из невероятно мягкой ткани, сочетая в своем составе натуральный хлопок и акрил, что обеспечивает комфортный микроклимат и приятные тактильные ощущения. 
Свитер имеет классический круглый вырез и приталенный крой, который подчеркивает фигуру и делает образ женственным и изысканным. Длинные рукава добавляют уюта и прекрасно защищают от холода. Структура и качество ткани дарят ощущение тепла и заботы в самые прохладные дни. 
Элегантный дизайн со снежинками создает праздничное настроение, делая свитер идеальным вариантом как для будничного дня, так и для особого случая. Levis Snowflake Pullover Sweater станет незаменимым элементом гардероба каждой модницы, которая ценит сочетание стиля и комфорта.</t>
  </si>
  <si>
    <t>65% хлопок 18% акрил, 17% полиэстер</t>
  </si>
  <si>
    <t>Levi's Original SLIM 2PK CREWNECK 1 TWOPACK TEE WHITE</t>
  </si>
  <si>
    <t>79541-0000</t>
  </si>
  <si>
    <t>Футболки и майки</t>
  </si>
  <si>
    <t>Комплект из двух белых футболок Levis. Футболки с круглым вырезом из мягкого джерси. 2 шт в упаковке. Небольшой фирменный ярлык на подоле.</t>
  </si>
  <si>
    <t>Levi's Original Ss Relaxed FIT TEE BLUES</t>
  </si>
  <si>
    <t>16143-0767</t>
  </si>
  <si>
    <t>Футболка Levis Men Relaxed Fit Graphic Tee - это удобная и стильная одежда, которая станет идеальным выбором для любителей спорта и активного образа жизни. Она выполнена из мягкого и дышащего материала, благодаря чему обеспечивает комфорт в любых условиях.
Футболка имеет простой дизайн с логотипом Levis на груди, который символизирует классический стиль и качество бренда. Она имеет свободный крой, что позволяет свободно двигаться и не стесняет движений.
Футболка Levis Men Relaxed Fit Graphic Tee подойдет для повседневной носки, а также для занятий спортом. Она легко сочетается с джинсами, брюками и кроссовками, создавая стильный и современный образ.</t>
  </si>
  <si>
    <t>DESTINATION TEE WHITES</t>
  </si>
  <si>
    <t>21945-0378</t>
  </si>
  <si>
    <t>Футболка Levis Men Destination Tee – это идеальный выбор для тех, кто ценит комфорт и стиль в повседневной одежде. Выполненная из высококачественного мягкого хлопка, эта футболка гарантирует уют и легкость на протяжении дня. Ее изюминкой является оригинальный принт, который добавляет уникальности и подчеркивает индивидуальность владельца. Классический крой и универсальная посадка делают ее отличным вариантом для любых ситуаций – от прогулок до встреч с друзьями. Levis Men Destination Tee легко сочетается с джинсами, шортами или спортивными брюками, создавая яркий и запоминающийся образ.</t>
  </si>
  <si>
    <t>THE PERFECT TEE GREENS</t>
  </si>
  <si>
    <t>17369-2513</t>
  </si>
  <si>
    <t>Футболка Levis Women The Perfect Tee - это стильная и удобная женская футболка, изготовленная из 100% хлопка. Она имеет серый цвет, который легко сочетается с различными нарядами.
Эта футболка имеет прямой силуэт, который подчеркивает женскую фигуру. Она имеет круглый вырез и короткие рукава, что делает ее идеальной для повседневного использования в теплое время года.
Качество хлопковой ткани обеспечивает комфорт и долговечность футболки. Она мягкая на ощупь и приятна к телу, позволяя коже свободно дышать в течение дня.
Футболка Levis Women The Perfect Tee предлагает высокий уровень комфорта и стиля, идеально подходящую для любых повседневных или неформальных ситуаций. Она легко сочетается с джинсами, юбками или шортами, создавая непринужденный и современный образ.</t>
  </si>
  <si>
    <t>Levi's Original THE PERFECT TEE SEASONAL POSTER LOGO SU</t>
  </si>
  <si>
    <t>17369-1755</t>
  </si>
  <si>
    <t>Футболка классического кроя, которая сочетается со всем. Украшена логотипом Levis.</t>
  </si>
  <si>
    <t>Levi's Original THE PERFECT TEE BLUES</t>
  </si>
  <si>
    <t>17369-2020</t>
  </si>
  <si>
    <t>Футболка классического кроя, которая сочетается со всем. Культовый логотип Batwing на груди.</t>
  </si>
  <si>
    <t>Levi's Original THE PERFECT TEE REFLECTIVE POSTER LOGO</t>
  </si>
  <si>
    <t>17369-1774</t>
  </si>
  <si>
    <t>Классическая женская футболка Levis. Выполнена из мягкого органического хлопка. Круглый вырез горловины. Украшена небольшим принтом Levis на груди слева.</t>
  </si>
  <si>
    <t>GR BOXY TEE BLACKS</t>
  </si>
  <si>
    <t>004H0-0022</t>
  </si>
  <si>
    <t>RED TAB VINTAGE TEE GREYS</t>
  </si>
  <si>
    <t>A0637-0191</t>
  </si>
  <si>
    <t>Футболка для мужчин Levis Men Red Tab Vintage Tee – это классическая модель, которая отлично подойдет для повседневной носки и создания стильного образа. Футболка имеет короткие рукава и вырез горловины круглой формы. Особенностью данной модели является наличие логотипа Levis Red Tab на груди, что делает футболку узнаваемой и уникальной. Крой футболки позволяет ей прекрасно садиться на мужскую фигуру, подчеркивая ее достоинства.
Футболка выполнена из высококачественного материала, который отличается мягкостью, прочностью и долговечностью. 
Модель доступна в нескольких цветовых вариантах, что позволяет выбрать идеальный вариант для своего гардероба. Футболка Levis Men Red Tab Vintage Tee станет отличным выбором для всех ценителей стиля и качества.</t>
  </si>
  <si>
    <t>Levi's Original THE PERFECT TEE WHITES</t>
  </si>
  <si>
    <t>17369-2492</t>
  </si>
  <si>
    <t>Женская футболка артикул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</si>
  <si>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SS RELAXED FIT TEE GREYS</t>
  </si>
  <si>
    <t>16143-2371</t>
  </si>
  <si>
    <t>Футболка Levis Men Relaxed Fit Graphic Tee представляет собой идеальное сочетание стиля и комфорта для мужчин, ведущих активный образ жизни. Изготовленная из мягкого и дышащего материала, эта футболка обеспечивает максимальный комфорт в любых условиях, будь то прогулка по городу или интенсивная тренировка. Её свободный крой позволяет легко двигаться, не стесняя движений, что делает её идеальной для любителей спорта и повседневной активности. 
Простой дизайн с фирменным логотипом Levis на груди подчеркивает классический стиль и высочайшее качество бренда, который стал синонимом надежности и модного вкуса. Эта футболка легко сочетается с джинсами, брюками и кроссовками, помогая создавать стильные и современные образы на каждый день. 
Футболка Levis Men Relaxed Fit Graphic Tee станет незаменимой частью вашего гардероба, предлагая универсальность и удобство для любых ситуаций. Добавьте её в свою коллекцию, чтобы наслаждаться комфортом и стилем от Levi’s ежедневно. Выбирайте качество и непринужденный стиль, который будет подчеркивать вашу индивидуальность и активный подход к жизни.</t>
  </si>
  <si>
    <t>SS RELAXED FIT TEE BROWNS</t>
  </si>
  <si>
    <t>16143-2378</t>
  </si>
  <si>
    <t>SS RELAXED FIT TEE WHITES</t>
  </si>
  <si>
    <t>16143-2444</t>
  </si>
  <si>
    <t>HALF SLEEVE TEE GREENS</t>
  </si>
  <si>
    <t>A5805-0061</t>
  </si>
  <si>
    <t>Мужская футболка Levis Loose Fit Half-sleeve Graphic T-shirt.  Откройте для себя идеальное сочетание комфорта и стиля с этой базовой мужской футболкой из высококачественного хлопка. Мягкая и износостойкая ткань сохраняет свою форму и насыщенность даже после многочисленных стирок, оставаясь вашей любимой вещью на долгие годы. Продуманный крой и фирменная горловина обеспечивают безупречную посадку по фигуре, подчеркивая вашу индивидуальность и хороший вкус. Этот универсальный предмет одежды станет отличным фундаментом для множества экспериментов с вашим стилем. Надевайте ее под классические джинсы или брюки с отворотами для создания расслабленного лука на выход. В более прохладную погоду она великолепно смотрится под плотным худи или стильной курткой-бомбером. Футболка органично дополнит как спортивный, так и городской гардероб, привнося в него атмосферу непринужденной калифорнийской свободы и уверенности в себе.</t>
  </si>
  <si>
    <t>HALF SLEEVE TEE BLACKS</t>
  </si>
  <si>
    <t>A5805-0062</t>
  </si>
  <si>
    <t>Levi's Original FLORA MOCKNECK REDS</t>
  </si>
  <si>
    <t>A4422-0003</t>
  </si>
  <si>
    <t>Лонгслив</t>
  </si>
  <si>
    <t>Лонгслив для женщин Levis Women Flora Mockneck в коричневом цвете - это универсальная и стильная полосатая водолазка для повседневного гардероба. Она выполнена из мягкого материала, который обеспечивает комфорт и тепло в прохладные дни. Высокий воротник-макшнит, защитит вашу шею от ветра, а рукава длиной до запястья дополняют удачный дизайн. Лонгслив сидит по фигуре и подчеркивает женственность. Эта модель от Levi's идеально подходит как для повседневной носки, так и для создания элегантных образов.</t>
  </si>
  <si>
    <t>40% хлопок, 40% модал, 17% полиэстер, 3% эластан</t>
  </si>
  <si>
    <t>Levi's Original GRAPHIC RINGER MINI TEE SILVERTAB BIG S</t>
  </si>
  <si>
    <t>A3523-0030</t>
  </si>
  <si>
    <t>Обновите свой повседневный гардероб с помощью этой новой футболки Levis укороченного кроя и приталенного фасона. Эта футболка с графическим рисунком создана для того, чтобы вам было комфортно в течение дня. Она изготовлена ​​из хлопка высшего качества. Сочетайте ее с любимыми джинсами. Классический круглый вырез и короткие рукава.</t>
  </si>
  <si>
    <t>16143-1075</t>
  </si>
  <si>
    <t>Levi's Original THE PERFECT TEE POSTER LOGO DAISY CHEST</t>
  </si>
  <si>
    <t>17369-1818</t>
  </si>
  <si>
    <t>Футболка Levis классического кроя, которая сочетается со всем. Круглый вырез горловины. Новый логотип на груди.</t>
  </si>
  <si>
    <t>SHORELINE TECH POLO</t>
  </si>
  <si>
    <t>001EK-0003</t>
  </si>
  <si>
    <t>Поло</t>
  </si>
  <si>
    <t>Мужское поло Levis Shoreline Tech Polo — это сочетание классического стиля и инновационных технологий для современного мужчины. Эта рубашка-поло создана, чтобы сопровождать вас в любых приключениях, от активного отдыха на природе до повседневных дел в городе. Благодаря быстросохнущей ткани, Shoreline Tech Polo обеспечивает вам комфорт и свежесть на протяжении всего дня, даже в самые жаркие периоды.
Поло выполнено с учётом современных требований к одежде: стандартный крой и короткие рукава делают его универсальным и подходящим для любого случая. Материал джерси, из которого сшито изделие, отличается легкостью и эластичностью, благодаря чему поло сохраняет форму и выглядит опрятно даже после длительного ношения.
Это поло — идеальный выбор для тех, кто ценит комфорт и стиль. Оно подходит как для активного отдыха, так и для повседневной носки, удачно вписываясь в любой гардероб. Стремясь идти в ногу со временем, Levis предлагает вам сочетание функциональности и модного дизайна. Независимо от обстоятельств, Shoreline Tech Polo станет вашим надежным спутником, даря уверенность и свободу движений в любой ситуации.</t>
  </si>
  <si>
    <t>65% хлопок, 35% полиэстер</t>
  </si>
  <si>
    <t>Levi's Original  PERF TEE WHITE</t>
  </si>
  <si>
    <t>67983I-0005</t>
  </si>
  <si>
    <t>Levi's Original SS GRAPHIC TEE YD MARINA</t>
  </si>
  <si>
    <t>79567-0006</t>
  </si>
  <si>
    <t>Женская футболка в полоску укороченного кроя. Расслабленный фасон, просторные рукава до локтя, заявязки на талии для регулировки посадки.</t>
  </si>
  <si>
    <t>белый/голубой</t>
  </si>
  <si>
    <t>AUTHENTIC POLO</t>
  </si>
  <si>
    <t>A6735-0000</t>
  </si>
  <si>
    <t>16143-1321</t>
  </si>
  <si>
    <t>SLIM HOUSEMARK POLO</t>
  </si>
  <si>
    <t>A4842-0081</t>
  </si>
  <si>
    <t>Классическая мужская футболка поло от Levis - это стильный и комфортный выбор для вашей коллекции. Изготовлена из 100% хлопка, поэтому она мягкая и долговечная. Свободный крой, приятные цвета и качественная отделка делают поло идеальной вещью для повседневной носки. Она имеет логотип Levis на груди, который подчеркивает стиль и бренд. Модель Slim Housemark Polo Shirt обеспечивает поддержку и свободу движений в любой ситуации. Этот надежный выбор для мужского гардероба сделает ваш образ стильным и элегантным в любых условиях!</t>
  </si>
  <si>
    <t>INFINITY SS BALLET TOP REDS</t>
  </si>
  <si>
    <t>A7355-0005</t>
  </si>
  <si>
    <t>Женская футболка Levi's Infinity Ballet Top – изысканный выбор для повседневного гардероба. Эта модель с U-образным вырезом и короткими рукавами со сборками воплощает элегантность и комфорт. Благодаря облегающему силуэту футболка подчёркивает фигуру, создавая утончённый образ. Этот топ отличается сдержанным дизайном, идеально подходящим как для повседневных, так и для более нарядных комплектов.</t>
  </si>
  <si>
    <t>Levi's Original T-shirt perfect lilac</t>
  </si>
  <si>
    <t>17369-1835</t>
  </si>
  <si>
    <t>Футболка Levis классического кроя из мягкого хлопкового трикотажа с логотипом Batwing.</t>
  </si>
  <si>
    <t>фиолетовый</t>
  </si>
  <si>
    <t>THE PERFECT TEE</t>
  </si>
  <si>
    <t>17369-2941</t>
  </si>
  <si>
    <t>Футболка Levis Women The Perfect Tee — это идеальное сочетание стиля и удобства для современных женщин. Изготовленная из 100% высококачественного хлопка, она обеспечивает мягкость и комфорт, позволяя коже свободно дышать на протяжении всего дня. Благодаря универсальному цвету, футболка легко комбинируется с разнообразными нарядами, делая создание стильных образов простым и приятным процессом. Прямой силуэт выгодно подчеркивает женскую фигуру, а круглый вырез и короткие рукава делают её незаменимой для повседневной носки, особенно в теплые месяцы года. Надёжность и долговечность футболки подтверждены качеством материала, а её универсальный дизайн позволяет носить ее как на прогулки, так и в повседневной городской суете. Футболка Levis Women The Perfect Tee идеально сочетается с джинсами, юбками или шортами, создавая непринужденный и современный образ, который подчеркнет индивидуальный стиль.</t>
  </si>
  <si>
    <t>Levi's Original Ss Relaxed FIT TEE POSTER LOGO MHG GRAP</t>
  </si>
  <si>
    <t>16143-0392</t>
  </si>
  <si>
    <t>GRAPHIC CLASSIC TEE WHITES</t>
  </si>
  <si>
    <t>A2226-0140</t>
  </si>
  <si>
    <t>LEVIS ICON POLO BLUES</t>
  </si>
  <si>
    <t>005FM-0008</t>
  </si>
  <si>
    <t>Levi's Original  SS TANK TOP CLEARWATER</t>
  </si>
  <si>
    <t>57960-0024</t>
  </si>
  <si>
    <t>Майка</t>
  </si>
  <si>
    <t>Майка классического кроя, которая сочетается со всем. Культовый логотип Levis на груди.</t>
  </si>
  <si>
    <t>Levi's Original PERFECT TEE STARSTRUCK HEATHER GREY</t>
  </si>
  <si>
    <t>39185-0163</t>
  </si>
  <si>
    <t>Женская футболка Levis. Выполнена из дышащего хлопка. Классический крой, круглый вырез горловины. Логотип Levis на груди слева.</t>
  </si>
  <si>
    <t>THE PERFECT TEE PINKS</t>
  </si>
  <si>
    <t>17369-2445</t>
  </si>
  <si>
    <t>ESSENTIAL HM SS TEE NEUTRALS</t>
  </si>
  <si>
    <t>000KK-0000</t>
  </si>
  <si>
    <t>ESSENTIAL HM LS TEE</t>
  </si>
  <si>
    <t>000KL-0000</t>
  </si>
  <si>
    <t>Женский лонгслив Levis Women Essential Housemark Long-sleeve Tee — это базовая вещь, которая останется актуальной на протяжении многих сезонов. Эта футболка с длинными рукавами сочетает в себе элегантный дизайн и комфорт, что делает её незаменимой частью любого гардероба. 
Особенности лонгслива: 
- Безвременная классика: подходящий под любой стиль элемент гардероба, который можно комбинировать с множеством других вещей. 
- Приталенный крой: подчеркивает фигуру, сохраняя при этом комфорт и свободу движений. 
- Фирменный логотип: придает элегантность и узнаваемость благодаря культовому логотипу Levi’s. 
- Материал: сделан из 100% хлопка, обеспечивающего мягкость и комфорт для кожи. 
- Детали дизайна: круглый вырез и длинные рукава универсальны и подходят как для теплой, так и для прохладной погоды. 
Этот лонгслив идеально подходит как для самостоятельного ношения, так и для многослойных образов. Его можно сочетать с джинсами, юбками или носить под жакет для создания стильного и завершенного образа.</t>
  </si>
  <si>
    <t>000KL-0001</t>
  </si>
  <si>
    <t>LS HM POLO</t>
  </si>
  <si>
    <t>0012D-0001</t>
  </si>
  <si>
    <t>Поло с длинным рукавом</t>
  </si>
  <si>
    <t>ZIP POLO</t>
  </si>
  <si>
    <t>001EF-0002</t>
  </si>
  <si>
    <t>Мужская футболка-поло Levis Zip Polo представляет собой классическое поло с современными акцентами. Уникальная застежка на молнии вместо традиционных пуговиц придает модели стильный и свежий вид, добавляя функциональности и удобства. Свободный крой обеспечивает комфорт и свободу движений, что делает эту футболку-поло идеальным выбором для повседневной носки. Классический дизайн воротника поло сохраняет элегантность и подходит для различных случаев, от неформальных встреч до более официальных мероприятий. Изготовленная из 100% хлопкового материала пике, футболка гарантирует дышащие свойства и приятные тактильные ощущения. Короткие рукава добавляют легкости, что делает её отличным вариантом для теплой погоды. Простота в уходе позволяет сохранять первоначальный вид изделия без особых усилий, оставаясь стильным и актуальным элементом гардероба.</t>
  </si>
  <si>
    <t>HAYES TEE NEUTRALS</t>
  </si>
  <si>
    <t>001J3-0006</t>
  </si>
  <si>
    <t>Наша незаменимая футболка Hayes Tee мгновенно станет частью вашего гардероба. Мы разработали ее с классическим круглым вырезом, облегающим кроем и украсили нашей фирменной красной нашивкой.
Незаменимый элемент гардероба
Приталенный крой
Увенчано нашей фирменной красной биркой.
Приталенный крой
Короткие рукава
Хлопок
Машинная стирка в холодной воде.</t>
  </si>
  <si>
    <t>HAYES TEE GREENS</t>
  </si>
  <si>
    <t>001J3-0034</t>
  </si>
  <si>
    <t>96% хлопок, 4% эластан</t>
  </si>
  <si>
    <t>HAYES TEE PINKS</t>
  </si>
  <si>
    <t>001J3-0044</t>
  </si>
  <si>
    <t>HAYES LS TEE</t>
  </si>
  <si>
    <t>001J4-0004</t>
  </si>
  <si>
    <t>Женский лонгслив Levis Hayes — это универсальная и стильная футболка с длинными рукавами, которая мгновенно займет достойное место в вашем гардеробе. Модель сочетает в себе непревзойденное качество и стильный дизайн, делая её идеальным выбором для повседневной носки. Классический круглый вырез и приталенный крой подчеркивают женственность и изящество силуэта, обеспечивая комфорт и свободу движений.
Особенностью этой модели является вязка в рубчик, которая не только добавляет текстурности изделию, но и способствует улучшенной посадке по фигуре. Лонгслив украшен фирменной красной нашивкой Levis, подчеркивающей его аутентичность и высокое качество. Красная бирка является символом непревзойденного стиля и долгих традиций бренда, известных во всем мире.
Состав этого лонгслива — хлопок с добавлением эластана. Натуральный хлопок обеспечивает мягкость и воздухопроницаемость, а эластан придаёт материалу легкую эластичность, что особенно важно для идеального прилегания и комфорта в течение всего дня. Уход за изделием не требует особых усилий, сохраняя цвет и форму даже после множества стирок.
Лонгслив Levis Hayes станет вашим надежным спутником в любое время года, предлагая бесконечное количество вариантов для создания модных и практичных образов. Этот незаменимый элемент гардероба позволит вам всегда оставаться в тренде и чувствовать себя уверенно в любом окружении.</t>
  </si>
  <si>
    <t>96% хлопок; 4% эластан</t>
  </si>
  <si>
    <t>001J4-0043</t>
  </si>
  <si>
    <t>001J4-0044</t>
  </si>
  <si>
    <t>BOXY SS TEE NEUTRALS</t>
  </si>
  <si>
    <t>0049F-0015</t>
  </si>
  <si>
    <t>BOXY SS TEE BROWNS</t>
  </si>
  <si>
    <t>0049F-0020</t>
  </si>
  <si>
    <t>Мужская футболка Levis Boxy Tee. Эта повседневная футболка из мягкого натурального хлопка — настоящая находка для ценителей комфорта и лаконичного дизайна. Воздухопроницаемая структура ткани позволяет коже дышать, что делает ее идеальным выбором для жарких летних дней или активных мероприятий. Классические линии и аккуратные строчки отражают многолетние традиции качества легендарного бренда. Модель легко адаптируется под любой ваш настрой и планы. Комбинируйте ее с укороченными джинсами и кедами для создания легкого образа на каждый день. Если вы планируете вечернюю прогулку, дополните комплект расстегнутой фланелевой рубашкой и массивными ботинками. Эта футболка станет вашим верным спутником в путешествиях и городских буднях, даря ощущение уюта и добавляя нотку аутентичной американской классики в ваш уникальный повседневный стиль.</t>
  </si>
  <si>
    <t>004H0-0019</t>
  </si>
  <si>
    <t>GR BOXY TEE WHITES</t>
  </si>
  <si>
    <t>004H0-0020</t>
  </si>
  <si>
    <t>Мужская футболка Levis — короткая, стильная и незаменимая вещь для лета. Укороченная модель с графическим принтом имеет классический круглый вырез, не давящий на горло. Идеально свободный крой позволяет чувствовать себя комфортно в любую погоду жаркую. Уникальный графический дизайн выделяет вас из толпы и показывает вкус. Короткие рукава удобны летом для прогулок и спорта. Это база для многослойных образов с рубашками сверху. Сочетайте с джинсами, шортами или брюками карго для стиля. Бренд Levi's предлагает актуальные решения для молодежи и взрослых. Качество печати и ткани проверено временем и стирками. Футболка не теряет вид после стирок, цвет остается ярким. Подходит для прогулок, встреч или спорта в зале и дома. Подчеркните свой стиль с помощью графики от легенды джинсы. Не упустите шанс купить оригинал по выгодной цене. Добавляйте в корзину прямо сейчас! Футболка мужская, кроп топ левайс, графический принт, свободный крой, купить футболку, оригинал левайс, летняя одежда, стильная вещь, модный верх, базовый гардероб, подарок мужу, парню, брату, тренд 2024, уличный стиль, хлопковая ткань, левайс оригинал, мужская мода, короткая футболка, уникальный дизайн, кэжуал стиль, одежда для города, брендовая вещь.</t>
  </si>
  <si>
    <t>LEVIS ICON POLO GREYS</t>
  </si>
  <si>
    <t>005FM-0001</t>
  </si>
  <si>
    <t>Мужское поло Levi's Original Polo — мгновенно узнаваемая классика для стильного повседневного гардероба современного мужчины. Эта вещь станет одной из самых надежных в вашем арсенале благодаря качественному исполнению и timeless-дизайну, не выходящему из моды. Классический воротник поло сохраняет форму и опрятный вид после множества стирок, не требуя сложного ухода и глажки. Стандартный крой комфортно сидит на фигуре, не обтягивая чрезмерно и не висючи, что подходит для большинства типов телосложения. Отличительные черты модели: декоративный рисунок на воротнике, отделка кромки и фирменная символика в тон ткани, что добавляет изысканности деталям и узнаваемости бренду. Изготовлено из мягкой и легкой ткани пике, которая отлично пропускает воздух и впитывает влагу, обеспечивая комфорт в теплую погоду и при активности. Поло идеально подходит для стиля smart-casual, сочетаясь с чиносами, джинсами, шортами и классическими брюками для различных образов. Легко стирается и быстро сохнет, сохраняя цвет и форму на протяжении длительного срока службы. Это выбор для мужчин, предпочитающих аккуратный, но расслабленный стиль для офиса, отдыха или встреч с друзьями. Всегда надежное решение для создания презентабельного образа без лишних усилий в любой ситуации на каждый день.</t>
  </si>
  <si>
    <t>005FM-0003</t>
  </si>
  <si>
    <t>LEVIS ICON POLO GREENS</t>
  </si>
  <si>
    <t>005FM-0007</t>
  </si>
  <si>
    <t>LEVIS ORIGINAL POLO</t>
  </si>
  <si>
    <t>005FM-0032</t>
  </si>
  <si>
    <t>ICON TEE WHITES</t>
  </si>
  <si>
    <t>005GX-0000</t>
  </si>
  <si>
    <t>Мужская футболка Levis Original Tee — это классика, которая никогда не выйдет из моды. С мгновенно узнаваемым дизайном и надежным качеством, эта футболка станет вашим фаворитом. Созданная с классическим круглым вырезом и стандартным кроем, она обеспечивает удобство и стиль каждый день.
Оригинальная футболка Levi's — это стандарт, который проверен временем. Свободный прямой крой идеально подходит для любого типа фигуры и гарантирует комфорт на весь день. Изготовленная из 100% мягкого и легкого хлопка, она приятна к телу и обеспечит вам максимальный комфорт даже в жаркие дни.
Дизайн футболки дополнен культовым логотипом Levi's, который придает изделию уникальность и стиль. Короткие рукава добавляют свободного и легкого образа, делая эту футболку универсальным элементом любого гардероба. Носите её снова и снова — она никогда не подведет вас в стиле и качестве.</t>
  </si>
  <si>
    <t>LEVI'S ORIGINAL TEE</t>
  </si>
  <si>
    <t>005GX-0021</t>
  </si>
  <si>
    <t>SOFTEE WHITES</t>
  </si>
  <si>
    <t>005GZ-0001</t>
  </si>
  <si>
    <t>Мужская футболка Levis Essential Tee.  Эта стильная мужская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брюками чинос или шортами для расслабленных прогулок и встреч с друзьями. Если погода станет прохладнее, просто накиньте поверх расстегнутую джинсовую куртку или рубашку в клетку.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</si>
  <si>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SOFTEE BLUES</t>
  </si>
  <si>
    <t>005GZ-0002</t>
  </si>
  <si>
    <t>SOFTEE TANS</t>
  </si>
  <si>
    <t>005GZ-0011</t>
  </si>
  <si>
    <t>GRAPHIC VINTAGE FIT POCKET TEE</t>
  </si>
  <si>
    <t>005HV-0003</t>
  </si>
  <si>
    <t>Мужская футболка Levis Graphic Vintage Fit Pocket Tee — воплощением классики в современном исполнении. История этой модели началась с находки в винтажном магазине, которая настолько впечатлила дизайнеров Levis, что они решили вдохнуть в неё новую жизнь, адаптировав для современных любителей стиля и комфорта.
Эта футболка с карманом изготавливается из 100% хлопка, что гарантирует её мягкость и превосходное качество. Использование более плотного трикотажа придаёт этому изделию ощущение премиум-класса и обеспечивает комфорт в течение всего дня. Свободный крой и короткие рукава делают эту модель идеальным выбором для повседневной носки, предоставляя свободу движений и расслабленное чувство комфорта.
Футболка завершается уникальным графическим принтом в винтажном стиле, который придаёт ей индивидуальность и добавляет изюминку в любой ваш образ. Этот акцент подчёркивает вашу оригинальность и любовь к классическим деталям в одежде.
Levis Graphic Vintage Fit Pocket Tee — это не просто очередная футболка с принтом. Это возрождение модного артефакта, усиливающее ваш стиль и придающее ему нотку истории. Эта вещь станет универсальным элементом гардероба, идеально сочетаясь как с джинсами, так и с шортами, добавляя шарма в любой повседневный лук. Откройте для себя свободу стиля и комфорта с футболкой Levis, создавая свой уникальный образ на каждый день.</t>
  </si>
  <si>
    <t>ESSENTIAL RIBBED TANK WHITES</t>
  </si>
  <si>
    <t>005IN-0000</t>
  </si>
  <si>
    <t>Женская майка Levis Essential Ribbed Tank Top.  Эта элегантная женская майка из мягкого хлопка с добавлением эластана создана для максимального комфорта и безупречной посадки. Ребристая фактура ткани не только выглядит стильно и современно, но и отлично облегает фигуру, подчеркивая ее естественные изгибы. Тонкие бретели и аккуратный вырез добавляют образу нотку женственности и легкости. Эта базовая вещь невероятно универсальна и станет отличным дополнением к вашему летнему гардеробу. Носите ее с джинсами высокой посадки и сандалиями для создания расслабленного повседневного лука. Для вечернего выхода заправьте майку в элегантную юбку и дополните образ изящными украшениями. В прохладную погоду она идеально смотрится под расстегнутой джинсовкой или легким пиджаком оверсайз. Эта модель привнесет в ваш стиль атмосферу непринужденной элегантности и истинной любви к качественным вещам.</t>
  </si>
  <si>
    <t>ESSENTIAL RIBBED TANK BLACKS</t>
  </si>
  <si>
    <t>005IN-0001</t>
  </si>
  <si>
    <t>VINTAGE SS TEE</t>
  </si>
  <si>
    <t>005IX-0008</t>
  </si>
  <si>
    <t>Женская футболка Levi's Vintage Tee — воплощение мечты о той самой идеальной старой футболке из прошлого, которая есть у каждой. Мы воссоздали всё, что мы любим в винтажных вещах: классический круглый вырез, свободный расслабленный крой и невероятную мягкость ткани. Изготовлена из плотного хлопка, прошедшего специальную обработку garment dye для уникального эффекта. Эта технология окрашивания готового изделия придает ткани насыщенность цвета и эффект поношенности, делая каждую футболку уникальной в своем роде. Материал становится мягче с каждой стиркой, сохраняя при этом форму и не деформируясь при носке. Свободный крой скрывает недостатки фигуры и дарит ощущение невесомости и комфорта в течение всего дня. Идеальна для ленивых выходных, прогулок по городу или создания небрежных стильных образов для встреч. Сочетается с джинсами-мом, шортами, юбками и кардиганами для различных комбинаций. Это не просто одежда, а настроение уюта, свободы и расслабленности в каждом дне. Ваша любимая винтажная находка теперь доступна сразу, без необходимости искать её годами на блошиных рынках. Натуральный хлопок обеспечивает воздухопроницаемость и комфорт при любой погоде для повседневной носки женщинами.</t>
  </si>
  <si>
    <t>FAVORITE COTTON TEE HM</t>
  </si>
  <si>
    <t>005J2-0016</t>
  </si>
  <si>
    <t>T2 PERFECT TEE LSE HOUSEMARK BLUES</t>
  </si>
  <si>
    <t>005J2-0017</t>
  </si>
  <si>
    <t>Женская футболка Levis Favorite Cotton Tee — это идеальная базовая вещь для вашего гардероба. Доведенная до совершенства классическая модель обеспечивает комфорт и стиль в любом образе. Круглый вырез не давит на горло и обеспечивает удобство, а мягкая, но плотная ткань делает футболку приятной на ощупь. Удобный крой выгодно подчеркивает фигуру, а стандартный размер идеально садится по плечам. Фирменный логотип в тон добавляет изысканности и не перегружает образ. Изготовленная из 100% хлопка, ткань джерси дышит и не скатывается после стирок, сохраняя первоначальный вид надолго. Короткие рукава добавляют комфорта в жаркую погоду и подходят для активной жизни. Эта футболка отлично смотрится как в многослойных образах, так и отдельно. Качество Levi's видно в каждом шве, и изделие не теряет вид после множества стирок. Это базовая деталь для любого гардероба, подходящая как для городской суеты, так и для повседневного комфорта. Подарите её себе или близким — каждой девушке, подруге или сестре. Универсальный цвет и износостойкость делают её надежным выбором.</t>
  </si>
  <si>
    <t>T2 PERFECT TEE LSE HOUSEMARK PINKS</t>
  </si>
  <si>
    <t>005J2-0018</t>
  </si>
  <si>
    <t>GR VINTAGE TEE BLUES</t>
  </si>
  <si>
    <t>005OY-0001</t>
  </si>
  <si>
    <t>Женская футболка Levis Graphic Vintage Fit Tee — это стильное воплощение винтажной эстетики, дополненное современным комфортом. Выполненная в ретро-стиле, она представляет собой идеальное сочетание модного дизайна и повседневного удобства. Футболка оснащена классическим круглым вырезом и имеет свободный крой, который подходит для любого типа фигуры, придавая образу непринужденность. Особенное внимание стоит уделить уникальному графическому дизайну, который делает эту футболку выразительной и стильной. Изготовленная из плотного хлопка с мягким эффектом поношенности, она обеспечивает дополнительный комфорт и приятные тактильные ощущения, что делает её незаменимой вещью в повседневном гардеробе. Эта футболка идеально сочетается с джинсами, шортами или юбками, добавляя любой комбинации нотку винтажного шарма.</t>
  </si>
  <si>
    <t>GR VINTAGE TEE WHITES</t>
  </si>
  <si>
    <t>005OY-0009</t>
  </si>
  <si>
    <t>GR VINTAGE TEE</t>
  </si>
  <si>
    <t>005OY-0041</t>
  </si>
  <si>
    <t>005OY-0044</t>
  </si>
  <si>
    <t>005OY-0045</t>
  </si>
  <si>
    <t>005OY-0066</t>
  </si>
  <si>
    <t>FAVORITE SLUB TEE</t>
  </si>
  <si>
    <t>0064G-0011</t>
  </si>
  <si>
    <t>LSE_HALF SLEEVE TEE TANS</t>
  </si>
  <si>
    <t>006IG-0006</t>
  </si>
  <si>
    <t>Мужская футболка Levi's Half Sleeve Tee — это идеальное сочетание классики и винтажного стиля. Особенность этой модели — уникальная длина рукавов: они чуть длиннее стандартных коротких, что добавляет изюминку в привычный образ. Футболка выполнена в свободном крое, что обеспечивает комфорт и свободу движений.
Классический круглый вырез подчеркивает универсальный стиль футболки, делая её подходящей для любых повседневных ситуаций. Она выполнена из 100% хлопка джерси, что обеспечивает мягкость и отличную воздухопроницаемость, позволяя коже дышать. Этот материал известен своей прочностью и долговечностью, что делает футболку надежной в носке и облегчает уход за ней.
Футболка неподвластна времени, легко сочетается с различными элементами гардероба и идеально подходит для создания расслабленного повседневного образа. Благодаря простоте ухода, вашей Levi's Half Sleeve Tee надолго сохранит свой первоначальный вид. Превосходный выбор для тех, кто ищет стильную и удобную вещь на каждый день.</t>
  </si>
  <si>
    <t>LSE_ HALF SLEEVE GR PCKT T GREYS</t>
  </si>
  <si>
    <t>006IH-0000</t>
  </si>
  <si>
    <t>006IH-0001</t>
  </si>
  <si>
    <t>006IH-0002</t>
  </si>
  <si>
    <t>Мужская футболка Levis Half-sleeve Graphic Pocket Tee.  Эта стильная мужская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брюками чинос или шортами для расслабленных прогулок и встреч с друзьями. Если погода станет прохладнее, просто накиньте поверх расстегнутую джинсовую куртку или рубашку в клетку.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</si>
  <si>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VINTAGE LS</t>
  </si>
  <si>
    <t>0085S-0000</t>
  </si>
  <si>
    <t>DRY GOODS RELAXED LS HENLEY</t>
  </si>
  <si>
    <t>0087F-0007</t>
  </si>
  <si>
    <t>60% хлопок; 40% полиэстер</t>
  </si>
  <si>
    <t>0087F-0008</t>
  </si>
  <si>
    <t>0087F-0009</t>
  </si>
  <si>
    <t>HAYES LS LAYERING TURTLENECK</t>
  </si>
  <si>
    <t>0088C-0000</t>
  </si>
  <si>
    <t>0088C-0003</t>
  </si>
  <si>
    <t>LS RLX BUTTON HENLEY</t>
  </si>
  <si>
    <t>0088Q-0000</t>
  </si>
  <si>
    <t>0088Q-0004</t>
  </si>
  <si>
    <t>0088Q-0005</t>
  </si>
  <si>
    <t>0088Q-0006</t>
  </si>
  <si>
    <t>LS WORKWEAR TEE</t>
  </si>
  <si>
    <t>0089C-0000</t>
  </si>
  <si>
    <t>Мужской лонгслив Levis Long-sleeve Workwear Tee — воплощение комфорта и надежности в одном изделии. Эта футболка с длинными рукавами создана для тех, кто ценит универсальность и долговечность. Вдохновленная рабочей одеждой, она сочетает в себе прочную конструкцию и классический, но в то же время стильный дизайн. 
Модель выполнена из 100% хлопка, что гарантирует мягкость и комфорт в течение всего дня. Свободный крой и классический круглый вырез делают её идеальной как для самостоятельного ношения, так и в качестве базового слоя в более прохладные дни. 
Фирменный логотип Levis на подоле завершает образ, подчеркивая связь с легендарным брендом. Этот лонгслив станет надежным спутником на каждый день, обеспечивая стильный вид и максимальное удобство. Независимо от того, отправляете ли вы его на прогулку, работу или отдых, Levis Long-sleeve Workwear Tee станет вашим любимым предметом гардероба на долгие годы.</t>
  </si>
  <si>
    <t>0089C-0005</t>
  </si>
  <si>
    <t>Levi's Original Ss Relaxed FIT TEE GREYS</t>
  </si>
  <si>
    <t>16143-0709</t>
  </si>
  <si>
    <t>16143-0819</t>
  </si>
  <si>
    <t>SS RELAXED FIT TEE BLUES</t>
  </si>
  <si>
    <t>16143-1650</t>
  </si>
  <si>
    <t>16143-2401</t>
  </si>
  <si>
    <t>SS RELAXED FIT TEE REDS</t>
  </si>
  <si>
    <t>16143-2402</t>
  </si>
  <si>
    <t>16143-2403</t>
  </si>
  <si>
    <t>16143-2404</t>
  </si>
  <si>
    <t>SS RELAXED FIT TEE GREENS</t>
  </si>
  <si>
    <t>16143-2442</t>
  </si>
  <si>
    <t>SS RELAXED FIT TEE</t>
  </si>
  <si>
    <t>16143-2496</t>
  </si>
  <si>
    <t>16143-2497</t>
  </si>
  <si>
    <t>16143-2615</t>
  </si>
  <si>
    <t>Levi's Original THE PERFECT TEE LARGE BATWING WHITE GRA</t>
  </si>
  <si>
    <t>17369-0053</t>
  </si>
  <si>
    <t>Levi's Original THE PERFECT TEE MINERAL BLACK</t>
  </si>
  <si>
    <t>17369-0201</t>
  </si>
  <si>
    <t>Levi's Original The Perfect Tee</t>
  </si>
  <si>
    <t>17369-0297</t>
  </si>
  <si>
    <t>Футболка классического кроя, которая сочетается со всем. Спортивный логотип Levis на груди.</t>
  </si>
  <si>
    <t>17369-0303</t>
  </si>
  <si>
    <t>Levi's Original THE PERFECT TEE NEUTRALS</t>
  </si>
  <si>
    <t>17369-0468</t>
  </si>
  <si>
    <t>17369-0483</t>
  </si>
  <si>
    <t>Levi's Original THE PERFECT TEE SEASONAL POSTER LOGO T2</t>
  </si>
  <si>
    <t>17369-1756</t>
  </si>
  <si>
    <t>Классическая женская футболка The Perfect Tee. Выполнена их мягкого органического хлопка. Круглый вырез горловины. Украшена принтом на груди.</t>
  </si>
  <si>
    <t>Levi's Original Logo Perfect T-Shirt</t>
  </si>
  <si>
    <t>17369-1836</t>
  </si>
  <si>
    <t>Levi's Original The Perfect  T-Shirt</t>
  </si>
  <si>
    <t>17369-1913</t>
  </si>
  <si>
    <t>Футболка Levis The Perfect. Это невероятно мягкая классическая модель с круглым вырезом и логотипом Levis сочетается с любой одеждой. Да, это простая, но совершенная модель. Ее можно заправить или носить навыпуск.</t>
  </si>
  <si>
    <t>Levi's Original THE PERFECT TEE REDS</t>
  </si>
  <si>
    <t>17369-2024</t>
  </si>
  <si>
    <t>Levi's Original T-shirt</t>
  </si>
  <si>
    <t>17369-2051</t>
  </si>
  <si>
    <t>Женская футболка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</si>
  <si>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Levi's Original THE PERFECT TEE BLACKS</t>
  </si>
  <si>
    <t>17369-2118</t>
  </si>
  <si>
    <t>THE PERFECT TEE BLACKS</t>
  </si>
  <si>
    <t>17369-3350</t>
  </si>
  <si>
    <t>THE PERFECT TEE WHITES</t>
  </si>
  <si>
    <t>17369-3385</t>
  </si>
  <si>
    <t>THE PERFECT TEE BLUES</t>
  </si>
  <si>
    <t>17369-3399</t>
  </si>
  <si>
    <t>Levi's Original GRAPHIC SETIN NECK GRAPHIC H215HM BLA</t>
  </si>
  <si>
    <t>17783-0137</t>
  </si>
  <si>
    <t>Футболка классического кроя, которая сочетается со всем. Культовый логотип Levis Housemark на груди.</t>
  </si>
  <si>
    <t>Levi's Original GRAPHIC SETIN NECK GRAPHIC H215 MIDTON</t>
  </si>
  <si>
    <t>17783-0138</t>
  </si>
  <si>
    <t>Levi's Original GRAPHIC SETIN NECK HM GRAPHIC DRESS BL</t>
  </si>
  <si>
    <t>17783-0139</t>
  </si>
  <si>
    <t>Levi's Original GRAPHIC SETIN NECK HM GRAPHIC WHITE GR</t>
  </si>
  <si>
    <t>17783-0140</t>
  </si>
  <si>
    <t>Футболка классического кроя, которая сочетается со всем. Логотип Levis Housemark на груди.</t>
  </si>
  <si>
    <t>SS CLASSIC POCKET TEE</t>
  </si>
  <si>
    <t>19342-0483</t>
  </si>
  <si>
    <t>Мужская футболка с карманом на груди Levis Men Classic Pocket Tee изготовлена из 100% хлопка, что обеспечивает комфорт и приятное ощущение на коже. Эта футболка была разработана брендом Levi's, известным своим качеством и стилем.
Особенность этой футболки - карман на груди, который придает ей некоторую уникальность и стиль. Она идеально подходит для повседневного использования, а также для создания стильного и модного образа.
Футболка для мужчин Levis Men Classic Pocket Tee имеет классический крой, который позволяет обеспечить оптимальную посадку и свободу движений. Она станет отличным дополнением к любому гардеробу и подходит для самых различных ситуаций - от похода в спортзал до неформальной встречи с друзьями.
Качество материала и изготовление футболки в сочетании с известным брендом Levi's гарантируют долговечность и стильный внешний вид данного товара. Будьте модными вместе с мужской футболкой Levis Men Classic Pocket Tee.</t>
  </si>
  <si>
    <t>SS CLASSIC POCKET TEE YELLOWS</t>
  </si>
  <si>
    <t>19342-0484</t>
  </si>
  <si>
    <t>M SS BATWING TEE WHITE</t>
  </si>
  <si>
    <t>22489-0163</t>
  </si>
  <si>
    <t>Мужская классическая футболка Levis с логотипом Housemark на груди, которая сочетается со всем.</t>
  </si>
  <si>
    <t>Levi's Original GRAPHIC CREWNECK TEE BLACKS</t>
  </si>
  <si>
    <t>22491-1318</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</si>
  <si>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расположен яркий графический принт с логотипом Levis, который подчеркивает стиль и индивидуальность владельца. Футболка доступна в различных цветах, что позволяет выбрать наиболее подходящий вариант для любого стиля. Она прекрасно сочетается с джинсами, шортами или любой другой повседневной одеждой, что делает ее идеальной для активного образа жизни.</t>
  </si>
  <si>
    <t>GRAPHIC CREWNECK TEE TANS</t>
  </si>
  <si>
    <t>22491-2104</t>
  </si>
  <si>
    <t>Футболка для мужчин Levis Men Graphic Crewneck Tee – это стильная и удобная футболка, идеально подходящая для современного мужчины. Выполненная из мягкого и прочного хлопкового материала, эта футболка обеспечит вам комфорт в течение всего дня, независимо от активности. Классический круглый вырез горловины и оригинальный дизайн делают эту футболку стильным элементом вашего гардероба. 
На груди футболки расположен выразительный графический принт с логотипом Levis, привносящий нотку индивидуальности и подчеркивающий приверженность качеству и модным тенденциям. Этот яркий элемент станет акцентом в вашем образе, демонстрируя ваш уникальный стиль. 
Футболка Levis Men Graphic Crewneck Tee идеально сочетается с джинсами, шортами или любой другой повседневной одеждой, что делает её универсальным выбором для активных повседневных мероприятий. Она станет отличным вариантом для прогулок по городу, встреч с друзьями или неформальных мероприятий. 
Сделайте эту футболку частью вашего гардероба и наслаждайтесь свободой движений, комфортом и стильным внешним видом. Выбирайте качество, стиль и удобство вместе с Levi’s, и позвольте вашему образу быть всегда на высоте.</t>
  </si>
  <si>
    <t>Levis Hm Polo</t>
  </si>
  <si>
    <t>35883-0004</t>
  </si>
  <si>
    <t>Мужское поло Levis Men New Housemark Polo изготовлено из 100% хлопка, что обеспечивает мягкость и комфорт при ношении. Это стильное и универсальное изделие подходит для различных повседневных ситуаций. Поло имеет красивый дизайн с логотипом Levis на груди, что придает ему элегантный вид. Также, поло обладает отличными влагоотводящими свойствами, что позволяет оставаться сухим и свежим даже в жаркую погоду. Оно отлично сочетается с джинсами или брюками, позволяя создавать разнообразные стильные образы. Кроме того, это поло очень прочное и долговечное, что позволяет использовать его долгое время без ощутимых потерь качества. Оно легко стирается и сохраняет свой первоначальный вид даже после многократных стирок. Выбирая мужское поло Levis Men New Housemark Polo, вы получаете надежный и стильный предмет гардероба, который добавит уверенности и элегантности вашему образу.</t>
  </si>
  <si>
    <t>Levi's Original  HOUSEMARK POLO DRESS BLUES</t>
  </si>
  <si>
    <t>35883-0005</t>
  </si>
  <si>
    <t>Мужская футболка поло Levis синего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</si>
  <si>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Original  HOUSEMARK POLO MINERAL BLACK</t>
  </si>
  <si>
    <t>35883-0007</t>
  </si>
  <si>
    <t>Мужская футболка поло Levis черного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</si>
  <si>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HM POLO</t>
  </si>
  <si>
    <t>35883-0326</t>
  </si>
  <si>
    <t>LEVIS HM POLO NEUTRALS</t>
  </si>
  <si>
    <t>35883-0347</t>
  </si>
  <si>
    <t>LEVIS HM POLO BLUES</t>
  </si>
  <si>
    <t>35883-0370</t>
  </si>
  <si>
    <t>LEVIS HM POLO GREENS</t>
  </si>
  <si>
    <t>35883-0371</t>
  </si>
  <si>
    <t>Levi's Original PERFECT TEE WHITE CN100XX</t>
  </si>
  <si>
    <t>39185-0006</t>
  </si>
  <si>
    <t>Футболка классического кроя, которая сочетается со всем. Логотип Levis на груди.</t>
  </si>
  <si>
    <t>Levi's Original PERFECT TEE MINERAL BLACK</t>
  </si>
  <si>
    <t>39185-0008</t>
  </si>
  <si>
    <t>Женская футболка Levis черного цвета. Выполнена из дышащего хлопка. Классический крой, круглый вырез горловины. Небольшая нашивка логотипа Levis Batwings на груди слева. Такая футболка отлично смотрится в паре с любыми джинсами.</t>
  </si>
  <si>
    <t>Levi's Original PERFECT TEE RAITA STRIPE CAVIAR STRIPE</t>
  </si>
  <si>
    <t>39185-0087</t>
  </si>
  <si>
    <t>PERFECT TEE PINKS</t>
  </si>
  <si>
    <t>39185-0323</t>
  </si>
  <si>
    <t>PERFECT TEE PURPLES</t>
  </si>
  <si>
    <t>39185-0416</t>
  </si>
  <si>
    <t>Levi's Original Sportswear Logo Graphic</t>
  </si>
  <si>
    <t>39636-0003</t>
  </si>
  <si>
    <t>Sportswear Logo Graphic</t>
  </si>
  <si>
    <t>39636-0050</t>
  </si>
  <si>
    <t>Футболка Levis Men Sportswear Logo Graphic — это универсальный элемент гардероба, который станет базой для любого стильного образа. Выполненная из 100% хлопка, она обеспечивает комфорт и долговечность на каждый день. Футболка имеет классический крой, который подходит для любой фигуры и легко сочетается с различными стилями одежды — от casual до спортивного. На груди расположен узнаваемый логотип Levis, подчеркивающий аутентичность и высокое качество бренда. Эта футболка — идеальное решение для тех, кто ценит стиль и простоту. Ее можно носить самостоятельно или комбинировать с пиджаками, джинсами и шортами, создавая бесконечные разнообразные образы. Выберите футболку Levis Men Sportswear Logo Graphic, чтобы подчеркнуть свой уникальный стиль и наслаждаться комфортом каждый день. Пополните ваш гардероб этой футболкой, которая никогда не выйдет из моды и станет вашим надежным спутником на все случаи жизни.</t>
  </si>
  <si>
    <t>SLIM POLO NEUTRALS</t>
  </si>
  <si>
    <t>52599-0000</t>
  </si>
  <si>
    <t>Неподвластная времени футболка-поло современного приталенного кроя. Изготовлена из мягкого эластичного материала с классической текстурой пике. Футболка имеет логотип Levis на груди, который подчеркивает стиль и бренд. Носите эту футболку-поло, чтобы добавить свежести в свой повседневный образ.</t>
  </si>
  <si>
    <t>LEVIS HM POLO REDS</t>
  </si>
  <si>
    <t>52599-0083</t>
  </si>
  <si>
    <t>95% хлопок, 5% эластан</t>
  </si>
  <si>
    <t>LEVIS HM POLO YELLOWS</t>
  </si>
  <si>
    <t>52599-0091</t>
  </si>
  <si>
    <t>Levi's Original SS HM TEE WHITE +</t>
  </si>
  <si>
    <t>56605-0000</t>
  </si>
  <si>
    <t>Levi's Original  SS ORIGINAL HM TEE DRESS BLUES</t>
  </si>
  <si>
    <t>56605-0017</t>
  </si>
  <si>
    <t>Levi's Original  SS ORIGINAL HM TEE OLIVE NIGHT</t>
  </si>
  <si>
    <t>56605-0021</t>
  </si>
  <si>
    <t>Levi's Original  HM TEE REDS</t>
  </si>
  <si>
    <t>56605-0176</t>
  </si>
  <si>
    <t>Футболка для мужчин Levis Men Original Housemark Tee - это стильная и удобная повседневная одежда от известного бренда Levis. Изготовлена из высококачественного хлопка, который обеспечивает комфортное ношение и легкость в движении. На груди расположен принт с логотипом бренда Levis, который делает футболку узнаваемой и придает ей особый стильный вид. Эта футболка идеально подходит для создания casual образа, который подойдет для прогулок, походов, отдыха в парках и других похожих мероприятиях.</t>
  </si>
  <si>
    <t>100% ХЛОПОК</t>
  </si>
  <si>
    <t>SS CLASSIC HM TEE TANS</t>
  </si>
  <si>
    <t>56809-0193</t>
  </si>
  <si>
    <t>SS CLASSIC HM TEE GREENS</t>
  </si>
  <si>
    <t>56809-0195</t>
  </si>
  <si>
    <t>Футболка для мужчин Levis Men Original Housemark Tee - это стильная и удобная повседневная одежда от известного бренда Levis. Изготовлена из высококачественного хлопка, который обеспечивает комфортное ношение и легкость в движении. На груди расположен принт с логотипом бренда Levis, который делает футболку узнаваемой и придает ей особый стильный вид. Эта футболка идеально подходит для создания повседневного образа, который подойдет для прогулок, походов, отдыха в парках и других похожих мероприятиях.</t>
  </si>
  <si>
    <t>LS ORIGINAL HM TEE LS COTTON + PATCH WH</t>
  </si>
  <si>
    <t>72848-0000</t>
  </si>
  <si>
    <t>Лонгслив Levis белого цвета. Выполнен из мягкого хлопкового джерси. Прямой крой, круглый вырез горловины. Небольшая вышивка LEVIS butwings на груди слева.</t>
  </si>
  <si>
    <t>THE ORIGINAL LS TEE</t>
  </si>
  <si>
    <t>72848-0009</t>
  </si>
  <si>
    <t>Лонгслив Levis LONG SLEEVE Original Hm Tee из мягкого хлопкового джерси. Логотип Levis Batwings на груди слева.</t>
  </si>
  <si>
    <t>Levi's Original SLIM 2PK CREWNECK 1 2 PACK SLIM CREW DR</t>
  </si>
  <si>
    <t>79541-0002</t>
  </si>
  <si>
    <t>Комплект из двух футболок Levis. Футболки с круглым вырезом из мягкого джерси. 2 шт в упаковке - синяя и белая. Небольшой фирменный ярлык на подоле.</t>
  </si>
  <si>
    <t>Levi's Original 2PK CREWNECK GRAPHIC HM WHITE</t>
  </si>
  <si>
    <t>79681-0001</t>
  </si>
  <si>
    <t>Комплект из двух футболок Levis. Футболки с круглым вырезом из мягкого джерси. 2 шт в упаковке - серая и белая. Небольшой фирменный ярлык на подоле.</t>
  </si>
  <si>
    <t>Levi's Original PERFECT VNECK WHITE +</t>
  </si>
  <si>
    <t>85341-0002</t>
  </si>
  <si>
    <t>Футболка с V-образным вырезом горловины. Украшена логотипом Levis.</t>
  </si>
  <si>
    <t>Levi's Original V-NECK TEE</t>
  </si>
  <si>
    <t>85641-0001</t>
  </si>
  <si>
    <t>Мужская футболка Levis Men Original Housemark V-neck Tee – это уникальная модель от всемирно известного бренда Levis. Изготовлена из высококачественного хлопка, который приятен на ощупь и обеспечивает комфорт в течение всего дня. Футболка для мужчин имеет модный дизайн с V-образным вырезом, что делает ее идеальной для повседневной носки в сочетании с джинсами и кедами. На груди расположен логотип бренда Levis, который является символом качества и стиля. Такая футболка станет незаменимой вещью в гардеробе современного мужчины, который ценит качество и уникальный стиль.</t>
  </si>
  <si>
    <t>VINTAGE FIT GRAPHIC TEE GREENS</t>
  </si>
  <si>
    <t>87373-0395</t>
  </si>
  <si>
    <t>Стильная футболка в винтажной эстетике, которая легко вписывается в повседневный гардероб. Расслабленный силуэт Relaxed Fit обеспечивает комфортную посадку и свободу движений, а выразительный графический принт добавляет образу характер и нотку ретро.
Футболка отлично сочетается с джинсами, шортами, карго и спортивными брюками, позволяя создавать актуальные образы в стиле casual, streetwear или vintage.
Особенности:
свободный расслабленный крой;
оригинальный графический принт;
винтажная эстетика;
универсальный дизайн для повседневных образов;
комфортная посадка и свобода движений.</t>
  </si>
  <si>
    <t>VINTAGE FIT GRAPHIC TEE PINKS</t>
  </si>
  <si>
    <t>87373-0396</t>
  </si>
  <si>
    <t>VINTAGE FIT GRAPHIC TEE BLACKS</t>
  </si>
  <si>
    <t>87373-0397</t>
  </si>
  <si>
    <t>87373-0400</t>
  </si>
  <si>
    <t>VINTAGE FIT GRAPHIC TEE BLUES</t>
  </si>
  <si>
    <t>87373-0405</t>
  </si>
  <si>
    <t>87373-0406</t>
  </si>
  <si>
    <t>VINTAGE FIT GRAPHIC TEE MULTI-COLOR</t>
  </si>
  <si>
    <t>87373-0409</t>
  </si>
  <si>
    <t>VINTAGE FIT GRAPHIC TEE</t>
  </si>
  <si>
    <t>87373-0442</t>
  </si>
  <si>
    <t>87373-0445</t>
  </si>
  <si>
    <t>Футболка Levis Men Vintage Fit Graphic Tee — это идеальное сочетание стиля и комфорта для мужчин, которые ценят качество и уникальный дизайн. Изготовленная из мягкого и высококачественного хлопка, эта футболка обеспечивает приятные тактильные ощущения, не раздражая кожу и гарантируя комфортное ношение в течение всего дня. Яркий графический принт на груди добавляет изделию оригинальности, создавая уникальный и стильный вид, который выделит вас в любой обстановке.
Футболка Levis Men Vintage Fit Graphic Tee обладает удобной посадкой, что делает её подходящей как для повседневной носки, так и для занятий спортом. Универсальность этого изделия позволяет легко сочетать его с различными элементами гардероба: будь то джинсы, брюки или шорты, создавая модные образы для любых ситуаций.
Эта футболка станет незаменимым элементом вашего гардероба, обеспечивая комфорт и стиль каждый день. Наслаждайтесь качеством и уникальностью, которые предлагает Levi's, и подчеркните свою индивидуальность с помощью футболки Levis Men Vintage Fit Graphic Tee.</t>
  </si>
  <si>
    <t>87373-0457</t>
  </si>
  <si>
    <t>87373-0461</t>
  </si>
  <si>
    <t>Levi's Original RED TAB VINTAGE TEE MINERAL BLACK</t>
  </si>
  <si>
    <t>A0637-0001</t>
  </si>
  <si>
    <t>Классическая футболка Levis. Выполнена из мягкого органического хлопка. Круглый вырез горловины. Небольшая вышивка Levis на груди слева.</t>
  </si>
  <si>
    <t>RED TAB VINTAGE TEE</t>
  </si>
  <si>
    <t>A0637-0129</t>
  </si>
  <si>
    <t>RED TAB VINTAGE TEE MULTI-COLOR</t>
  </si>
  <si>
    <t>A0637-0178</t>
  </si>
  <si>
    <t>A0637-0199</t>
  </si>
  <si>
    <t>A0637-0217</t>
  </si>
  <si>
    <t>LSE_SS RELAXED FIT TEE</t>
  </si>
  <si>
    <t>A2082-0382</t>
  </si>
  <si>
    <t>LSE_    PL PERFECT TEE</t>
  </si>
  <si>
    <t>A2435-0085</t>
  </si>
  <si>
    <t>A2435-0087</t>
  </si>
  <si>
    <t>Женская футболка Levis PL Perfect Tee — идеальное сочетание стиля и комфорта, которое легко впишется в ваш повседневный гардероб. Эта футболка с круглым вырезом и фирменным логотипом Levi's до мелочей продумана для создания классического образа с джинсами. Благодаря своему универсальному дизайну и качественному пошиву она станет неотъемлемой частью вашего гардероба.
Сделанная из мягкой ткани, эта футболка обеспечивает невероятный комфорт на каждый день. Её классический крой и непринужденный стиль делают её идеальной для любых ситуаций — от похода в кафе до прогулки по городу. Логотип Levi's® добавляет фирменный штрих, который выделяет эту футболку среди других и подчеркивает вашу преданность качеству и стилю.
С её долговечностью и способностью сочетаться с любой одеждой, эта футболка станет вашим фаворитом. Если вы ищете вещь, которая будет точно соответствовать вашему образу жизни и обеспечит вам комфорт, вы нашли её. Это по-настоящему идеальная футболка для любой модницы.</t>
  </si>
  <si>
    <t>ESSENTIAL RACER TANK NEUTRALS</t>
  </si>
  <si>
    <t>A3381-0000</t>
  </si>
  <si>
    <t>Женская майка Levis Women Racer Tank – это майка-борцовка, которая станет незаменимой в вашем гардеробе. Её минималистичный дизайн воплощает в себе всё, что вы ищете: стиль, комфорт и универсальность. Изготовленная из 100% хлопка в рубчик рипп, эта майка порадует вас мягкостью материала и приталенным кроем. Ребристая отделка по горловине и спинке-борцовке добавляет характер, а круглый вырез завершается идеальной посадкой, создавая элегантный и лаконичный образ. Нерастягивающаяся ткань обеспечивает стойкость формы и долговечность даже после многочисленных стирок. Эта простая, но идеальная майка станет отличным дополнением к любым образам, будь то спортивный look или повседневное сочетание с джинсами.</t>
  </si>
  <si>
    <t>GRAPHIC RINGER RICKIE BLUES</t>
  </si>
  <si>
    <t>A3519-0063</t>
  </si>
  <si>
    <t>Женская футболка Levis Graphic Rickie Ringer Tee. Эта стильная женская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юбками или шортами для расслабленных прогулок и встреч с друзьями. Если погода станет прохладнее, просто накиньте поверх расстегнутую джинсовую куртку или кардиган.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</si>
  <si>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GRAPHIC RINGER RICKIE PINKS</t>
  </si>
  <si>
    <t>A3519-0064</t>
  </si>
  <si>
    <t>A6735-0001</t>
  </si>
  <si>
    <t>Мужская футболка поло Levis Authentic Polo — это идеальное сочетание стиля и универсальности, которое подойдет для любого случая. Эта футболка поло отличается обтекаемым силуэтом, что придает ей дополнительную элегантность и позволяет легко адаптироваться к различным стилям одежды, будь то повседневный или более формальный образ.
Особенности данной модели включают:
- Универсальный стиль: футболка, которая гармонично вписывается в любой гардероб и сочетается с разнообразными нарядами. Она подходит как для повседневного ношения, так и для более нарядных случаев.
- Свободный крой: обеспечивает комфорт и свободу движений на протяжении всего дня.
- Материал: изготовлена из 100% хлопка — джерси, что гарантирует мягкость и воздухопроницаемость.
- Дизайн поло: добавляет классический акцент и позволяет выглядеть стильно и современно.
- Короткие рукава: делают её идеальной для теплой погоды, а также позволят создавать многослойные образы.
Эта футболка поло от Levis станет незаменимой вещью в гардеробе современных мужчин, ценящих комфорт и стиль.</t>
  </si>
  <si>
    <t>LS AUTHENTIC TEE</t>
  </si>
  <si>
    <t>A6887-0004</t>
  </si>
  <si>
    <t>Мужской лонгслив Levis Long-sleeve Authentic Tee — это идеально сочетание стиля и комфорта, созданное для гармонии с вашими любимыми джинсами. Эта футболка с длинными рукавами предлагает удобную, свободную посадку и винтажный вид, который напоминает тщательно подобранный элемент из секонд-хенда, но без запаха нафталина. Благодаря свободному крою и уютному дизайну, она станет незаменимой в вашем повседневном образе.
Изготовленная из 100% хлопка в джерси плетении, эта футболка обеспечивает мягкость и воздухопроницаемость, которые вы ожидаете от высококачественных изделий Levi's. Особенностью этого лонгслива является технология Fresh+ на основе мятного масла, которая помогает одежде дольше сохранять свежесть, что особенно важно для активного образа жизни.
Идеально подходящая для многослойных образов или в качестве самостоятельного элемента, эта футболка обеспечивает стильный вид и максимальный комфорт. Если вы ищете идеальную вещь для повседневной носки, которая подчеркнёт ваш индивидуальный стиль, этот лонгслив — именно то, что вам нужно.</t>
  </si>
  <si>
    <t>A6887-0055</t>
  </si>
  <si>
    <t>INFINITY SS BALLET TOP NEUTRALS</t>
  </si>
  <si>
    <t>A7355-0004</t>
  </si>
  <si>
    <t>BOXY TANK NEUTRALS</t>
  </si>
  <si>
    <t>A8794-0001</t>
  </si>
  <si>
    <t>Футболка Levis Boxy Tank - эталон одежды для теплой погоды.
Свободный крой.
Модель без рукавов.
Круглый вырез горловины.
100% хлопок</t>
  </si>
  <si>
    <t>GRAPHIC BOXY TSHIRT</t>
  </si>
  <si>
    <t>A8804-0037</t>
  </si>
  <si>
    <t>Женская футболка Levis Graphic Boxy T-Shirt — это современное воплощение классики. Ничто не сравнится с удобной и стильной футболкой, и эта модель поднимает её на новый уровень благодаря особому графическому дизайну, вдохновленному архивами Levis. Футболка имеет свободный крой, обеспечивающий комфорт и непринуждённый стиль в повседневной носке. Изготовленная из 100% хлопка, она гарантирует мягкость и долговечность. Круглый вырез и короткие рукава делают её идеальным выбором для теплых дней. Стандартная посадка подходит большинству типов фигуры. Эта футболка идеально сочетается с джинсами или шортами, добавляя вашему образу винтажной нотки и современного стиля одновременно. Независимо от того, наденете ли вы её на прогулку с друзьями или как часть повседневного гардероба, футболка Levis Graphic Boxy T-Shirt станет неотъемлемой частью вашего стильного образа.</t>
  </si>
  <si>
    <t>WOMEN'S BACKPATCH BEANIE - NEON</t>
  </si>
  <si>
    <t>000MR-0002</t>
  </si>
  <si>
    <t>Шапка</t>
  </si>
  <si>
    <t>Шапки</t>
  </si>
  <si>
    <t>Представляем стильную женскую шапку Levis Backpatch Beanie — идеальный выбор для тех, кто ценит комфорт и модные детали. Эта шапка создана для тех, кто стремится объединить удобство и современный стиль в повседневном образе. Изготовленная из 100% акрила, она обеспечивает мягкость и тепло, что делает ее незаменимой в холодное время года. Вязаная конструкция подчеркивает эластичность и долговечность изделия, обеспечивая идеальную посадку для любого размера головы. Дизайн дополнен фирменной нашивкой Levi's, которая придаёт узнаваемый и стильный акцент, завершая образ непринужденной элегантностью. Благодаря универсальному размеру 21 х 21 см с манжетой 7,5см, шапка отлично подойдет для любой формы головы. Ее можно носить как на прогулке по городу, так и во время активного отдыха на свежем воздухе. Подарите себе уют и привлекательный внешний вид с женской шапкой Levi's Backpatch Beanie — вашим идеальным спутником на каждый день.</t>
  </si>
  <si>
    <t>100% акрил</t>
  </si>
  <si>
    <t>WOMEN'S BACKPATCH BEANIE</t>
  </si>
  <si>
    <t>000J7-0008</t>
  </si>
  <si>
    <t>Окутайтесь уютом и стилем с нашей незаменимой шапкой Backpatch Beanie. Эта шапка изготовлена из мягкой и приятной на ощупь ткани, обеспечивая комфорт и тепло в любую погоду. Классический вязаный крой подчеркивает элегантность и универсальность, делая её идеальным дополнением к любому гардеробу. Завершающим штрихом является фирменная нашивка Levi's, которая добавляет узнаваемый акцент и эксклюзивность. Эта шапка станет вашим надежным спутником в холодное время года, даря стиль и удобство каждый день.</t>
  </si>
  <si>
    <t>Levi's Original Womens Lofty Wrap</t>
  </si>
  <si>
    <t>37461-0026</t>
  </si>
  <si>
    <t>Шарф</t>
  </si>
  <si>
    <t>Шарфы</t>
  </si>
  <si>
    <t>Женский вязаный шарф LEVIS LOFTY SCARF – это стильный и уютный аксессуар, который станет незаменимым элементом вашей зимней гардеробной коллекции. Он выполнен из высококачественной мягкой акриловой пряжи, что обеспечивает комфортную и приятную на ощупь текстуру.
Цвет шарфа прекрасно сочетается с различными оттенками одежды и дополнит ваш образ ноткой элегантности. Он подойдет как для повседневного использования, так и для особых случаев.
Длина шарфа составляет 170 см, что позволяет завязывать его различными способами, создавая разнообразные стили и уникальные образы. Ширина шарфа 20 см, что делает его достаточно плотным и теплым для защиты от холодного ветра и морозов.
LEVIS LOFTY SCARF – это не только функциональный аксессуар, но и стильный элемент модного образа. Он с легкостью дополнит ваш наряд, придавая ему завершенный вид. Этот шарф станет неотъемлемой частью вашего зимнего гардероба или прекрасным подарком для ваших близких и друзей.</t>
  </si>
  <si>
    <t>Levi's Original WOMENS COZY SCARF</t>
  </si>
  <si>
    <t>D6623-0002</t>
  </si>
  <si>
    <t>Классика для прохладной погоды. Этот уютный шарф Levis из прочного мягкого трикотажа букле станет легким и непринужденным завершающим штрихом вашего многослойного образа. Уютное трикотажное изделие из букле. Деталь с вышитым логотипом Levis. Размер 18 х 180 см.</t>
  </si>
  <si>
    <t>85% акрил, 15% полиэстер</t>
  </si>
  <si>
    <t>Levi's Original RIBCAGE SHORTS</t>
  </si>
  <si>
    <t>77879-0052</t>
  </si>
  <si>
    <t>Джинсовые шорты</t>
  </si>
  <si>
    <t>Шорты</t>
  </si>
  <si>
    <t>Плотность: 12.5 oz. 
Женские джинсовые шорты Levis Ribcage. Легендарный крой с ширинкой на пуговицах и аутентичный внешний вид. Высокая посадка на талии. Необработанные края. Сочетаются с любой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</si>
  <si>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23</t>
  </si>
  <si>
    <t>RIBCAGE SHORT TANGO STONEWASH SHORT</t>
  </si>
  <si>
    <t>77879-0005</t>
  </si>
  <si>
    <t>Плотность: 12.3 oz. 
Прямые брюки Levis с самой высокой посадкой. Невероятно высокая посадка, подчеркивающая талию. Обрезанный край. Levis участвует в инициативе Better Cotton, призванной улучшить стандарты производства хлопка по всему миру.</t>
  </si>
  <si>
    <t>501 Levi's Original Short</t>
  </si>
  <si>
    <t>56327-0240</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</si>
  <si>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 Шорты имеют необработанный край.</t>
  </si>
  <si>
    <t>XX CHINO SHORTS II BROWNS</t>
  </si>
  <si>
    <t>17202-0090</t>
  </si>
  <si>
    <t>36/9</t>
  </si>
  <si>
    <t>501 Levi's Original HIGH RISE SHORT</t>
  </si>
  <si>
    <t>56327-0025</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</si>
  <si>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t>
  </si>
  <si>
    <t>24</t>
  </si>
  <si>
    <t>501 Levi's Original PLUS 90S SHORT DREW ME IN PLUS SHORT</t>
  </si>
  <si>
    <t>A1987-0002</t>
  </si>
  <si>
    <t>Плотность: 14.25 oz. 
В последнее время мы часто искали вдохновения в 90-х. Благодаря более свободному крою с напуском и необработанному низу они напоминают те идеальные модели, которые были у вас когда-то давно. Но они уже здесь, и они готовы стать вашими новыми фаворитами. Средней посадки со свободной посадкой, это как раз то, что нужно.</t>
  </si>
  <si>
    <t>22</t>
  </si>
  <si>
    <t>501® ORIGINAL SHORT WHITES</t>
  </si>
  <si>
    <t>56327-0556</t>
  </si>
  <si>
    <t>BAGGY DAD UTILITY SHORT</t>
  </si>
  <si>
    <t>005LU-0002</t>
  </si>
  <si>
    <t>Женские шорты Levis Baggy Dad Utility Shorts — это сочетание комфорта и современного стиля, вдохновленного винтажной модой. Эти шорты, выполненные в свободном крое, идеально подходят для создания расслабленного и непринужденного образа. Они обеспечивают максимальное удобство и свободу движений благодаря своему дизайну и выбору материалов. 
Изготовленные из качественного и прочного хлопка, шорты имеют функциональные утилитарные элементы, такие как вместительные карманы, которые позволяют всегда иметь под рукой необходимые вещи. Высокая посадка и узнаваемый стиль придают образу особый шарм, создавая модный акцент в вашем гардеробе.  
Эти шорты прекрасно подойдут как для прогулок по городу, так и для отдыха на природе, легко сочетаясь с футболками, блузами или легкими свитерами. Levis Baggy Dad Utility Shorts — это идеальный выбор для тех, кто ценит моду, комфорт и функциональность в одном изделии.</t>
  </si>
  <si>
    <t>BAGGY DAD JORT MED INDIGO - FLAT FINISH</t>
  </si>
  <si>
    <t>000MJ-0016</t>
  </si>
  <si>
    <t>Женские шорты Levis Women Baggy Dad Jort — это идеальное сочетание ретро-стиля и современного комфорта. Созданные по мотивам классических моделей из родительского шкафа, они предлагают свободу движений и стиль, который всегда в тренде. С их свободным кроем и средней посадкой эти джорты визуально удлиняют ноги и выгодно подчеркивают фигуру, создавая расслабленный и модный образ. Изготовленные из 100% хлопка, они гарантируют комфорт и качество. Классический неэластичный деним подчеркивает винтажный стиль, а практичный 5-карманный дизайн и застежка-молния обеспечивают функциональность. Шорты отлично сидят на бедрах и ягодицах, благодаря чему они сохраняют форму и не стесняют движений. Длина выше колена делает их универсальным выбором для любого повседневного гардероба — будь то прогулка по городу или пикник на природе. Идеально сочетаются с футболками, топами и легкими свитерами, позволяя создавать разнообразные образы на любой вкус. Эти шорты — обязательный элемент гардероба для тех, кто ценит стиль и комфорт.</t>
  </si>
  <si>
    <t>BAGGY DAD JORT MED INDIGO - WORN IN</t>
  </si>
  <si>
    <t>000MJ-0017</t>
  </si>
  <si>
    <t>CARRIER CARGO SHRT-2</t>
  </si>
  <si>
    <t>001KG-0011</t>
  </si>
  <si>
    <t>Мужские шорты карго Levis Carrier Cargo — это идеальный выбор для тех, кто ценит комфорт и практичность в повседневной одежде. Эти шорты в утилитарном стиле объединяют в себе современное исполнение и функциональный дизайн. Свободный крой с идеальной посадкой на талии обеспечивает свободу движений и комфорт в носке, делая их одним из самых удобных предметов вашего гардероба. Изготовленные из 100% хлопка, они гарантируют прочность и долговечность. Холщовый материал не растягивается, что сохраняет их форму даже при активном использовании. Средний рост и прямая нога создают универсальный силуэт, подходящий для любого случая.
Шорты оснащены застежкой-молнией и вспомогательными карманами, которые придают им практичность и позволяют удобно разместить необходимые мелочи. Эти шорты с карманами станут отличным дополнением вашего летнего гардероба, сочетая в себе функциональность и стиль от Levi's.</t>
  </si>
  <si>
    <t>001KG-0012</t>
  </si>
  <si>
    <t>001KG-0013</t>
  </si>
  <si>
    <t>RIBCAGE SHORT ZIP</t>
  </si>
  <si>
    <t>005DS-0001</t>
  </si>
  <si>
    <t>Женские шорты Levis Ribcage Shorts — это невероятно стильная интерпретация знаменитой модели с высокой посадкой, адаптированной в формате эффектных шорт. Высокая талия этих шорт изящно подчеркивает фигуру и визуально удлиняет ноги, создавая гармоничный силуэт. Идеальная длина до бедра обеспечивает комфорт даже в самые жаркие дни, а свободный крой в области сиденья и бедер дарит свободу движений. Эти шорты выполнены из классического неэластичного денима (100% хлопок), который в течение всего дня сохраняет форму, не растягиваясь. Надежная застежка-молния обеспечивает удобство в повседневной носке, а 5-карманный дизайн добавляет практичности, позволяя удобно разместить телефон и мелочи. Винтажный стиль этих шорт делает их универсальными: они легко комбинируются с различными топами и обувью. Эти шорты идеально подходят для прогулок, пляжа или городских выходов. Как и вся продукция Levi's, они гарантируют высокое качество швов и ткани, что делает их отличной инвестицией в летний гардероб на многие сезоны. Этот базовый элемент гардероба станет прекрасным подарком для девушки, подруги или сестры, добавляя в её образ нотки стиля 90-х и актуальный кэжуал.</t>
  </si>
  <si>
    <t>005DS-0007</t>
  </si>
  <si>
    <t>25</t>
  </si>
  <si>
    <t>SUPER BAGGY JORT MED INDIGO - WORN IN</t>
  </si>
  <si>
    <t>005DT-0002</t>
  </si>
  <si>
    <t>Женские шорты Women Super Baggy Jorts – это идеальное сочетание максимального комфорта и стильного дизайна. Эти супер-свободные джорты станут вашими новыми любимыми джинсовыми шортами благодаря своей привлекательной средней посадке и ультрасвободному крою, который дарит непринужденность и свободу движения. 
Изготовленные из классического неэластичного денима, они подчеркивают актуальность и универсальность стиля. Крой шортов предусматривает свободу в области ягодиц и бедер, что позволяет чувствовать себя комфортно весь день. Средняя высота посадки делает эти джорты подходящими для самых разных образов – будь то повседневный городской стиль или более расслабленный, пляжный вид. 
Выполненные из 100% хлопка, они обеспечивают естественное ощущение и долговечность. Шорты имеют застежку-молнию и классический 5-карманный дизайн, что добавляет практичности и функциональности. Эти джорты – идеальный выбор для тех, кто ценит комфорт и стиль в каждой детали.</t>
  </si>
  <si>
    <t>SUPER BAGGY JORT BLACKS</t>
  </si>
  <si>
    <t>005DT-0004</t>
  </si>
  <si>
    <t>501® ORIGINAL SHORTS BLACKS</t>
  </si>
  <si>
    <t>36512-0278</t>
  </si>
  <si>
    <t>34</t>
  </si>
  <si>
    <t>501® ORIGINAL SHORTS MED INDIGO - WORN IN</t>
  </si>
  <si>
    <t>36512-0281</t>
  </si>
  <si>
    <t>Мужские шорты Levis голубого цвета. Выполнены из 100% хлопка. Легендарная кожаная нашивка на задней стороне пояса. Застежка на пуговицах. Средняя посадка. Карманы спереди и два кармана с фирменной строчкой Levis сзади.</t>
  </si>
  <si>
    <t>36512-0292</t>
  </si>
  <si>
    <t>38</t>
  </si>
  <si>
    <t>Levi's Original STANDARD SHORT ALL BLACK ADV SHORT</t>
  </si>
  <si>
    <t>39864-0037</t>
  </si>
  <si>
    <t>Плотность: 12.5 oz. 
Хорошим джинсовым шортам не нужны лишние детали. Поэтому при их изготовлении использовали только базовые элементы: качественный деним, классический вариант с 5 карманами и универсальный крой чуть выше колена. Базовые джинсовые шорты. С универсальными прямыми штанинами. Изготовлены с использованием Levis Flex — прогрессивной технологии advanced stretch, разработанной для максимальной гибкости и оптимального комфорта. Ширинка на молнии. Фирменный лейбл Levis и дугообразные строчки на задних карманах.</t>
  </si>
  <si>
    <t>2810</t>
  </si>
  <si>
    <t>2910</t>
  </si>
  <si>
    <t>3010</t>
  </si>
  <si>
    <t>3110</t>
  </si>
  <si>
    <t>3210</t>
  </si>
  <si>
    <t>3610</t>
  </si>
  <si>
    <t>501 Levi's Original SHORT</t>
  </si>
  <si>
    <t>56327-0081</t>
  </si>
  <si>
    <t>Плотность: 14.25 oz. 
Женские джинсовые шорты Levis. Выполнены из 100% хлопка. Первые в мире джинсовые шорты. Высокая посадка, подчеркивающая талию. Легендарная кожаная нашивка на задней стороне пояса. Ширинка на пуговицах. Карманы спереди и два кармана с фирменной строчкой Levis сзади. Высока посадка, подчеркивающая талию. Шорты от Levis в винтажном стиле с растрепанным краем разнообразят летний гардероб.</t>
  </si>
  <si>
    <t>501® ORIGINAL SHORT MED INDIGO - WORN IN</t>
  </si>
  <si>
    <t>56327-0530</t>
  </si>
  <si>
    <t>Женские шорты Levi's 501 High Rise Shorts — это истинное воплощение легендарного наследия Levi's и современного стиля. Эти шорты с завышенной талией созданы для тех, кто ценит комфорт и непринужденную моду. Они подчеркивают талию и создают изящный, стройный силуэт, идеально подходящий для любого типа фигуры. Шорты выполнены в культовом прямом крое с классической ширинкой на пуговицах, что придаёт им винтажный шарм и делает их настоящей находкой для любителей ретро-стиля. Изготовленные из прочного, высококачественного денима, они не только стильные, но и невероятно долговечные. Необработанный край добавляет немного дерзости и актуальности в ваш образ, делая их идеальной основой для создания модных летних луков. Они легко сочетаются с любимыми топами, рубашками или жакетами и подходят как для городской суеты, так и для загородных поездок. Женские шорты Levi’s 501 – это ода вашему уникальному стилю и безупречному вкусу.</t>
  </si>
  <si>
    <t>XX AUTH RLX SHORTS II</t>
  </si>
  <si>
    <t>A4661-0049</t>
  </si>
  <si>
    <t>Шорты 8"</t>
  </si>
  <si>
    <t>Мужские шорты чинос Levis Xx Chino Authentic Lightweight 6" Shorts — это воплощение летней элегантности и комфорта. Они сочетают в себе свободную посадку и ультрауниверсальный дизайн, что делает их идеальным выбором для любого случая. Эти шорты выполнены из хлопка и обладают невероятной мягкостью, что обеспечивает комфорт в носке. Деним, из которого они изготовлены, не растягивается, сохраняя свою форму даже после множества стирок. 
Удобная застежка-молния гарантирует надежную фиксацию, а два передних кармана обеспечивают классический стиль и функциональность. Интересная деталь — скрытый карман на молнии в правом кармане, который идеально подходит для хранения мелких предметов. Длина шорт — средняя, с внутренним швом 6 дюймов, что делает их подходящими для теплой погоды. Посадка ниже талии придает шортам современный вид, а карманы в стиле чинос подчеркивают минималистичный стиль. Эти шорты станут незаменимым элементом летнего гардероба каждого мужчины.</t>
  </si>
  <si>
    <t>33</t>
  </si>
  <si>
    <t>A4661-0066</t>
  </si>
  <si>
    <t>80S MOM SHORT</t>
  </si>
  <si>
    <t>A4695-0015</t>
  </si>
  <si>
    <t>Женские шорты Levis Women 80s Mom Shorts окунают нас в модную атмосферу 80-х годов с их винтажным облегающим кроем и высокой посадкой. Эти шорты созданы для тех, кто ценит стиль этого яркого десятилетия. Благодаря обновленному дизайну и использованию экологичного денима, они воплощают в себе все лучшие черты классического фасона в современном исполнении.
Высокая посадка 10 3/4" делает эти шорты идеальными для создания утонченного, стройного силуэта, а А-образный вырез визуально удлиняет ноги. Внутренний шов длиной 4" добавляет комфорта и свободы движений. Шорты выполнены из 100% хлопка, что гарантирует их прочность и легкость. Деним не растягивается, сохраняя форму даже после многочисленных стирок. 
Классическая застежка-молния и 5-карманный дизайн добавляют функциональности и стиля, делая эти шорты незаменимыми для повседневного гардероба. Они идеально подходят для создания ярких летних образов, сохраняя при этом дух прошлых десятилетий.</t>
  </si>
  <si>
    <t>468 LOOSE SHORTS LIGHT INDIGO - WORN IN</t>
  </si>
  <si>
    <t>A8461-0039</t>
  </si>
  <si>
    <t>Мужские шорты Levis Men 468 Stay Loose Shorts – это стильное возвращение к культовой моде 90-х, теперь адаптированной для современного гардероба. Эти шорты предлагают расслабленный свободный крой, который обеспечивает максимальный комфорт и придаёт непринуждённый вид. Их длина с внутренним швом в 9 дюймов и посадка на талии создают образ, характерный для моды уходящего века. Изготовленные из качественного неэластичного денима на 100% из хлопка, они гарантируют долговечность и классическое ощущение денима. Застёжка-молния и 5-карманный фасон добавляют практичности и функциональности, сохраняя классический стиль Levi's. Эти шорты идеально подходят для сочетания с футболками или толстовками, создавая комфортные и стильные ансамбли, будь то для прогулок по городу или отдыха с друзьями. Это идеальный выбор для тех, кто ценит свободу движений и стильную эстетику 90-х в каждом изделии.</t>
  </si>
  <si>
    <t>501® MID THIGH SHORT LW MED INDIGO - WORN IN</t>
  </si>
  <si>
    <t>A9296-0006</t>
  </si>
  <si>
    <t>Женские джинсовые шорты Levis 501 Mid Thigh Shorts — это современные джинсовые шорты, вдохновленные классическими 501 . С их культовым винтажным покроем, высокой талией и удлиненным внутренним швом они остаются непревзойденным образцом стиля, который никогда не потеряет актуальности. Эти шорты средней длины подходят для любого летнего гардероба, обеспечивая универсальный стиль до середины бедра. Изготовленные из легкой хлопковой ткани, они гарантируют комфорт в жаркую погоду. Джинсовая ткань, из которой выполнены шорты, не растягивается, что подчеркивает их форму и долговечность. Ширинка на пуговицах и традиционный 5-карманный дизайн добавляют классического шика и функциональности. Эти шорты — отличный выбор для тех, кто ценит сочетание традиций и современности.</t>
  </si>
  <si>
    <t>501® MID THIGH SHORT LW LIGHT INDIGO - WORN IN</t>
  </si>
  <si>
    <t>A9296-0008</t>
  </si>
  <si>
    <t>HIGH BAGGY SHORT MED INDIGO - FLAT FINISH</t>
  </si>
  <si>
    <t>A9311-0000</t>
  </si>
  <si>
    <t>Женские джинсовые шорты Levis Women High-Rise Baggy Shorts — это идеальное сочетание винтажного стиля и современного комфорта. Эти шорты созданы для тех, кто ценит стильные и удобные решения в повседневной одежде. Благодаря своей высокой посадке и мешковатому крою, они визуально удлиняют ноги и обеспечивают максимальный комфорт и свободу движений.
Изготовленные из 100% хлопкового денима, шорты не растягиваются, что подчёркивает их долговечность и качество. Длина выше колена делает их идеальными как для прогулок по городу, так и для отдыха на природе. Застёжка-молния и классический 5-карманный стиль добавляют шортам функциональности и практичности.
Эти шорты сочетаются с различными элементами гардероба, создавая как повседневные, так и более нарядные образы. Они обладают уникальным шармом винтажной эстетики и станут незаменимой частью вашего летнего гардероба, даря вам комфорт и стиль в любом случае.</t>
  </si>
  <si>
    <t>HIGH BAGGY SHORT</t>
  </si>
  <si>
    <t>A9311-0005</t>
  </si>
  <si>
    <t>HIGH NECK SMOCKED DRESS (PEARL) DARK INDIGO - FLAT FINISH</t>
  </si>
  <si>
    <t>0061T-0000</t>
  </si>
  <si>
    <t>Платье</t>
  </si>
  <si>
    <t>Юбки и платья</t>
  </si>
  <si>
    <t>Женское платье Levis Cely Smocked Midi Dress.  Это очаровательное женское платье из натурального хлопка воплощает в себе легкость и романтичность летнего сезона. Воздухопроницаемая ткань позволяет коже дышать, обеспечивая прохладу даже в самые жаркие дни. Продуманный силуэт мягко облегает фигуру, подчеркивая достоинства и скрывая небольшие несовершенства. Фирменная отделка и аккуратные швы отражают внимание к деталям, характерное для легендарного бренда. Это платье легко адаптируется под любой повод. Носите его с плетеными сандалиями и соломенной шляпой для создания расслабленного отпускного образа. Для вечерней прогулки дополните комплект легким кардиганом и изящными босоножками на каблуке. Эта модель станет вашим любимым выбором для свиданий, пикников и городских прогулок, привнося в ваш стиль нотку женственности, безупречного вкуса и неповторимого шарма.</t>
  </si>
  <si>
    <t>MYLENE MINI DRESS PINKS</t>
  </si>
  <si>
    <t>A7596-0001</t>
  </si>
  <si>
    <t>Легкое платье Levi Mylene с V-образным вырезом, рюшами, А-силуэта и удобными короткими рукавами создано для теплых погодных дней.
Женственное мини-платье.</t>
  </si>
  <si>
    <t>100% ПОЛИЭСТЕР</t>
  </si>
  <si>
    <t>QUINNEY DENIM DRESS DARK INDIGO - WORN IN</t>
  </si>
  <si>
    <t>A8658-0000</t>
  </si>
  <si>
    <t>Женское джинсовое платье Levis Women Quinney Denim Dress — это воплощение стиля вестерн, которое легко перенесёт вас на просторы Дикого Запада. Это платье отличается макси-кроем, который добавляет изысканности и элегантности в повседневные образы. Классическая застёжка на пуговицы спереди позволяет вам регулировать степень комфорта и стиль, а поясной дизайн подчёркивает талию, создавая женственный силуэт. 
Изготовленное из качественного денима, это платье гарантирует долговечность и комфорт. Длинные рукава добавляют универсальности, позволяя носить его в любое время года. Детали Levi's, такие как два нагрудных кармана и отделка кокетки, привносят узнаваемый фирменный стиль бренда и удобство для повседневного использования. 
Стандартная посадка делает это платье подходящим для любой фигуры, подчёркивая её достоинства. Джинсовое платье в стиле вестерн от Levi's станет вашим незаменимым нарядом для создания эффектных и стильных образов как на каждый день, так и для особых случаев.</t>
  </si>
  <si>
    <t>60% лиоцелл , 40% хлопок</t>
  </si>
  <si>
    <t>Levi's Original FRANCES DENIM DRESS CHERRY MAHOGANY</t>
  </si>
  <si>
    <t>A0830-0001</t>
  </si>
  <si>
    <t>Вельветовое платье миди без рукавов Levis Frances Denim Dress проходит через бюст и талию, создавая эффектный силуэт. Вшитый пояс подчеркивает талию.
 Фирменные пуговицы идут по всей длине.</t>
  </si>
  <si>
    <t>DECONSTRUCTED SKIRT H1'26</t>
  </si>
  <si>
    <t>005LW-0002</t>
  </si>
  <si>
    <t>Юбка</t>
  </si>
  <si>
    <t>MID THIGH SKIRT MED INDIGO - WORN IN</t>
  </si>
  <si>
    <t>005LZ-0001</t>
  </si>
  <si>
    <t>Женская юбка Levis Mid-thigh Skirt.  Эта стильная женская джинсовая мини-юбка из плотного хлопка с добавлением эластана — воплощение молодежного задора и классического стиля. Прочный деним отлично держит форму, а эластичные волокна обеспечивают свободу движений и комфортную посадку по фигуре. Фирменная фурнитура и аккуратные отстрочки подчеркивают аутентичную эстетику легендарного бренда. Эта юбка станет отличным инструментом для создания дерзких и запоминающихся образов. Сочетайте ее с облегающей водолазкой и высокими сапогами для создания стильного осеннего лука. В теплую погоду дополните ее простой футболкой и легкими кедами для непринужденного повседневного вида. Она также великолепно смотрится с объемными свитшотами и грубыми ботинками. Эта модель привнесет в ваш гардероб нотку бунтарского духа, современной городской динамики и неповторимого шарма.</t>
  </si>
  <si>
    <t>DECON SLIT MIDI SKIRT</t>
  </si>
  <si>
    <t>008AF-0001</t>
  </si>
  <si>
    <t>Юбка джинсовая</t>
  </si>
  <si>
    <t>ICON SKIRT</t>
  </si>
  <si>
    <t>A4694-0022</t>
  </si>
  <si>
    <t>Юбка Levis Women Icon Skirt — это мини-юбка, в которой дерзость встречается с комфортом и стилем. Изготовленная из высококачественного денима, эта юбка не только выглядит шикарно, но и обеспечивает долговечность, сохраняя свою форму и насыщенный цвет даже после многочисленных стирок. 
Центральная застежка на молнии придает модели оригинальность и современный шарм, что делает её привлекательной для модниц любого возраста. Прямой крой и мини-длина выгодно подчеркивают фигуру, создавая силуэт, который идеально подойдет для множества различных образов. 
Юбка легко комбинируется с разнообразными топами и обувью. Она прекрасно смотрится как с повседневными футболками и кедами, так и с более элегантными блузами и обувью на каблуке, позволяя вам легко менять стиль в зависимости от вашего настроения и случая. 
Levis Women Icon Skirt — это стильная и выразительная вещь в вашем гардеробе, которая добавит нотку дерзости и уверенности в любой комплект. Идеально подходит для создания образов, которые приковывают к себе взгляды.</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</si>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</sst>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Slim&quot;"/>
    <numFmt numFmtId="165" formatCode="0&quot;  REGULAR&quot;"/>
    <numFmt numFmtId="166" formatCode="0&quot; Crop&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8">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2" fontId="1" fillId="0" borderId="3" xfId="0" applyNumberFormat="1" applyFont="1" applyBorder="1" applyAlignment="1">
      <alignment horizontal="center" vertical="top"/>
    </xf>
    <xf numFmtId="0" fontId="1" fillId="3" borderId="3" xfId="0" applyFont="1" applyFill="1" applyBorder="1" applyAlignment="1">
      <alignment horizontal="center" vertical="top"/>
    </xf>
    <xf numFmtId="0" fontId="4" fillId="0" borderId="2" xfId="0" applyFont="1" applyBorder="1" applyAlignment="1">
      <alignment horizontal="center" vertical="top"/>
    </xf>
    <xf numFmtId="0" fontId="4" fillId="0" borderId="1" xfId="0" applyFont="1" applyBorder="1" applyAlignment="1">
      <alignment horizontal="center" vertical="top"/>
    </xf>
    <xf numFmtId="164" fontId="0" fillId="0" borderId="2" xfId="0" applyNumberFormat="1" applyBorder="1" applyAlignment="1">
      <alignment horizontal="center" vertical="top" wrapText="1"/>
    </xf>
    <xf numFmtId="165" fontId="0" fillId="0" borderId="2"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xf>
    <xf numFmtId="0" fontId="0" fillId="0" borderId="5"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A9E0-4D9E-8D5D-A63EA3089BE6}"/>
            </c:ext>
          </c:extLst>
        </c:ser>
        <c:dLbls>
          <c:dLblPos val="outEnd"/>
          <c:showLegendKey val="0"/>
          <c:showVal val="1"/>
          <c:showCatName val="0"/>
          <c:showSerName val="0"/>
          <c:showPercent val="0"/>
          <c:showBubbleSize val="0"/>
        </c:dLbls>
        <c:gapWidth val="100"/>
        <c:axId val="325069272"/>
        <c:axId val="431996104"/>
      </c:barChart>
      <c:catAx>
        <c:axId val="3250692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1996104"/>
        <c:crosses val="autoZero"/>
        <c:auto val="1"/>
        <c:lblAlgn val="ctr"/>
        <c:lblOffset val="100"/>
        <c:noMultiLvlLbl val="0"/>
      </c:catAx>
      <c:valAx>
        <c:axId val="4319961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506927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EC93-42C4-9501-DC75CC235464}"/>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EC93-42C4-9501-DC75CC235464}"/>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EC93-42C4-9501-DC75CC235464}"/>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EC93-42C4-9501-DC75CC235464}"/>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9F46-4DE1-8AD5-E0A113D1619F}"/>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623" Type="http://schemas.openxmlformats.org/officeDocument/2006/relationships/image" Target="../media/image623.png"/><Relationship Id="rId830" Type="http://schemas.openxmlformats.org/officeDocument/2006/relationships/image" Target="../media/image830.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894" Type="http://schemas.openxmlformats.org/officeDocument/2006/relationships/image" Target="../media/image894.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821" Type="http://schemas.openxmlformats.org/officeDocument/2006/relationships/image" Target="../media/image821.png"/><Relationship Id="rId863" Type="http://schemas.openxmlformats.org/officeDocument/2006/relationships/image" Target="../media/image863.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43" Type="http://schemas.openxmlformats.org/officeDocument/2006/relationships/image" Target="../media/image843.png"/><Relationship Id="rId885" Type="http://schemas.openxmlformats.org/officeDocument/2006/relationships/image" Target="../media/image885.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896" Type="http://schemas.openxmlformats.org/officeDocument/2006/relationships/image" Target="../media/image896.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865" Type="http://schemas.openxmlformats.org/officeDocument/2006/relationships/image" Target="../media/image865.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12</xdr:row>
      <xdr:rowOff>133350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16</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38100</xdr:rowOff>
    </xdr:from>
    <xdr:to>
      <xdr:col>3</xdr:col>
      <xdr:colOff>1552575</xdr:colOff>
      <xdr:row>18</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23</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38100</xdr:rowOff>
    </xdr:from>
    <xdr:to>
      <xdr:col>3</xdr:col>
      <xdr:colOff>1552575</xdr:colOff>
      <xdr:row>30</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38100</xdr:rowOff>
    </xdr:from>
    <xdr:to>
      <xdr:col>3</xdr:col>
      <xdr:colOff>1552575</xdr:colOff>
      <xdr:row>39</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54</xdr:row>
      <xdr:rowOff>171450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63</xdr:row>
      <xdr:rowOff>133350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68</xdr:row>
      <xdr:rowOff>419100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71</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80</xdr:row>
      <xdr:rowOff>133350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38100</xdr:rowOff>
    </xdr:from>
    <xdr:to>
      <xdr:col>3</xdr:col>
      <xdr:colOff>1552575</xdr:colOff>
      <xdr:row>83</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90</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95</xdr:row>
      <xdr:rowOff>333375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104</xdr:row>
      <xdr:rowOff>133350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108</xdr:row>
      <xdr:rowOff>209550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111</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118</xdr:row>
      <xdr:rowOff>171450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125</xdr:row>
      <xdr:rowOff>171450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38100</xdr:rowOff>
    </xdr:from>
    <xdr:to>
      <xdr:col>3</xdr:col>
      <xdr:colOff>1552575</xdr:colOff>
      <xdr:row>127</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139</xdr:row>
      <xdr:rowOff>133350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143</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147</xdr:row>
      <xdr:rowOff>209550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38100</xdr:rowOff>
    </xdr:from>
    <xdr:to>
      <xdr:col>3</xdr:col>
      <xdr:colOff>1552575</xdr:colOff>
      <xdr:row>152</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38100</xdr:rowOff>
    </xdr:from>
    <xdr:to>
      <xdr:col>3</xdr:col>
      <xdr:colOff>1552575</xdr:colOff>
      <xdr:row>154</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38100</xdr:rowOff>
    </xdr:from>
    <xdr:to>
      <xdr:col>3</xdr:col>
      <xdr:colOff>1552575</xdr:colOff>
      <xdr:row>159</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38100</xdr:rowOff>
    </xdr:from>
    <xdr:to>
      <xdr:col>3</xdr:col>
      <xdr:colOff>1552575</xdr:colOff>
      <xdr:row>164</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38100</xdr:rowOff>
    </xdr:from>
    <xdr:to>
      <xdr:col>3</xdr:col>
      <xdr:colOff>1552575</xdr:colOff>
      <xdr:row>166</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38100</xdr:rowOff>
    </xdr:from>
    <xdr:to>
      <xdr:col>3</xdr:col>
      <xdr:colOff>1552575</xdr:colOff>
      <xdr:row>168</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38100</xdr:rowOff>
    </xdr:from>
    <xdr:to>
      <xdr:col>3</xdr:col>
      <xdr:colOff>1552575</xdr:colOff>
      <xdr:row>174</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178</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184</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190</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196</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205</xdr:row>
      <xdr:rowOff>133350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38100</xdr:rowOff>
    </xdr:from>
    <xdr:to>
      <xdr:col>3</xdr:col>
      <xdr:colOff>1552575</xdr:colOff>
      <xdr:row>208</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212</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38100</xdr:rowOff>
    </xdr:from>
    <xdr:to>
      <xdr:col>3</xdr:col>
      <xdr:colOff>1552575</xdr:colOff>
      <xdr:row>214</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219</xdr:row>
      <xdr:rowOff>209550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226</xdr:row>
      <xdr:rowOff>171450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230</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233</xdr:row>
      <xdr:rowOff>419100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241</xdr:row>
      <xdr:rowOff>152400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242</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247</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256</xdr:row>
      <xdr:rowOff>133350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269</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38100</xdr:rowOff>
    </xdr:from>
    <xdr:to>
      <xdr:col>3</xdr:col>
      <xdr:colOff>1552575</xdr:colOff>
      <xdr:row>271</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280</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289</xdr:row>
      <xdr:rowOff>133350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38100</xdr:rowOff>
    </xdr:from>
    <xdr:to>
      <xdr:col>3</xdr:col>
      <xdr:colOff>1552575</xdr:colOff>
      <xdr:row>293</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38100</xdr:rowOff>
    </xdr:from>
    <xdr:to>
      <xdr:col>3</xdr:col>
      <xdr:colOff>1552575</xdr:colOff>
      <xdr:row>295</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301</xdr:row>
      <xdr:rowOff>333375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305</xdr:row>
      <xdr:rowOff>419100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308</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312</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315</xdr:row>
      <xdr:rowOff>419100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319</xdr:row>
      <xdr:rowOff>209550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327</xdr:row>
      <xdr:rowOff>152400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330</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334</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335</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336</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347</xdr:row>
      <xdr:rowOff>209550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38100</xdr:rowOff>
    </xdr:from>
    <xdr:to>
      <xdr:col>3</xdr:col>
      <xdr:colOff>1552575</xdr:colOff>
      <xdr:row>349</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353</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360</xdr:row>
      <xdr:rowOff>171450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361</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372</xdr:row>
      <xdr:rowOff>133350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384</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385</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389</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392</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38100</xdr:rowOff>
    </xdr:from>
    <xdr:to>
      <xdr:col>3</xdr:col>
      <xdr:colOff>1552575</xdr:colOff>
      <xdr:row>397</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404</xdr:row>
      <xdr:rowOff>171450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409</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418</xdr:row>
      <xdr:rowOff>133350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429</xdr:row>
      <xdr:rowOff>152400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38100</xdr:rowOff>
    </xdr:from>
    <xdr:to>
      <xdr:col>3</xdr:col>
      <xdr:colOff>1552575</xdr:colOff>
      <xdr:row>432</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433</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434</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439</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441</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38100</xdr:rowOff>
    </xdr:from>
    <xdr:to>
      <xdr:col>3</xdr:col>
      <xdr:colOff>1552575</xdr:colOff>
      <xdr:row>443</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38100</xdr:rowOff>
    </xdr:from>
    <xdr:to>
      <xdr:col>3</xdr:col>
      <xdr:colOff>1552575</xdr:colOff>
      <xdr:row>445</xdr:row>
      <xdr:rowOff>638175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447</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451</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452</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453</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454</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38100</xdr:rowOff>
    </xdr:from>
    <xdr:to>
      <xdr:col>3</xdr:col>
      <xdr:colOff>1552575</xdr:colOff>
      <xdr:row>456</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38100</xdr:rowOff>
    </xdr:from>
    <xdr:to>
      <xdr:col>3</xdr:col>
      <xdr:colOff>1552575</xdr:colOff>
      <xdr:row>458</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462</xdr:row>
      <xdr:rowOff>209550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463</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464</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465</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466</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469</xdr:row>
      <xdr:rowOff>419100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38100</xdr:rowOff>
    </xdr:from>
    <xdr:to>
      <xdr:col>3</xdr:col>
      <xdr:colOff>1552575</xdr:colOff>
      <xdr:row>472</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38100</xdr:rowOff>
    </xdr:from>
    <xdr:to>
      <xdr:col>3</xdr:col>
      <xdr:colOff>1552575</xdr:colOff>
      <xdr:row>475</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479</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38100</xdr:rowOff>
    </xdr:from>
    <xdr:to>
      <xdr:col>3</xdr:col>
      <xdr:colOff>1552575</xdr:colOff>
      <xdr:row>481</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482</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38100</xdr:rowOff>
    </xdr:from>
    <xdr:to>
      <xdr:col>3</xdr:col>
      <xdr:colOff>1552575</xdr:colOff>
      <xdr:row>484</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487</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38100</xdr:rowOff>
    </xdr:from>
    <xdr:to>
      <xdr:col>3</xdr:col>
      <xdr:colOff>1552575</xdr:colOff>
      <xdr:row>489</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493</xdr:row>
      <xdr:rowOff>419100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494</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38100</xdr:rowOff>
    </xdr:from>
    <xdr:to>
      <xdr:col>3</xdr:col>
      <xdr:colOff>1552575</xdr:colOff>
      <xdr:row>496</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38100</xdr:rowOff>
    </xdr:from>
    <xdr:to>
      <xdr:col>3</xdr:col>
      <xdr:colOff>1552575</xdr:colOff>
      <xdr:row>498</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38100</xdr:rowOff>
    </xdr:from>
    <xdr:to>
      <xdr:col>3</xdr:col>
      <xdr:colOff>1552575</xdr:colOff>
      <xdr:row>500</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504</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505</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506</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507</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508</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38100</xdr:rowOff>
    </xdr:from>
    <xdr:to>
      <xdr:col>3</xdr:col>
      <xdr:colOff>1552575</xdr:colOff>
      <xdr:row>511</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514</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38100</xdr:rowOff>
    </xdr:from>
    <xdr:to>
      <xdr:col>3</xdr:col>
      <xdr:colOff>1552575</xdr:colOff>
      <xdr:row>519</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38100</xdr:rowOff>
    </xdr:from>
    <xdr:to>
      <xdr:col>3</xdr:col>
      <xdr:colOff>1552575</xdr:colOff>
      <xdr:row>521</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38100</xdr:rowOff>
    </xdr:from>
    <xdr:to>
      <xdr:col>3</xdr:col>
      <xdr:colOff>1552575</xdr:colOff>
      <xdr:row>524</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525</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526</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531</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540</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545</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549</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552</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38100</xdr:rowOff>
    </xdr:from>
    <xdr:to>
      <xdr:col>3</xdr:col>
      <xdr:colOff>1552575</xdr:colOff>
      <xdr:row>555</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556</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557</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560</xdr:row>
      <xdr:rowOff>419100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38100</xdr:rowOff>
    </xdr:from>
    <xdr:to>
      <xdr:col>3</xdr:col>
      <xdr:colOff>1552575</xdr:colOff>
      <xdr:row>563</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38100</xdr:rowOff>
    </xdr:from>
    <xdr:to>
      <xdr:col>3</xdr:col>
      <xdr:colOff>1552575</xdr:colOff>
      <xdr:row>565</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566</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567</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568</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569</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570</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571</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572</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38100</xdr:rowOff>
    </xdr:from>
    <xdr:to>
      <xdr:col>3</xdr:col>
      <xdr:colOff>1552575</xdr:colOff>
      <xdr:row>574</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575</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578</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579</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581</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582</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38100</xdr:rowOff>
    </xdr:from>
    <xdr:to>
      <xdr:col>3</xdr:col>
      <xdr:colOff>1552575</xdr:colOff>
      <xdr:row>584</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587</xdr:row>
      <xdr:rowOff>419100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590</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591</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38100</xdr:rowOff>
    </xdr:from>
    <xdr:to>
      <xdr:col>3</xdr:col>
      <xdr:colOff>1552575</xdr:colOff>
      <xdr:row>594</xdr:row>
      <xdr:rowOff>638175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597</xdr:row>
      <xdr:rowOff>419100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600</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603</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606</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612</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621</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634</xdr:row>
      <xdr:rowOff>133350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647</xdr:row>
      <xdr:rowOff>133350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659</xdr:row>
      <xdr:rowOff>133350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672</xdr:row>
      <xdr:rowOff>133350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685</xdr:row>
      <xdr:rowOff>133350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698</xdr:row>
      <xdr:rowOff>133350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705</xdr:row>
      <xdr:rowOff>209550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710</xdr:row>
      <xdr:rowOff>333375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711</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712</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721</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733</xdr:row>
      <xdr:rowOff>133350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739</xdr:row>
      <xdr:rowOff>419100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745</xdr:row>
      <xdr:rowOff>209550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38100</xdr:rowOff>
    </xdr:from>
    <xdr:to>
      <xdr:col>3</xdr:col>
      <xdr:colOff>1552575</xdr:colOff>
      <xdr:row>747</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38100</xdr:rowOff>
    </xdr:from>
    <xdr:to>
      <xdr:col>3</xdr:col>
      <xdr:colOff>1552575</xdr:colOff>
      <xdr:row>749</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755</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756</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765</xdr:row>
      <xdr:rowOff>133350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768</xdr:row>
      <xdr:rowOff>419100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771</xdr:row>
      <xdr:rowOff>419100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778</xdr:row>
      <xdr:rowOff>171450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782</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788</xdr:row>
      <xdr:rowOff>209550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797</xdr:row>
      <xdr:rowOff>133350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815</xdr:row>
      <xdr:rowOff>133350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823</xdr:row>
      <xdr:rowOff>171450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829</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836</xdr:row>
      <xdr:rowOff>171450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38100</xdr:rowOff>
    </xdr:from>
    <xdr:to>
      <xdr:col>3</xdr:col>
      <xdr:colOff>1552575</xdr:colOff>
      <xdr:row>838</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847</xdr:row>
      <xdr:rowOff>133350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38100</xdr:rowOff>
    </xdr:from>
    <xdr:to>
      <xdr:col>3</xdr:col>
      <xdr:colOff>1552575</xdr:colOff>
      <xdr:row>851</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38100</xdr:rowOff>
    </xdr:from>
    <xdr:to>
      <xdr:col>3</xdr:col>
      <xdr:colOff>1552575</xdr:colOff>
      <xdr:row>853</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38100</xdr:rowOff>
    </xdr:from>
    <xdr:to>
      <xdr:col>3</xdr:col>
      <xdr:colOff>1552575</xdr:colOff>
      <xdr:row>857</xdr:row>
      <xdr:rowOff>638175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860</xdr:row>
      <xdr:rowOff>419100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863</xdr:row>
      <xdr:rowOff>419100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866</xdr:row>
      <xdr:rowOff>419100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874</xdr:row>
      <xdr:rowOff>152400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882</xdr:row>
      <xdr:rowOff>152400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891</xdr:row>
      <xdr:rowOff>133350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894</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38100</xdr:rowOff>
    </xdr:from>
    <xdr:to>
      <xdr:col>3</xdr:col>
      <xdr:colOff>1552575</xdr:colOff>
      <xdr:row>896</xdr:row>
      <xdr:rowOff>638175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904</xdr:row>
      <xdr:rowOff>152400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910</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918</xdr:row>
      <xdr:rowOff>152400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925</xdr:row>
      <xdr:rowOff>171450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930</xdr:row>
      <xdr:rowOff>333375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939</xdr:row>
      <xdr:rowOff>133350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940</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948</xdr:row>
      <xdr:rowOff>152400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952</xdr:row>
      <xdr:rowOff>209550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957</xdr:row>
      <xdr:rowOff>333375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964</xdr:row>
      <xdr:rowOff>171450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28575</xdr:rowOff>
    </xdr:from>
    <xdr:to>
      <xdr:col>3</xdr:col>
      <xdr:colOff>1552575</xdr:colOff>
      <xdr:row>967</xdr:row>
      <xdr:rowOff>419100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968</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973</xdr:row>
      <xdr:rowOff>333375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976</xdr:row>
      <xdr:rowOff>419100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985</xdr:row>
      <xdr:rowOff>133350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1001</xdr:row>
      <xdr:rowOff>133350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1007</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1008</xdr:row>
      <xdr:rowOff>28575</xdr:rowOff>
    </xdr:from>
    <xdr:to>
      <xdr:col>3</xdr:col>
      <xdr:colOff>1552575</xdr:colOff>
      <xdr:row>1014</xdr:row>
      <xdr:rowOff>171450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1021</xdr:row>
      <xdr:rowOff>171450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1027</xdr:row>
      <xdr:rowOff>209550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1031</xdr:row>
      <xdr:rowOff>209550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28575</xdr:rowOff>
    </xdr:from>
    <xdr:to>
      <xdr:col>3</xdr:col>
      <xdr:colOff>1552575</xdr:colOff>
      <xdr:row>1032</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1035</xdr:row>
      <xdr:rowOff>419100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38100</xdr:rowOff>
    </xdr:from>
    <xdr:to>
      <xdr:col>3</xdr:col>
      <xdr:colOff>1552575</xdr:colOff>
      <xdr:row>1037</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1038</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1044</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1053</xdr:row>
      <xdr:rowOff>133350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1056</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28575</xdr:rowOff>
    </xdr:from>
    <xdr:to>
      <xdr:col>3</xdr:col>
      <xdr:colOff>1552575</xdr:colOff>
      <xdr:row>1057</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1058</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1062</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1068</xdr:row>
      <xdr:rowOff>209550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1069</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1070</xdr:row>
      <xdr:rowOff>28575</xdr:rowOff>
    </xdr:from>
    <xdr:to>
      <xdr:col>3</xdr:col>
      <xdr:colOff>1552575</xdr:colOff>
      <xdr:row>1077</xdr:row>
      <xdr:rowOff>152400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1078</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28575</xdr:rowOff>
    </xdr:from>
    <xdr:to>
      <xdr:col>3</xdr:col>
      <xdr:colOff>1552575</xdr:colOff>
      <xdr:row>1086</xdr:row>
      <xdr:rowOff>152400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1087</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1096</xdr:row>
      <xdr:rowOff>133350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38100</xdr:rowOff>
    </xdr:from>
    <xdr:to>
      <xdr:col>3</xdr:col>
      <xdr:colOff>1552575</xdr:colOff>
      <xdr:row>1099</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1108</xdr:row>
      <xdr:rowOff>133350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38100</xdr:rowOff>
    </xdr:from>
    <xdr:to>
      <xdr:col>3</xdr:col>
      <xdr:colOff>1552575</xdr:colOff>
      <xdr:row>1111</xdr:row>
      <xdr:rowOff>638175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1112</xdr:row>
      <xdr:rowOff>28575</xdr:rowOff>
    </xdr:from>
    <xdr:to>
      <xdr:col>3</xdr:col>
      <xdr:colOff>1552575</xdr:colOff>
      <xdr:row>1118</xdr:row>
      <xdr:rowOff>171450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1122</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1125</xdr:row>
      <xdr:rowOff>419100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1134</xdr:row>
      <xdr:rowOff>133350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1139</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38100</xdr:rowOff>
    </xdr:from>
    <xdr:to>
      <xdr:col>3</xdr:col>
      <xdr:colOff>1552575</xdr:colOff>
      <xdr:row>1141</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1145</xdr:row>
      <xdr:rowOff>209550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1152</xdr:row>
      <xdr:rowOff>171450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1158</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1161</xdr:row>
      <xdr:rowOff>419100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1169</xdr:row>
      <xdr:rowOff>152400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38100</xdr:rowOff>
    </xdr:from>
    <xdr:to>
      <xdr:col>3</xdr:col>
      <xdr:colOff>1552575</xdr:colOff>
      <xdr:row>1171</xdr:row>
      <xdr:rowOff>638175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1180</xdr:row>
      <xdr:rowOff>133350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38100</xdr:rowOff>
    </xdr:from>
    <xdr:to>
      <xdr:col>3</xdr:col>
      <xdr:colOff>1552575</xdr:colOff>
      <xdr:row>1182</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1188</xdr:row>
      <xdr:rowOff>209550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1197</xdr:row>
      <xdr:rowOff>133350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1208</xdr:row>
      <xdr:rowOff>133350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1220</xdr:row>
      <xdr:rowOff>133350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1226</xdr:row>
      <xdr:rowOff>333375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1229</xdr:row>
      <xdr:rowOff>419100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38100</xdr:rowOff>
    </xdr:from>
    <xdr:to>
      <xdr:col>3</xdr:col>
      <xdr:colOff>1552575</xdr:colOff>
      <xdr:row>1231</xdr:row>
      <xdr:rowOff>638175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1232</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1236</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1237</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38100</xdr:rowOff>
    </xdr:from>
    <xdr:to>
      <xdr:col>3</xdr:col>
      <xdr:colOff>1552575</xdr:colOff>
      <xdr:row>1239</xdr:row>
      <xdr:rowOff>638175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1240</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1245</xdr:row>
      <xdr:rowOff>333375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1254</xdr:row>
      <xdr:rowOff>133350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38100</xdr:rowOff>
    </xdr:from>
    <xdr:to>
      <xdr:col>3</xdr:col>
      <xdr:colOff>1552575</xdr:colOff>
      <xdr:row>1260</xdr:row>
      <xdr:rowOff>638175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1261</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1270</xdr:row>
      <xdr:rowOff>133350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1278</xdr:row>
      <xdr:rowOff>171450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1290</xdr:row>
      <xdr:rowOff>133350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1300</xdr:row>
      <xdr:rowOff>171450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1308</xdr:row>
      <xdr:rowOff>171450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1312</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1315</xdr:row>
      <xdr:rowOff>419100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1319</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1326</xdr:row>
      <xdr:rowOff>171450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1330</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1339</xdr:row>
      <xdr:rowOff>133350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1342</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1343</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1348</xdr:row>
      <xdr:rowOff>333375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1349</xdr:row>
      <xdr:rowOff>28575</xdr:rowOff>
    </xdr:from>
    <xdr:to>
      <xdr:col>3</xdr:col>
      <xdr:colOff>1552575</xdr:colOff>
      <xdr:row>1349</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1354</xdr:row>
      <xdr:rowOff>333375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1357</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1362</xdr:row>
      <xdr:rowOff>333375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1370</xdr:row>
      <xdr:rowOff>152400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1373</xdr:row>
      <xdr:rowOff>419100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1382</xdr:row>
      <xdr:rowOff>133350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1387</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1390</xdr:row>
      <xdr:rowOff>419100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1391</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1394</xdr:row>
      <xdr:rowOff>419100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1404</xdr:row>
      <xdr:rowOff>133350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1416</xdr:row>
      <xdr:rowOff>133350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1427</xdr:row>
      <xdr:rowOff>152400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1432</xdr:row>
      <xdr:rowOff>333375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1442</xdr:row>
      <xdr:rowOff>133350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1455</xdr:row>
      <xdr:rowOff>209550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1458</xdr:row>
      <xdr:rowOff>419100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1462</xdr:row>
      <xdr:rowOff>419100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1471</xdr:row>
      <xdr:rowOff>133350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1476</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1480</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1486</xdr:row>
      <xdr:rowOff>209550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1489</xdr:row>
      <xdr:rowOff>419100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1493</xdr:row>
      <xdr:rowOff>209550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38100</xdr:rowOff>
    </xdr:from>
    <xdr:to>
      <xdr:col>3</xdr:col>
      <xdr:colOff>1552575</xdr:colOff>
      <xdr:row>1495</xdr:row>
      <xdr:rowOff>638175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1502</xdr:row>
      <xdr:rowOff>209550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1511</xdr:row>
      <xdr:rowOff>133350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1526</xdr:row>
      <xdr:rowOff>152400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1531</xdr:row>
      <xdr:rowOff>333375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38100</xdr:rowOff>
    </xdr:from>
    <xdr:to>
      <xdr:col>3</xdr:col>
      <xdr:colOff>1552575</xdr:colOff>
      <xdr:row>1534</xdr:row>
      <xdr:rowOff>638175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1542</xdr:row>
      <xdr:rowOff>152400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1551</xdr:row>
      <xdr:rowOff>133350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1556</xdr:row>
      <xdr:rowOff>419100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1559</xdr:row>
      <xdr:rowOff>419100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1567</xdr:row>
      <xdr:rowOff>152400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1570</xdr:row>
      <xdr:rowOff>419100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1579</xdr:row>
      <xdr:rowOff>133350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1588</xdr:row>
      <xdr:rowOff>171450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1591</xdr:row>
      <xdr:rowOff>419100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38100</xdr:rowOff>
    </xdr:from>
    <xdr:to>
      <xdr:col>3</xdr:col>
      <xdr:colOff>1552575</xdr:colOff>
      <xdr:row>1593</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1599</xdr:row>
      <xdr:rowOff>209550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1605</xdr:row>
      <xdr:rowOff>333375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38100</xdr:rowOff>
    </xdr:from>
    <xdr:to>
      <xdr:col>3</xdr:col>
      <xdr:colOff>1552575</xdr:colOff>
      <xdr:row>1607</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1613</xdr:row>
      <xdr:rowOff>209550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1614</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1617</xdr:row>
      <xdr:rowOff>419100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1620</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1626</xdr:row>
      <xdr:rowOff>209550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1632</xdr:row>
      <xdr:rowOff>209550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1635</xdr:row>
      <xdr:rowOff>419100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1641</xdr:row>
      <xdr:rowOff>333375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1647</xdr:row>
      <xdr:rowOff>209550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1652</xdr:row>
      <xdr:rowOff>333375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1661</xdr:row>
      <xdr:rowOff>133350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38100</xdr:rowOff>
    </xdr:from>
    <xdr:to>
      <xdr:col>3</xdr:col>
      <xdr:colOff>1552575</xdr:colOff>
      <xdr:row>1667</xdr:row>
      <xdr:rowOff>638175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38100</xdr:rowOff>
    </xdr:from>
    <xdr:to>
      <xdr:col>3</xdr:col>
      <xdr:colOff>1552575</xdr:colOff>
      <xdr:row>1670</xdr:row>
      <xdr:rowOff>638175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38100</xdr:rowOff>
    </xdr:from>
    <xdr:to>
      <xdr:col>3</xdr:col>
      <xdr:colOff>1552575</xdr:colOff>
      <xdr:row>1672</xdr:row>
      <xdr:rowOff>638175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1681</xdr:row>
      <xdr:rowOff>133350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1692</xdr:row>
      <xdr:rowOff>133350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1702</xdr:row>
      <xdr:rowOff>171450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38100</xdr:rowOff>
    </xdr:from>
    <xdr:to>
      <xdr:col>3</xdr:col>
      <xdr:colOff>1552575</xdr:colOff>
      <xdr:row>1704</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1705</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1706</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1707</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1708</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1709</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1712</xdr:row>
      <xdr:rowOff>419100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38100</xdr:rowOff>
    </xdr:from>
    <xdr:to>
      <xdr:col>3</xdr:col>
      <xdr:colOff>1552575</xdr:colOff>
      <xdr:row>1714</xdr:row>
      <xdr:rowOff>638175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38100</xdr:rowOff>
    </xdr:from>
    <xdr:to>
      <xdr:col>3</xdr:col>
      <xdr:colOff>1552575</xdr:colOff>
      <xdr:row>1716</xdr:row>
      <xdr:rowOff>638175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28575</xdr:rowOff>
    </xdr:from>
    <xdr:to>
      <xdr:col>3</xdr:col>
      <xdr:colOff>1552575</xdr:colOff>
      <xdr:row>1717</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1723</xdr:row>
      <xdr:rowOff>209550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38100</xdr:rowOff>
    </xdr:from>
    <xdr:to>
      <xdr:col>3</xdr:col>
      <xdr:colOff>1552575</xdr:colOff>
      <xdr:row>1725</xdr:row>
      <xdr:rowOff>638175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38100</xdr:rowOff>
    </xdr:from>
    <xdr:to>
      <xdr:col>3</xdr:col>
      <xdr:colOff>1552575</xdr:colOff>
      <xdr:row>1727</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1730</xdr:row>
      <xdr:rowOff>419100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1733</xdr:row>
      <xdr:rowOff>419100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1736</xdr:row>
      <xdr:rowOff>419100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38100</xdr:rowOff>
    </xdr:from>
    <xdr:to>
      <xdr:col>3</xdr:col>
      <xdr:colOff>1552575</xdr:colOff>
      <xdr:row>1738</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1739</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1743</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28575</xdr:rowOff>
    </xdr:from>
    <xdr:to>
      <xdr:col>3</xdr:col>
      <xdr:colOff>1552575</xdr:colOff>
      <xdr:row>1744</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1745</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1753</xdr:row>
      <xdr:rowOff>419100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1757</xdr:row>
      <xdr:rowOff>419100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1760</xdr:row>
      <xdr:rowOff>419100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1761</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1764</xdr:row>
      <xdr:rowOff>419100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1768</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1772</xdr:row>
      <xdr:rowOff>209550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1775</xdr:row>
      <xdr:rowOff>419100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1780</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1784</xdr:row>
      <xdr:rowOff>209550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1788</xdr:row>
      <xdr:rowOff>209550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1792</xdr:row>
      <xdr:rowOff>419100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38100</xdr:rowOff>
    </xdr:from>
    <xdr:to>
      <xdr:col>3</xdr:col>
      <xdr:colOff>1552575</xdr:colOff>
      <xdr:row>1794</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1795</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1796</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1798</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38100</xdr:rowOff>
    </xdr:from>
    <xdr:to>
      <xdr:col>3</xdr:col>
      <xdr:colOff>1552575</xdr:colOff>
      <xdr:row>1800</xdr:row>
      <xdr:rowOff>638175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38100</xdr:rowOff>
    </xdr:from>
    <xdr:to>
      <xdr:col>3</xdr:col>
      <xdr:colOff>1552575</xdr:colOff>
      <xdr:row>1802</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1805</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1806</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1807</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1810</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1811</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1812</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28575</xdr:rowOff>
    </xdr:from>
    <xdr:to>
      <xdr:col>3</xdr:col>
      <xdr:colOff>1552575</xdr:colOff>
      <xdr:row>1813</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1818</xdr:row>
      <xdr:rowOff>333375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1823</xdr:row>
      <xdr:rowOff>333375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1828</xdr:row>
      <xdr:rowOff>333375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1829</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28575</xdr:rowOff>
    </xdr:from>
    <xdr:to>
      <xdr:col>3</xdr:col>
      <xdr:colOff>1552575</xdr:colOff>
      <xdr:row>1833</xdr:row>
      <xdr:rowOff>209550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1834</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1835</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1836</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1837</xdr:row>
      <xdr:rowOff>28575</xdr:rowOff>
    </xdr:from>
    <xdr:to>
      <xdr:col>3</xdr:col>
      <xdr:colOff>1552575</xdr:colOff>
      <xdr:row>1837</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1838</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1839</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28575</xdr:rowOff>
    </xdr:from>
    <xdr:to>
      <xdr:col>3</xdr:col>
      <xdr:colOff>1552575</xdr:colOff>
      <xdr:row>1840</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38100</xdr:rowOff>
    </xdr:from>
    <xdr:to>
      <xdr:col>3</xdr:col>
      <xdr:colOff>1552575</xdr:colOff>
      <xdr:row>1842</xdr:row>
      <xdr:rowOff>638175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28575</xdr:rowOff>
    </xdr:from>
    <xdr:to>
      <xdr:col>3</xdr:col>
      <xdr:colOff>1552575</xdr:colOff>
      <xdr:row>1843</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38100</xdr:rowOff>
    </xdr:from>
    <xdr:to>
      <xdr:col>3</xdr:col>
      <xdr:colOff>1552575</xdr:colOff>
      <xdr:row>1845</xdr:row>
      <xdr:rowOff>638175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38100</xdr:rowOff>
    </xdr:from>
    <xdr:to>
      <xdr:col>3</xdr:col>
      <xdr:colOff>1552575</xdr:colOff>
      <xdr:row>1847</xdr:row>
      <xdr:rowOff>638175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28575</xdr:rowOff>
    </xdr:from>
    <xdr:to>
      <xdr:col>3</xdr:col>
      <xdr:colOff>1552575</xdr:colOff>
      <xdr:row>1848</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1849</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1850</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1851</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28575</xdr:rowOff>
    </xdr:from>
    <xdr:to>
      <xdr:col>3</xdr:col>
      <xdr:colOff>1552575</xdr:colOff>
      <xdr:row>1852</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1853</xdr:row>
      <xdr:rowOff>28575</xdr:rowOff>
    </xdr:from>
    <xdr:to>
      <xdr:col>3</xdr:col>
      <xdr:colOff>1552575</xdr:colOff>
      <xdr:row>1853</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1854</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28575</xdr:rowOff>
    </xdr:from>
    <xdr:to>
      <xdr:col>3</xdr:col>
      <xdr:colOff>1552575</xdr:colOff>
      <xdr:row>1855</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1856</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1857</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1858</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1859</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1860</xdr:row>
      <xdr:rowOff>28575</xdr:rowOff>
    </xdr:from>
    <xdr:to>
      <xdr:col>3</xdr:col>
      <xdr:colOff>1552575</xdr:colOff>
      <xdr:row>1863</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1864</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1865</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1866</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28575</xdr:rowOff>
    </xdr:from>
    <xdr:to>
      <xdr:col>3</xdr:col>
      <xdr:colOff>1552575</xdr:colOff>
      <xdr:row>1869</xdr:row>
      <xdr:rowOff>419100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1872</xdr:row>
      <xdr:rowOff>419100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38100</xdr:rowOff>
    </xdr:from>
    <xdr:to>
      <xdr:col>3</xdr:col>
      <xdr:colOff>1552575</xdr:colOff>
      <xdr:row>1874</xdr:row>
      <xdr:rowOff>638175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1877</xdr:row>
      <xdr:rowOff>419100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1878</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38100</xdr:rowOff>
    </xdr:from>
    <xdr:to>
      <xdr:col>3</xdr:col>
      <xdr:colOff>1552575</xdr:colOff>
      <xdr:row>1880</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1885</xdr:row>
      <xdr:rowOff>333375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38100</xdr:rowOff>
    </xdr:from>
    <xdr:to>
      <xdr:col>3</xdr:col>
      <xdr:colOff>1552575</xdr:colOff>
      <xdr:row>1888</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1889</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1890</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1891</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28575</xdr:rowOff>
    </xdr:from>
    <xdr:to>
      <xdr:col>3</xdr:col>
      <xdr:colOff>1552575</xdr:colOff>
      <xdr:row>1892</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1893</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1894</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1895</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1896</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1900</xdr:row>
      <xdr:rowOff>209550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1905</xdr:row>
      <xdr:rowOff>333375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1909</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1910</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28575</xdr:rowOff>
    </xdr:from>
    <xdr:to>
      <xdr:col>3</xdr:col>
      <xdr:colOff>1552575</xdr:colOff>
      <xdr:row>1911</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1916</xdr:row>
      <xdr:rowOff>419100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1922</xdr:row>
      <xdr:rowOff>209550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38100</xdr:rowOff>
    </xdr:from>
    <xdr:to>
      <xdr:col>3</xdr:col>
      <xdr:colOff>1552575</xdr:colOff>
      <xdr:row>1924</xdr:row>
      <xdr:rowOff>638175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38100</xdr:rowOff>
    </xdr:from>
    <xdr:to>
      <xdr:col>3</xdr:col>
      <xdr:colOff>1552575</xdr:colOff>
      <xdr:row>1926</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38100</xdr:rowOff>
    </xdr:from>
    <xdr:to>
      <xdr:col>3</xdr:col>
      <xdr:colOff>1552575</xdr:colOff>
      <xdr:row>1930</xdr:row>
      <xdr:rowOff>638175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1931</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1932</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1934</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38100</xdr:rowOff>
    </xdr:from>
    <xdr:to>
      <xdr:col>3</xdr:col>
      <xdr:colOff>1552575</xdr:colOff>
      <xdr:row>1936</xdr:row>
      <xdr:rowOff>638175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38100</xdr:rowOff>
    </xdr:from>
    <xdr:to>
      <xdr:col>3</xdr:col>
      <xdr:colOff>1552575</xdr:colOff>
      <xdr:row>1938</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38100</xdr:rowOff>
    </xdr:from>
    <xdr:to>
      <xdr:col>3</xdr:col>
      <xdr:colOff>1552575</xdr:colOff>
      <xdr:row>1940</xdr:row>
      <xdr:rowOff>638175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1943</xdr:row>
      <xdr:rowOff>419100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38100</xdr:rowOff>
    </xdr:from>
    <xdr:to>
      <xdr:col>3</xdr:col>
      <xdr:colOff>1552575</xdr:colOff>
      <xdr:row>1948</xdr:row>
      <xdr:rowOff>638175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1950</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38100</xdr:rowOff>
    </xdr:from>
    <xdr:to>
      <xdr:col>3</xdr:col>
      <xdr:colOff>1552575</xdr:colOff>
      <xdr:row>1952</xdr:row>
      <xdr:rowOff>638175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38100</xdr:rowOff>
    </xdr:from>
    <xdr:to>
      <xdr:col>3</xdr:col>
      <xdr:colOff>1552575</xdr:colOff>
      <xdr:row>1954</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1955</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1956</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1957</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1960</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1963</xdr:row>
      <xdr:rowOff>419100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1965</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1966</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1968</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1969</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1970</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1971</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1972</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1973</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1976</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38100</xdr:rowOff>
    </xdr:from>
    <xdr:to>
      <xdr:col>3</xdr:col>
      <xdr:colOff>1552575</xdr:colOff>
      <xdr:row>1978</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38100</xdr:rowOff>
    </xdr:from>
    <xdr:to>
      <xdr:col>3</xdr:col>
      <xdr:colOff>1552575</xdr:colOff>
      <xdr:row>1980</xdr:row>
      <xdr:rowOff>638175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1983</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38100</xdr:rowOff>
    </xdr:from>
    <xdr:to>
      <xdr:col>3</xdr:col>
      <xdr:colOff>1552575</xdr:colOff>
      <xdr:row>1985</xdr:row>
      <xdr:rowOff>638175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38100</xdr:rowOff>
    </xdr:from>
    <xdr:to>
      <xdr:col>3</xdr:col>
      <xdr:colOff>1552575</xdr:colOff>
      <xdr:row>1987</xdr:row>
      <xdr:rowOff>638175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1990</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1995</xdr:row>
      <xdr:rowOff>333375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1999</xdr:row>
      <xdr:rowOff>209550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28575</xdr:rowOff>
    </xdr:from>
    <xdr:to>
      <xdr:col>3</xdr:col>
      <xdr:colOff>1552575</xdr:colOff>
      <xdr:row>2000</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2001</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38100</xdr:rowOff>
    </xdr:from>
    <xdr:to>
      <xdr:col>3</xdr:col>
      <xdr:colOff>1552575</xdr:colOff>
      <xdr:row>2003</xdr:row>
      <xdr:rowOff>638175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2006</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38100</xdr:rowOff>
    </xdr:from>
    <xdr:to>
      <xdr:col>3</xdr:col>
      <xdr:colOff>1552575</xdr:colOff>
      <xdr:row>2008</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28575</xdr:rowOff>
    </xdr:from>
    <xdr:to>
      <xdr:col>3</xdr:col>
      <xdr:colOff>1552575</xdr:colOff>
      <xdr:row>2012</xdr:row>
      <xdr:rowOff>209550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2016</xdr:row>
      <xdr:rowOff>209550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2021</xdr:row>
      <xdr:rowOff>333375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2026</xdr:row>
      <xdr:rowOff>333375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28575</xdr:rowOff>
    </xdr:from>
    <xdr:to>
      <xdr:col>3</xdr:col>
      <xdr:colOff>1552575</xdr:colOff>
      <xdr:row>2027</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2031</xdr:row>
      <xdr:rowOff>209550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2034</xdr:row>
      <xdr:rowOff>419100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2037</xdr:row>
      <xdr:rowOff>419100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2041</xdr:row>
      <xdr:rowOff>209550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2042</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2043</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28575</xdr:rowOff>
    </xdr:from>
    <xdr:to>
      <xdr:col>3</xdr:col>
      <xdr:colOff>1552575</xdr:colOff>
      <xdr:row>2044</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2045</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2049</xdr:row>
      <xdr:rowOff>209550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38100</xdr:rowOff>
    </xdr:from>
    <xdr:to>
      <xdr:col>3</xdr:col>
      <xdr:colOff>1552575</xdr:colOff>
      <xdr:row>2055</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28575</xdr:rowOff>
    </xdr:from>
    <xdr:to>
      <xdr:col>3</xdr:col>
      <xdr:colOff>1552575</xdr:colOff>
      <xdr:row>2056</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2060</xdr:row>
      <xdr:rowOff>209550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38100</xdr:rowOff>
    </xdr:from>
    <xdr:to>
      <xdr:col>3</xdr:col>
      <xdr:colOff>1552575</xdr:colOff>
      <xdr:row>2063</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2067</xdr:row>
      <xdr:rowOff>209550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38100</xdr:rowOff>
    </xdr:from>
    <xdr:to>
      <xdr:col>3</xdr:col>
      <xdr:colOff>1552575</xdr:colOff>
      <xdr:row>2072</xdr:row>
      <xdr:rowOff>638175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2075</xdr:row>
      <xdr:rowOff>419100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38100</xdr:rowOff>
    </xdr:from>
    <xdr:to>
      <xdr:col>3</xdr:col>
      <xdr:colOff>1552575</xdr:colOff>
      <xdr:row>2077</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2080</xdr:row>
      <xdr:rowOff>419100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38100</xdr:rowOff>
    </xdr:from>
    <xdr:to>
      <xdr:col>3</xdr:col>
      <xdr:colOff>1552575</xdr:colOff>
      <xdr:row>2082</xdr:row>
      <xdr:rowOff>638175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2085</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2090</xdr:row>
      <xdr:rowOff>333375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2094</xdr:row>
      <xdr:rowOff>209550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38100</xdr:rowOff>
    </xdr:from>
    <xdr:to>
      <xdr:col>3</xdr:col>
      <xdr:colOff>1552575</xdr:colOff>
      <xdr:row>2096</xdr:row>
      <xdr:rowOff>638175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2100</xdr:row>
      <xdr:rowOff>209550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38100</xdr:rowOff>
    </xdr:from>
    <xdr:to>
      <xdr:col>3</xdr:col>
      <xdr:colOff>1552575</xdr:colOff>
      <xdr:row>2102</xdr:row>
      <xdr:rowOff>638175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2105</xdr:row>
      <xdr:rowOff>419100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38100</xdr:rowOff>
    </xdr:from>
    <xdr:to>
      <xdr:col>3</xdr:col>
      <xdr:colOff>1552575</xdr:colOff>
      <xdr:row>2107</xdr:row>
      <xdr:rowOff>638175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38100</xdr:rowOff>
    </xdr:from>
    <xdr:to>
      <xdr:col>3</xdr:col>
      <xdr:colOff>1552575</xdr:colOff>
      <xdr:row>2109</xdr:row>
      <xdr:rowOff>638175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38100</xdr:rowOff>
    </xdr:from>
    <xdr:to>
      <xdr:col>3</xdr:col>
      <xdr:colOff>1552575</xdr:colOff>
      <xdr:row>2111</xdr:row>
      <xdr:rowOff>638175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2114</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38100</xdr:rowOff>
    </xdr:from>
    <xdr:to>
      <xdr:col>3</xdr:col>
      <xdr:colOff>1552575</xdr:colOff>
      <xdr:row>2116</xdr:row>
      <xdr:rowOff>638175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2117</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2120</xdr:row>
      <xdr:rowOff>419100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38100</xdr:rowOff>
    </xdr:from>
    <xdr:to>
      <xdr:col>3</xdr:col>
      <xdr:colOff>1552575</xdr:colOff>
      <xdr:row>2123</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2125</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2128</xdr:row>
      <xdr:rowOff>419100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2129</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2132</xdr:row>
      <xdr:rowOff>419100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2133</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38100</xdr:rowOff>
    </xdr:from>
    <xdr:to>
      <xdr:col>3</xdr:col>
      <xdr:colOff>1552575</xdr:colOff>
      <xdr:row>2135</xdr:row>
      <xdr:rowOff>638175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2136</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2137</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28575</xdr:rowOff>
    </xdr:from>
    <xdr:to>
      <xdr:col>3</xdr:col>
      <xdr:colOff>1552575</xdr:colOff>
      <xdr:row>2138</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2142</xdr:row>
      <xdr:rowOff>209550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28575</xdr:rowOff>
    </xdr:from>
    <xdr:to>
      <xdr:col>3</xdr:col>
      <xdr:colOff>1552575</xdr:colOff>
      <xdr:row>2143</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2144</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2145</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2146</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2147</xdr:row>
      <xdr:rowOff>28575</xdr:rowOff>
    </xdr:from>
    <xdr:to>
      <xdr:col>3</xdr:col>
      <xdr:colOff>1552575</xdr:colOff>
      <xdr:row>2149</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2150</xdr:row>
      <xdr:rowOff>38100</xdr:rowOff>
    </xdr:from>
    <xdr:to>
      <xdr:col>3</xdr:col>
      <xdr:colOff>1552575</xdr:colOff>
      <xdr:row>2151</xdr:row>
      <xdr:rowOff>638175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2152</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38100</xdr:rowOff>
    </xdr:from>
    <xdr:to>
      <xdr:col>3</xdr:col>
      <xdr:colOff>1552575</xdr:colOff>
      <xdr:row>2154</xdr:row>
      <xdr:rowOff>638175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2158</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28575</xdr:rowOff>
    </xdr:from>
    <xdr:to>
      <xdr:col>3</xdr:col>
      <xdr:colOff>1552575</xdr:colOff>
      <xdr:row>2162</xdr:row>
      <xdr:rowOff>209550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2163</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2164</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28575</xdr:rowOff>
    </xdr:from>
    <xdr:to>
      <xdr:col>3</xdr:col>
      <xdr:colOff>1552575</xdr:colOff>
      <xdr:row>2165</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28575</xdr:rowOff>
    </xdr:from>
    <xdr:to>
      <xdr:col>3</xdr:col>
      <xdr:colOff>1552575</xdr:colOff>
      <xdr:row>2166</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28575</xdr:rowOff>
    </xdr:from>
    <xdr:to>
      <xdr:col>3</xdr:col>
      <xdr:colOff>1552575</xdr:colOff>
      <xdr:row>2167</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28575</xdr:rowOff>
    </xdr:from>
    <xdr:to>
      <xdr:col>3</xdr:col>
      <xdr:colOff>1552575</xdr:colOff>
      <xdr:row>2168</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2169</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2170</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28575</xdr:rowOff>
    </xdr:from>
    <xdr:to>
      <xdr:col>3</xdr:col>
      <xdr:colOff>1552575</xdr:colOff>
      <xdr:row>2171</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2172</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2173</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2174</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2175</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28575</xdr:rowOff>
    </xdr:from>
    <xdr:to>
      <xdr:col>3</xdr:col>
      <xdr:colOff>1552575</xdr:colOff>
      <xdr:row>2176</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2177</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2179</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2180</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2181</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2182</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2183</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2184</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38100</xdr:rowOff>
    </xdr:from>
    <xdr:to>
      <xdr:col>3</xdr:col>
      <xdr:colOff>1552575</xdr:colOff>
      <xdr:row>2186</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2187</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28575</xdr:rowOff>
    </xdr:from>
    <xdr:to>
      <xdr:col>3</xdr:col>
      <xdr:colOff>1552575</xdr:colOff>
      <xdr:row>2188</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2189</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2190</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2191</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2192</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38100</xdr:rowOff>
    </xdr:from>
    <xdr:to>
      <xdr:col>3</xdr:col>
      <xdr:colOff>1552575</xdr:colOff>
      <xdr:row>2194</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2198</xdr:row>
      <xdr:rowOff>209550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28575</xdr:rowOff>
    </xdr:from>
    <xdr:to>
      <xdr:col>3</xdr:col>
      <xdr:colOff>1552575</xdr:colOff>
      <xdr:row>2199</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28575</xdr:rowOff>
    </xdr:from>
    <xdr:to>
      <xdr:col>3</xdr:col>
      <xdr:colOff>1552575</xdr:colOff>
      <xdr:row>2203</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2204</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38100</xdr:rowOff>
    </xdr:from>
    <xdr:to>
      <xdr:col>3</xdr:col>
      <xdr:colOff>1552575</xdr:colOff>
      <xdr:row>2206</xdr:row>
      <xdr:rowOff>638175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2207</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2211</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28575</xdr:rowOff>
    </xdr:from>
    <xdr:to>
      <xdr:col>3</xdr:col>
      <xdr:colOff>1552575</xdr:colOff>
      <xdr:row>2214</xdr:row>
      <xdr:rowOff>419100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2215</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2216</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38100</xdr:rowOff>
    </xdr:from>
    <xdr:to>
      <xdr:col>3</xdr:col>
      <xdr:colOff>1552575</xdr:colOff>
      <xdr:row>2218</xdr:row>
      <xdr:rowOff>638175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38100</xdr:rowOff>
    </xdr:from>
    <xdr:to>
      <xdr:col>3</xdr:col>
      <xdr:colOff>1552575</xdr:colOff>
      <xdr:row>2220</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2221</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2224</xdr:row>
      <xdr:rowOff>419100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28575</xdr:rowOff>
    </xdr:from>
    <xdr:to>
      <xdr:col>3</xdr:col>
      <xdr:colOff>1552575</xdr:colOff>
      <xdr:row>2225</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2226</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38100</xdr:rowOff>
    </xdr:from>
    <xdr:to>
      <xdr:col>3</xdr:col>
      <xdr:colOff>1552575</xdr:colOff>
      <xdr:row>2228</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2232</xdr:row>
      <xdr:rowOff>209550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38100</xdr:rowOff>
    </xdr:from>
    <xdr:to>
      <xdr:col>3</xdr:col>
      <xdr:colOff>1552575</xdr:colOff>
      <xdr:row>2234</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38100</xdr:rowOff>
    </xdr:from>
    <xdr:to>
      <xdr:col>3</xdr:col>
      <xdr:colOff>1552575</xdr:colOff>
      <xdr:row>2236</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2237</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38100</xdr:rowOff>
    </xdr:from>
    <xdr:to>
      <xdr:col>3</xdr:col>
      <xdr:colOff>1552575</xdr:colOff>
      <xdr:row>2239</xdr:row>
      <xdr:rowOff>638175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38100</xdr:rowOff>
    </xdr:from>
    <xdr:to>
      <xdr:col>3</xdr:col>
      <xdr:colOff>1552575</xdr:colOff>
      <xdr:row>2241</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38100</xdr:rowOff>
    </xdr:from>
    <xdr:to>
      <xdr:col>3</xdr:col>
      <xdr:colOff>1552575</xdr:colOff>
      <xdr:row>2243</xdr:row>
      <xdr:rowOff>638175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2244</xdr:row>
      <xdr:rowOff>28575</xdr:rowOff>
    </xdr:from>
    <xdr:to>
      <xdr:col>3</xdr:col>
      <xdr:colOff>1552575</xdr:colOff>
      <xdr:row>2246</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2250</xdr:row>
      <xdr:rowOff>209550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2254</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2255</xdr:row>
      <xdr:rowOff>28575</xdr:rowOff>
    </xdr:from>
    <xdr:to>
      <xdr:col>3</xdr:col>
      <xdr:colOff>1552575</xdr:colOff>
      <xdr:row>2257</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2258</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38100</xdr:rowOff>
    </xdr:from>
    <xdr:to>
      <xdr:col>3</xdr:col>
      <xdr:colOff>1552575</xdr:colOff>
      <xdr:row>2260</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2261</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38100</xdr:rowOff>
    </xdr:from>
    <xdr:to>
      <xdr:col>3</xdr:col>
      <xdr:colOff>1552575</xdr:colOff>
      <xdr:row>2263</xdr:row>
      <xdr:rowOff>638175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2267</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2270</xdr:row>
      <xdr:rowOff>419100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2274</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38100</xdr:rowOff>
    </xdr:from>
    <xdr:to>
      <xdr:col>3</xdr:col>
      <xdr:colOff>1552575</xdr:colOff>
      <xdr:row>2276</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38100</xdr:rowOff>
    </xdr:from>
    <xdr:to>
      <xdr:col>3</xdr:col>
      <xdr:colOff>1552575</xdr:colOff>
      <xdr:row>2278</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38100</xdr:rowOff>
    </xdr:from>
    <xdr:to>
      <xdr:col>3</xdr:col>
      <xdr:colOff>1552575</xdr:colOff>
      <xdr:row>2280</xdr:row>
      <xdr:rowOff>638175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2281</xdr:row>
      <xdr:rowOff>28575</xdr:rowOff>
    </xdr:from>
    <xdr:to>
      <xdr:col>3</xdr:col>
      <xdr:colOff>1552575</xdr:colOff>
      <xdr:row>2281</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2284</xdr:row>
      <xdr:rowOff>419100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2288</xdr:row>
      <xdr:rowOff>209550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2292</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2296</xdr:row>
      <xdr:rowOff>209550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2300</xdr:row>
      <xdr:rowOff>209550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2301</xdr:row>
      <xdr:rowOff>28575</xdr:rowOff>
    </xdr:from>
    <xdr:to>
      <xdr:col>3</xdr:col>
      <xdr:colOff>1552575</xdr:colOff>
      <xdr:row>2304</xdr:row>
      <xdr:rowOff>209550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2305</xdr:row>
      <xdr:rowOff>28575</xdr:rowOff>
    </xdr:from>
    <xdr:to>
      <xdr:col>3</xdr:col>
      <xdr:colOff>1552575</xdr:colOff>
      <xdr:row>2309</xdr:row>
      <xdr:rowOff>333375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2314</xdr:row>
      <xdr:rowOff>333375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2315</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2319</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2320</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2325</xdr:row>
      <xdr:rowOff>333375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38100</xdr:rowOff>
    </xdr:from>
    <xdr:to>
      <xdr:col>3</xdr:col>
      <xdr:colOff>1552575</xdr:colOff>
      <xdr:row>2327</xdr:row>
      <xdr:rowOff>638175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2330</xdr:row>
      <xdr:rowOff>419100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2331</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38100</xdr:rowOff>
    </xdr:from>
    <xdr:to>
      <xdr:col>3</xdr:col>
      <xdr:colOff>1552575</xdr:colOff>
      <xdr:row>2336</xdr:row>
      <xdr:rowOff>638175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2337</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28575</xdr:rowOff>
    </xdr:from>
    <xdr:to>
      <xdr:col>3</xdr:col>
      <xdr:colOff>1552575</xdr:colOff>
      <xdr:row>2340</xdr:row>
      <xdr:rowOff>419100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2344</xdr:row>
      <xdr:rowOff>419100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2347</xdr:row>
      <xdr:rowOff>419100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2351</xdr:row>
      <xdr:rowOff>209550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2355</xdr:row>
      <xdr:rowOff>209550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38100</xdr:rowOff>
    </xdr:from>
    <xdr:to>
      <xdr:col>3</xdr:col>
      <xdr:colOff>1552575</xdr:colOff>
      <xdr:row>2357</xdr:row>
      <xdr:rowOff>638175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2361</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38100</xdr:rowOff>
    </xdr:from>
    <xdr:to>
      <xdr:col>3</xdr:col>
      <xdr:colOff>1552575</xdr:colOff>
      <xdr:row>2363</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2366</xdr:row>
      <xdr:rowOff>419100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2370</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38100</xdr:rowOff>
    </xdr:from>
    <xdr:to>
      <xdr:col>3</xdr:col>
      <xdr:colOff>1552575</xdr:colOff>
      <xdr:row>2372</xdr:row>
      <xdr:rowOff>638175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2375</xdr:row>
      <xdr:rowOff>419100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38100</xdr:rowOff>
    </xdr:from>
    <xdr:to>
      <xdr:col>3</xdr:col>
      <xdr:colOff>1552575</xdr:colOff>
      <xdr:row>2377</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38100</xdr:rowOff>
    </xdr:from>
    <xdr:to>
      <xdr:col>3</xdr:col>
      <xdr:colOff>1552575</xdr:colOff>
      <xdr:row>2379</xdr:row>
      <xdr:rowOff>638175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2380</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2381</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2382</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38100</xdr:rowOff>
    </xdr:from>
    <xdr:to>
      <xdr:col>3</xdr:col>
      <xdr:colOff>1552575</xdr:colOff>
      <xdr:row>2384</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38100</xdr:rowOff>
    </xdr:from>
    <xdr:to>
      <xdr:col>3</xdr:col>
      <xdr:colOff>1552575</xdr:colOff>
      <xdr:row>2386</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38100</xdr:rowOff>
    </xdr:from>
    <xdr:to>
      <xdr:col>3</xdr:col>
      <xdr:colOff>1552575</xdr:colOff>
      <xdr:row>2388</xdr:row>
      <xdr:rowOff>638175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2389</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2390</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2393</xdr:row>
      <xdr:rowOff>419100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38100</xdr:rowOff>
    </xdr:from>
    <xdr:to>
      <xdr:col>3</xdr:col>
      <xdr:colOff>1552575</xdr:colOff>
      <xdr:row>2395</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38100</xdr:rowOff>
    </xdr:from>
    <xdr:to>
      <xdr:col>3</xdr:col>
      <xdr:colOff>1552575</xdr:colOff>
      <xdr:row>2397</xdr:row>
      <xdr:rowOff>638175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38100</xdr:rowOff>
    </xdr:from>
    <xdr:to>
      <xdr:col>3</xdr:col>
      <xdr:colOff>1552575</xdr:colOff>
      <xdr:row>2399</xdr:row>
      <xdr:rowOff>638175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2402</xdr:row>
      <xdr:rowOff>419100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2407</xdr:row>
      <xdr:rowOff>333375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28575</xdr:rowOff>
    </xdr:from>
    <xdr:to>
      <xdr:col>3</xdr:col>
      <xdr:colOff>1552575</xdr:colOff>
      <xdr:row>2411</xdr:row>
      <xdr:rowOff>209550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2414</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38100</xdr:rowOff>
    </xdr:from>
    <xdr:to>
      <xdr:col>3</xdr:col>
      <xdr:colOff>1552575</xdr:colOff>
      <xdr:row>2416</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2417</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38100</xdr:rowOff>
    </xdr:from>
    <xdr:to>
      <xdr:col>3</xdr:col>
      <xdr:colOff>1552575</xdr:colOff>
      <xdr:row>2419</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38100</xdr:rowOff>
    </xdr:from>
    <xdr:to>
      <xdr:col>3</xdr:col>
      <xdr:colOff>1552575</xdr:colOff>
      <xdr:row>2421</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38100</xdr:rowOff>
    </xdr:from>
    <xdr:to>
      <xdr:col>3</xdr:col>
      <xdr:colOff>1552575</xdr:colOff>
      <xdr:row>2423</xdr:row>
      <xdr:rowOff>638175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2424</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28575</xdr:rowOff>
    </xdr:from>
    <xdr:to>
      <xdr:col>3</xdr:col>
      <xdr:colOff>1552575</xdr:colOff>
      <xdr:row>2428</xdr:row>
      <xdr:rowOff>209550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2429</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38100</xdr:rowOff>
    </xdr:from>
    <xdr:to>
      <xdr:col>3</xdr:col>
      <xdr:colOff>1552575</xdr:colOff>
      <xdr:row>2431</xdr:row>
      <xdr:rowOff>638175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2432</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28575</xdr:rowOff>
    </xdr:from>
    <xdr:to>
      <xdr:col>3</xdr:col>
      <xdr:colOff>1552575</xdr:colOff>
      <xdr:row>2436</xdr:row>
      <xdr:rowOff>209550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2440</xdr:row>
      <xdr:rowOff>209550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2441</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2442</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28575</xdr:rowOff>
    </xdr:from>
    <xdr:to>
      <xdr:col>3</xdr:col>
      <xdr:colOff>1552575</xdr:colOff>
      <xdr:row>2443</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2444</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38100</xdr:rowOff>
    </xdr:from>
    <xdr:to>
      <xdr:col>3</xdr:col>
      <xdr:colOff>1552575</xdr:colOff>
      <xdr:row>2446</xdr:row>
      <xdr:rowOff>638175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2447</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38100</xdr:rowOff>
    </xdr:from>
    <xdr:to>
      <xdr:col>3</xdr:col>
      <xdr:colOff>1552575</xdr:colOff>
      <xdr:row>2449</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2450</xdr:row>
      <xdr:rowOff>28575</xdr:rowOff>
    </xdr:from>
    <xdr:to>
      <xdr:col>3</xdr:col>
      <xdr:colOff>1552575</xdr:colOff>
      <xdr:row>2450</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28575</xdr:rowOff>
    </xdr:from>
    <xdr:to>
      <xdr:col>3</xdr:col>
      <xdr:colOff>1552575</xdr:colOff>
      <xdr:row>2454</xdr:row>
      <xdr:rowOff>209550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2455</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2458</xdr:row>
      <xdr:rowOff>419100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28575</xdr:rowOff>
    </xdr:from>
    <xdr:to>
      <xdr:col>3</xdr:col>
      <xdr:colOff>1552575</xdr:colOff>
      <xdr:row>2459</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28575</xdr:rowOff>
    </xdr:from>
    <xdr:to>
      <xdr:col>3</xdr:col>
      <xdr:colOff>1552575</xdr:colOff>
      <xdr:row>2460</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2461</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38100</xdr:rowOff>
    </xdr:from>
    <xdr:to>
      <xdr:col>3</xdr:col>
      <xdr:colOff>1552575</xdr:colOff>
      <xdr:row>2463</xdr:row>
      <xdr:rowOff>638175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2466</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28575</xdr:rowOff>
    </xdr:from>
    <xdr:to>
      <xdr:col>3</xdr:col>
      <xdr:colOff>1552575</xdr:colOff>
      <xdr:row>2467</xdr:row>
      <xdr:rowOff>1266825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38100</xdr:rowOff>
    </xdr:from>
    <xdr:to>
      <xdr:col>3</xdr:col>
      <xdr:colOff>1552575</xdr:colOff>
      <xdr:row>2469</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2470</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2471</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2472</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38100</xdr:rowOff>
    </xdr:from>
    <xdr:to>
      <xdr:col>3</xdr:col>
      <xdr:colOff>1552575</xdr:colOff>
      <xdr:row>2474</xdr:row>
      <xdr:rowOff>638175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2475</xdr:row>
      <xdr:rowOff>28575</xdr:rowOff>
    </xdr:from>
    <xdr:to>
      <xdr:col>3</xdr:col>
      <xdr:colOff>1552575</xdr:colOff>
      <xdr:row>2478</xdr:row>
      <xdr:rowOff>209550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2481</xdr:row>
      <xdr:rowOff>419100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2484</xdr:row>
      <xdr:rowOff>419100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2488</xdr:row>
      <xdr:rowOff>209550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2489</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2492</xdr:row>
      <xdr:rowOff>419100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38100</xdr:rowOff>
    </xdr:from>
    <xdr:to>
      <xdr:col>3</xdr:col>
      <xdr:colOff>1552575</xdr:colOff>
      <xdr:row>2494</xdr:row>
      <xdr:rowOff>638175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28575</xdr:rowOff>
    </xdr:from>
    <xdr:to>
      <xdr:col>3</xdr:col>
      <xdr:colOff>1552575</xdr:colOff>
      <xdr:row>2498</xdr:row>
      <xdr:rowOff>209550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28575</xdr:rowOff>
    </xdr:from>
    <xdr:to>
      <xdr:col>3</xdr:col>
      <xdr:colOff>1552575</xdr:colOff>
      <xdr:row>2502</xdr:row>
      <xdr:rowOff>209550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2506</xdr:row>
      <xdr:rowOff>209550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38100</xdr:rowOff>
    </xdr:from>
    <xdr:to>
      <xdr:col>3</xdr:col>
      <xdr:colOff>1552575</xdr:colOff>
      <xdr:row>2508</xdr:row>
      <xdr:rowOff>638175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38100</xdr:rowOff>
    </xdr:from>
    <xdr:to>
      <xdr:col>3</xdr:col>
      <xdr:colOff>1552575</xdr:colOff>
      <xdr:row>2510</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38100</xdr:rowOff>
    </xdr:from>
    <xdr:to>
      <xdr:col>3</xdr:col>
      <xdr:colOff>1552575</xdr:colOff>
      <xdr:row>2512</xdr:row>
      <xdr:rowOff>638175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2513</xdr:row>
      <xdr:rowOff>38100</xdr:rowOff>
    </xdr:from>
    <xdr:to>
      <xdr:col>3</xdr:col>
      <xdr:colOff>1552575</xdr:colOff>
      <xdr:row>2514</xdr:row>
      <xdr:rowOff>638175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2515</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2519</xdr:row>
      <xdr:rowOff>209550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28575</xdr:rowOff>
    </xdr:from>
    <xdr:to>
      <xdr:col>3</xdr:col>
      <xdr:colOff>1552575</xdr:colOff>
      <xdr:row>2520</xdr:row>
      <xdr:rowOff>1266825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38100</xdr:rowOff>
    </xdr:from>
    <xdr:to>
      <xdr:col>3</xdr:col>
      <xdr:colOff>1552575</xdr:colOff>
      <xdr:row>2522</xdr:row>
      <xdr:rowOff>638175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38100</xdr:rowOff>
    </xdr:from>
    <xdr:to>
      <xdr:col>3</xdr:col>
      <xdr:colOff>1552575</xdr:colOff>
      <xdr:row>2524</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2525</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28575</xdr:rowOff>
    </xdr:from>
    <xdr:to>
      <xdr:col>3</xdr:col>
      <xdr:colOff>1552575</xdr:colOff>
      <xdr:row>2526</xdr:row>
      <xdr:rowOff>1266825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2527</xdr:row>
      <xdr:rowOff>1266825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2528</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38100</xdr:rowOff>
    </xdr:from>
    <xdr:to>
      <xdr:col>3</xdr:col>
      <xdr:colOff>1552575</xdr:colOff>
      <xdr:row>2530</xdr:row>
      <xdr:rowOff>638175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2531</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2532</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28575</xdr:rowOff>
    </xdr:from>
    <xdr:to>
      <xdr:col>3</xdr:col>
      <xdr:colOff>1552575</xdr:colOff>
      <xdr:row>2533</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2534</xdr:row>
      <xdr:rowOff>38100</xdr:rowOff>
    </xdr:from>
    <xdr:to>
      <xdr:col>3</xdr:col>
      <xdr:colOff>1552575</xdr:colOff>
      <xdr:row>2535</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2536</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2537</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2538</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38100</xdr:rowOff>
    </xdr:from>
    <xdr:to>
      <xdr:col>3</xdr:col>
      <xdr:colOff>1552575</xdr:colOff>
      <xdr:row>2540</xdr:row>
      <xdr:rowOff>638175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38100</xdr:rowOff>
    </xdr:from>
    <xdr:to>
      <xdr:col>3</xdr:col>
      <xdr:colOff>1552575</xdr:colOff>
      <xdr:row>2542</xdr:row>
      <xdr:rowOff>638175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38100</xdr:rowOff>
    </xdr:from>
    <xdr:to>
      <xdr:col>3</xdr:col>
      <xdr:colOff>1552575</xdr:colOff>
      <xdr:row>2544</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2545</xdr:row>
      <xdr:rowOff>28575</xdr:rowOff>
    </xdr:from>
    <xdr:to>
      <xdr:col>3</xdr:col>
      <xdr:colOff>1552575</xdr:colOff>
      <xdr:row>2545</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28575</xdr:rowOff>
    </xdr:from>
    <xdr:to>
      <xdr:col>3</xdr:col>
      <xdr:colOff>1552575</xdr:colOff>
      <xdr:row>2548</xdr:row>
      <xdr:rowOff>419100</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2549</xdr:row>
      <xdr:rowOff>28575</xdr:rowOff>
    </xdr:from>
    <xdr:to>
      <xdr:col>3</xdr:col>
      <xdr:colOff>1552575</xdr:colOff>
      <xdr:row>2549</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2557</xdr:row>
      <xdr:rowOff>152400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38100</xdr:rowOff>
    </xdr:from>
    <xdr:to>
      <xdr:col>3</xdr:col>
      <xdr:colOff>1552575</xdr:colOff>
      <xdr:row>2559</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2560</xdr:row>
      <xdr:rowOff>28575</xdr:rowOff>
    </xdr:from>
    <xdr:to>
      <xdr:col>3</xdr:col>
      <xdr:colOff>1552575</xdr:colOff>
      <xdr:row>2560</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38100</xdr:rowOff>
    </xdr:from>
    <xdr:to>
      <xdr:col>3</xdr:col>
      <xdr:colOff>1552575</xdr:colOff>
      <xdr:row>2562</xdr:row>
      <xdr:rowOff>638175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2563</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28575</xdr:rowOff>
    </xdr:from>
    <xdr:to>
      <xdr:col>3</xdr:col>
      <xdr:colOff>1552575</xdr:colOff>
      <xdr:row>2564</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2565</xdr:row>
      <xdr:rowOff>28575</xdr:rowOff>
    </xdr:from>
    <xdr:to>
      <xdr:col>3</xdr:col>
      <xdr:colOff>1552575</xdr:colOff>
      <xdr:row>2570</xdr:row>
      <xdr:rowOff>209550</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2574</xdr:row>
      <xdr:rowOff>209550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28575</xdr:rowOff>
    </xdr:from>
    <xdr:to>
      <xdr:col>3</xdr:col>
      <xdr:colOff>1552575</xdr:colOff>
      <xdr:row>2579</xdr:row>
      <xdr:rowOff>333375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2583</xdr:row>
      <xdr:rowOff>209550</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2587</xdr:row>
      <xdr:rowOff>209550</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2588</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2589</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2597</xdr:row>
      <xdr:rowOff>152400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2605</xdr:row>
      <xdr:rowOff>152400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2606</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28575</xdr:rowOff>
    </xdr:from>
    <xdr:to>
      <xdr:col>3</xdr:col>
      <xdr:colOff>1552575</xdr:colOff>
      <xdr:row>2607</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2608</xdr:row>
      <xdr:rowOff>28575</xdr:rowOff>
    </xdr:from>
    <xdr:to>
      <xdr:col>3</xdr:col>
      <xdr:colOff>1552575</xdr:colOff>
      <xdr:row>2608</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28575</xdr:rowOff>
    </xdr:from>
    <xdr:to>
      <xdr:col>3</xdr:col>
      <xdr:colOff>1552575</xdr:colOff>
      <xdr:row>2609</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2610</xdr:row>
      <xdr:rowOff>28575</xdr:rowOff>
    </xdr:from>
    <xdr:to>
      <xdr:col>3</xdr:col>
      <xdr:colOff>1552575</xdr:colOff>
      <xdr:row>2610</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28575</xdr:rowOff>
    </xdr:from>
    <xdr:to>
      <xdr:col>3</xdr:col>
      <xdr:colOff>1552575</xdr:colOff>
      <xdr:row>2611</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28575</xdr:rowOff>
    </xdr:from>
    <xdr:to>
      <xdr:col>3</xdr:col>
      <xdr:colOff>1552575</xdr:colOff>
      <xdr:row>2615</xdr:row>
      <xdr:rowOff>209550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2616</xdr:row>
      <xdr:rowOff>38100</xdr:rowOff>
    </xdr:from>
    <xdr:to>
      <xdr:col>3</xdr:col>
      <xdr:colOff>1552575</xdr:colOff>
      <xdr:row>2617</xdr:row>
      <xdr:rowOff>638175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2618</xdr:row>
      <xdr:rowOff>28575</xdr:rowOff>
    </xdr:from>
    <xdr:to>
      <xdr:col>3</xdr:col>
      <xdr:colOff>1552575</xdr:colOff>
      <xdr:row>2626</xdr:row>
      <xdr:rowOff>133350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2628</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629"/>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40"/>
      <c r="B2" s="40"/>
      <c r="C2" s="40"/>
      <c r="D2" s="40"/>
      <c r="E2" s="40"/>
      <c r="F2" s="40"/>
      <c r="G2" s="40"/>
      <c r="H2" s="40"/>
      <c r="I2" s="40"/>
      <c r="J2" s="41"/>
      <c r="K2" s="40"/>
      <c r="L2" s="40"/>
      <c r="M2" s="40"/>
      <c r="N2" s="40"/>
      <c r="O2" s="40"/>
      <c r="P2" s="40"/>
      <c r="Q2" s="40"/>
      <c r="R2" s="42"/>
      <c r="S2" s="40"/>
      <c r="T2" s="40"/>
      <c r="U2" s="40"/>
      <c r="V2" s="40"/>
      <c r="W2" s="40"/>
      <c r="X2" s="4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2569</v>
      </c>
      <c r="T3" s="10" t="s">
        <v>18</v>
      </c>
      <c r="U3" s="10" t="s">
        <v>19</v>
      </c>
      <c r="V3" s="7" t="s">
        <v>20</v>
      </c>
      <c r="W3" s="7" t="s">
        <v>21</v>
      </c>
      <c r="X3" s="5" t="s">
        <v>22</v>
      </c>
    </row>
    <row r="4" spans="1:24" s="1" customFormat="1" ht="108" customHeight="1" x14ac:dyDescent="0.3">
      <c r="A4" s="11" t="s">
        <v>23</v>
      </c>
      <c r="B4" s="11" t="s">
        <v>24</v>
      </c>
      <c r="C4" s="12" t="s">
        <v>25</v>
      </c>
      <c r="D4" s="13"/>
      <c r="E4" s="43" t="str">
        <f>HYPERLINK("https://www.google.ru/search?q=A3743-0006&amp;newwindow=1&amp;tbm=isch","Еще фото")</f>
        <v>Еще фото</v>
      </c>
      <c r="F4" s="14"/>
      <c r="G4" s="11" t="s">
        <v>26</v>
      </c>
      <c r="H4" s="11" t="s">
        <v>27</v>
      </c>
      <c r="I4" s="15" t="s">
        <v>26</v>
      </c>
      <c r="J4" s="15" t="s">
        <v>28</v>
      </c>
      <c r="K4" s="16" t="s">
        <v>29</v>
      </c>
      <c r="L4" s="15" t="s">
        <v>30</v>
      </c>
      <c r="M4" s="15"/>
      <c r="N4" s="15" t="s">
        <v>31</v>
      </c>
      <c r="O4" s="15"/>
      <c r="P4" s="16" t="s">
        <v>32</v>
      </c>
      <c r="Q4" s="17">
        <v>8999</v>
      </c>
      <c r="R4" s="18">
        <v>65.239999999999995</v>
      </c>
      <c r="S4" s="19">
        <v>3596.9354999999996</v>
      </c>
      <c r="T4" s="20" t="s">
        <v>33</v>
      </c>
      <c r="U4" s="21" t="s">
        <v>34</v>
      </c>
      <c r="V4" s="22">
        <v>48</v>
      </c>
      <c r="W4" s="22">
        <v>5</v>
      </c>
      <c r="X4" s="23"/>
    </row>
    <row r="5" spans="1:24" s="1" customFormat="1" ht="11" customHeight="1" x14ac:dyDescent="0.3">
      <c r="A5" s="11" t="s">
        <v>23</v>
      </c>
      <c r="B5" s="11" t="s">
        <v>35</v>
      </c>
      <c r="C5" s="12" t="s">
        <v>36</v>
      </c>
      <c r="D5" s="57"/>
      <c r="E5" s="43" t="str">
        <f t="shared" ref="E5:E14" si="0">HYPERLINK("https://www.google.ru/search?q=A4414-0000&amp;newwindow=1&amp;tbm=isch","Еще фото")</f>
        <v>Еще фото</v>
      </c>
      <c r="F5" s="14"/>
      <c r="G5" s="11" t="s">
        <v>26</v>
      </c>
      <c r="H5" s="11" t="s">
        <v>27</v>
      </c>
      <c r="I5" s="15" t="s">
        <v>26</v>
      </c>
      <c r="J5" s="15" t="s">
        <v>37</v>
      </c>
      <c r="K5" s="16" t="s">
        <v>29</v>
      </c>
      <c r="L5" s="60" t="s">
        <v>38</v>
      </c>
      <c r="M5" s="15"/>
      <c r="N5" s="15" t="s">
        <v>39</v>
      </c>
      <c r="O5" s="15"/>
      <c r="P5" s="16" t="s">
        <v>40</v>
      </c>
      <c r="Q5" s="17">
        <v>19999</v>
      </c>
      <c r="R5" s="18">
        <v>61.76</v>
      </c>
      <c r="S5" s="19">
        <v>8794.9354999999996</v>
      </c>
      <c r="T5" s="20" t="s">
        <v>41</v>
      </c>
      <c r="U5" s="21" t="s">
        <v>42</v>
      </c>
      <c r="V5" s="22">
        <v>40</v>
      </c>
      <c r="W5" s="22">
        <v>2</v>
      </c>
      <c r="X5" s="23"/>
    </row>
    <row r="6" spans="1:24" s="1" customFormat="1" ht="11" customHeight="1" x14ac:dyDescent="0.3">
      <c r="A6" s="24" t="s">
        <v>23</v>
      </c>
      <c r="B6" s="24" t="s">
        <v>35</v>
      </c>
      <c r="C6" s="12" t="s">
        <v>36</v>
      </c>
      <c r="D6" s="58"/>
      <c r="E6" s="43" t="str">
        <f t="shared" si="0"/>
        <v>Еще фото</v>
      </c>
      <c r="F6" s="14"/>
      <c r="G6" s="24" t="s">
        <v>26</v>
      </c>
      <c r="H6" s="24" t="s">
        <v>27</v>
      </c>
      <c r="I6" s="24" t="s">
        <v>26</v>
      </c>
      <c r="J6" s="15" t="s">
        <v>37</v>
      </c>
      <c r="K6" s="16" t="s">
        <v>29</v>
      </c>
      <c r="L6" s="61"/>
      <c r="M6" s="15"/>
      <c r="N6" s="15" t="s">
        <v>39</v>
      </c>
      <c r="O6" s="15"/>
      <c r="P6" s="16" t="s">
        <v>40</v>
      </c>
      <c r="Q6" s="17">
        <v>19999</v>
      </c>
      <c r="R6" s="18">
        <v>61.76</v>
      </c>
      <c r="S6" s="19">
        <v>8794.9354999999996</v>
      </c>
      <c r="T6" s="20" t="s">
        <v>41</v>
      </c>
      <c r="U6" s="21" t="s">
        <v>43</v>
      </c>
      <c r="V6" s="25" t="s">
        <v>44</v>
      </c>
      <c r="W6" s="22">
        <v>2</v>
      </c>
      <c r="X6" s="23"/>
    </row>
    <row r="7" spans="1:24" s="1" customFormat="1" ht="11" customHeight="1" x14ac:dyDescent="0.3">
      <c r="A7" s="24" t="s">
        <v>23</v>
      </c>
      <c r="B7" s="24" t="s">
        <v>35</v>
      </c>
      <c r="C7" s="12" t="s">
        <v>36</v>
      </c>
      <c r="D7" s="58"/>
      <c r="E7" s="43" t="str">
        <f t="shared" si="0"/>
        <v>Еще фото</v>
      </c>
      <c r="F7" s="14"/>
      <c r="G7" s="24" t="s">
        <v>26</v>
      </c>
      <c r="H7" s="24" t="s">
        <v>27</v>
      </c>
      <c r="I7" s="24" t="s">
        <v>26</v>
      </c>
      <c r="J7" s="15" t="s">
        <v>37</v>
      </c>
      <c r="K7" s="16" t="s">
        <v>29</v>
      </c>
      <c r="L7" s="61"/>
      <c r="M7" s="15"/>
      <c r="N7" s="15" t="s">
        <v>39</v>
      </c>
      <c r="O7" s="15"/>
      <c r="P7" s="16" t="s">
        <v>40</v>
      </c>
      <c r="Q7" s="17">
        <v>19999</v>
      </c>
      <c r="R7" s="18">
        <v>61.76</v>
      </c>
      <c r="S7" s="19">
        <v>8794.9354999999996</v>
      </c>
      <c r="T7" s="20" t="s">
        <v>41</v>
      </c>
      <c r="U7" s="21" t="s">
        <v>45</v>
      </c>
      <c r="V7" s="25" t="s">
        <v>44</v>
      </c>
      <c r="W7" s="22">
        <v>2</v>
      </c>
      <c r="X7" s="23"/>
    </row>
    <row r="8" spans="1:24" s="1" customFormat="1" ht="11" customHeight="1" x14ac:dyDescent="0.3">
      <c r="A8" s="24" t="s">
        <v>23</v>
      </c>
      <c r="B8" s="24" t="s">
        <v>35</v>
      </c>
      <c r="C8" s="12" t="s">
        <v>36</v>
      </c>
      <c r="D8" s="58"/>
      <c r="E8" s="43" t="str">
        <f t="shared" si="0"/>
        <v>Еще фото</v>
      </c>
      <c r="F8" s="14"/>
      <c r="G8" s="24" t="s">
        <v>26</v>
      </c>
      <c r="H8" s="24" t="s">
        <v>27</v>
      </c>
      <c r="I8" s="24" t="s">
        <v>26</v>
      </c>
      <c r="J8" s="15" t="s">
        <v>37</v>
      </c>
      <c r="K8" s="16" t="s">
        <v>29</v>
      </c>
      <c r="L8" s="61"/>
      <c r="M8" s="15"/>
      <c r="N8" s="15" t="s">
        <v>39</v>
      </c>
      <c r="O8" s="15"/>
      <c r="P8" s="16" t="s">
        <v>40</v>
      </c>
      <c r="Q8" s="17">
        <v>19999</v>
      </c>
      <c r="R8" s="18">
        <v>61.76</v>
      </c>
      <c r="S8" s="19">
        <v>8794.9354999999996</v>
      </c>
      <c r="T8" s="20" t="s">
        <v>41</v>
      </c>
      <c r="U8" s="21" t="s">
        <v>46</v>
      </c>
      <c r="V8" s="22">
        <v>42</v>
      </c>
      <c r="W8" s="22">
        <v>1</v>
      </c>
      <c r="X8" s="23"/>
    </row>
    <row r="9" spans="1:24" s="1" customFormat="1" ht="11" customHeight="1" x14ac:dyDescent="0.3">
      <c r="A9" s="24" t="s">
        <v>23</v>
      </c>
      <c r="B9" s="24" t="s">
        <v>35</v>
      </c>
      <c r="C9" s="12" t="s">
        <v>36</v>
      </c>
      <c r="D9" s="58"/>
      <c r="E9" s="43" t="str">
        <f t="shared" si="0"/>
        <v>Еще фото</v>
      </c>
      <c r="F9" s="14"/>
      <c r="G9" s="24" t="s">
        <v>26</v>
      </c>
      <c r="H9" s="24" t="s">
        <v>27</v>
      </c>
      <c r="I9" s="24" t="s">
        <v>26</v>
      </c>
      <c r="J9" s="15" t="s">
        <v>37</v>
      </c>
      <c r="K9" s="16" t="s">
        <v>29</v>
      </c>
      <c r="L9" s="61"/>
      <c r="M9" s="15"/>
      <c r="N9" s="15" t="s">
        <v>39</v>
      </c>
      <c r="O9" s="15"/>
      <c r="P9" s="16" t="s">
        <v>40</v>
      </c>
      <c r="Q9" s="17">
        <v>19999</v>
      </c>
      <c r="R9" s="18">
        <v>61.76</v>
      </c>
      <c r="S9" s="19">
        <v>8794.9354999999996</v>
      </c>
      <c r="T9" s="20" t="s">
        <v>41</v>
      </c>
      <c r="U9" s="21" t="s">
        <v>47</v>
      </c>
      <c r="V9" s="25" t="s">
        <v>48</v>
      </c>
      <c r="W9" s="22">
        <v>1</v>
      </c>
      <c r="X9" s="23"/>
    </row>
    <row r="10" spans="1:24" s="1" customFormat="1" ht="11" customHeight="1" x14ac:dyDescent="0.3">
      <c r="A10" s="24" t="s">
        <v>23</v>
      </c>
      <c r="B10" s="24" t="s">
        <v>35</v>
      </c>
      <c r="C10" s="12" t="s">
        <v>36</v>
      </c>
      <c r="D10" s="58"/>
      <c r="E10" s="43" t="str">
        <f t="shared" si="0"/>
        <v>Еще фото</v>
      </c>
      <c r="F10" s="14"/>
      <c r="G10" s="24" t="s">
        <v>26</v>
      </c>
      <c r="H10" s="24" t="s">
        <v>27</v>
      </c>
      <c r="I10" s="24" t="s">
        <v>26</v>
      </c>
      <c r="J10" s="15" t="s">
        <v>37</v>
      </c>
      <c r="K10" s="16" t="s">
        <v>29</v>
      </c>
      <c r="L10" s="61"/>
      <c r="M10" s="15"/>
      <c r="N10" s="15" t="s">
        <v>39</v>
      </c>
      <c r="O10" s="15"/>
      <c r="P10" s="16" t="s">
        <v>40</v>
      </c>
      <c r="Q10" s="17">
        <v>19999</v>
      </c>
      <c r="R10" s="18">
        <v>61.76</v>
      </c>
      <c r="S10" s="19">
        <v>8794.9354999999996</v>
      </c>
      <c r="T10" s="20" t="s">
        <v>41</v>
      </c>
      <c r="U10" s="21" t="s">
        <v>49</v>
      </c>
      <c r="V10" s="25" t="s">
        <v>48</v>
      </c>
      <c r="W10" s="22">
        <v>3</v>
      </c>
      <c r="X10" s="23"/>
    </row>
    <row r="11" spans="1:24" s="1" customFormat="1" ht="11" customHeight="1" x14ac:dyDescent="0.3">
      <c r="A11" s="24" t="s">
        <v>23</v>
      </c>
      <c r="B11" s="24" t="s">
        <v>35</v>
      </c>
      <c r="C11" s="12" t="s">
        <v>36</v>
      </c>
      <c r="D11" s="58"/>
      <c r="E11" s="43" t="str">
        <f t="shared" si="0"/>
        <v>Еще фото</v>
      </c>
      <c r="F11" s="14"/>
      <c r="G11" s="24" t="s">
        <v>26</v>
      </c>
      <c r="H11" s="24" t="s">
        <v>27</v>
      </c>
      <c r="I11" s="24" t="s">
        <v>26</v>
      </c>
      <c r="J11" s="15" t="s">
        <v>37</v>
      </c>
      <c r="K11" s="16" t="s">
        <v>29</v>
      </c>
      <c r="L11" s="61"/>
      <c r="M11" s="15"/>
      <c r="N11" s="15" t="s">
        <v>39</v>
      </c>
      <c r="O11" s="15"/>
      <c r="P11" s="16" t="s">
        <v>40</v>
      </c>
      <c r="Q11" s="17">
        <v>19999</v>
      </c>
      <c r="R11" s="18">
        <v>61.76</v>
      </c>
      <c r="S11" s="19">
        <v>8794.9354999999996</v>
      </c>
      <c r="T11" s="20" t="s">
        <v>41</v>
      </c>
      <c r="U11" s="21" t="s">
        <v>50</v>
      </c>
      <c r="V11" s="22">
        <v>44</v>
      </c>
      <c r="W11" s="22">
        <v>1</v>
      </c>
      <c r="X11" s="23"/>
    </row>
    <row r="12" spans="1:24" s="1" customFormat="1" ht="11" customHeight="1" x14ac:dyDescent="0.3">
      <c r="A12" s="24" t="s">
        <v>23</v>
      </c>
      <c r="B12" s="24" t="s">
        <v>35</v>
      </c>
      <c r="C12" s="12" t="s">
        <v>36</v>
      </c>
      <c r="D12" s="58"/>
      <c r="E12" s="43" t="str">
        <f t="shared" si="0"/>
        <v>Еще фото</v>
      </c>
      <c r="F12" s="14"/>
      <c r="G12" s="24" t="s">
        <v>26</v>
      </c>
      <c r="H12" s="24" t="s">
        <v>27</v>
      </c>
      <c r="I12" s="24" t="s">
        <v>26</v>
      </c>
      <c r="J12" s="15" t="s">
        <v>37</v>
      </c>
      <c r="K12" s="16" t="s">
        <v>29</v>
      </c>
      <c r="L12" s="61"/>
      <c r="M12" s="15"/>
      <c r="N12" s="15" t="s">
        <v>39</v>
      </c>
      <c r="O12" s="15"/>
      <c r="P12" s="16" t="s">
        <v>40</v>
      </c>
      <c r="Q12" s="17">
        <v>19999</v>
      </c>
      <c r="R12" s="18">
        <v>61.76</v>
      </c>
      <c r="S12" s="19">
        <v>8794.9354999999996</v>
      </c>
      <c r="T12" s="20" t="s">
        <v>41</v>
      </c>
      <c r="U12" s="21" t="s">
        <v>51</v>
      </c>
      <c r="V12" s="22">
        <v>44</v>
      </c>
      <c r="W12" s="22">
        <v>2</v>
      </c>
      <c r="X12" s="23"/>
    </row>
    <row r="13" spans="1:24" s="1" customFormat="1" ht="11" customHeight="1" x14ac:dyDescent="0.3">
      <c r="A13" s="24" t="s">
        <v>23</v>
      </c>
      <c r="B13" s="24" t="s">
        <v>35</v>
      </c>
      <c r="C13" s="12" t="s">
        <v>36</v>
      </c>
      <c r="D13" s="58"/>
      <c r="E13" s="43" t="str">
        <f t="shared" si="0"/>
        <v>Еще фото</v>
      </c>
      <c r="F13" s="14"/>
      <c r="G13" s="24" t="s">
        <v>26</v>
      </c>
      <c r="H13" s="24" t="s">
        <v>27</v>
      </c>
      <c r="I13" s="24" t="s">
        <v>26</v>
      </c>
      <c r="J13" s="15" t="s">
        <v>37</v>
      </c>
      <c r="K13" s="16" t="s">
        <v>29</v>
      </c>
      <c r="L13" s="61"/>
      <c r="M13" s="15"/>
      <c r="N13" s="15" t="s">
        <v>39</v>
      </c>
      <c r="O13" s="15"/>
      <c r="P13" s="16" t="s">
        <v>40</v>
      </c>
      <c r="Q13" s="17">
        <v>19999</v>
      </c>
      <c r="R13" s="18">
        <v>61.76</v>
      </c>
      <c r="S13" s="19">
        <v>8794.9354999999996</v>
      </c>
      <c r="T13" s="20" t="s">
        <v>41</v>
      </c>
      <c r="U13" s="21" t="s">
        <v>52</v>
      </c>
      <c r="V13" s="22">
        <v>48</v>
      </c>
      <c r="W13" s="22">
        <v>1</v>
      </c>
      <c r="X13" s="23"/>
    </row>
    <row r="14" spans="1:24" s="1" customFormat="1" ht="11" customHeight="1" x14ac:dyDescent="0.3">
      <c r="A14" s="15" t="s">
        <v>23</v>
      </c>
      <c r="B14" s="15" t="s">
        <v>35</v>
      </c>
      <c r="C14" s="12" t="s">
        <v>36</v>
      </c>
      <c r="D14" s="59"/>
      <c r="E14" s="43" t="str">
        <f t="shared" si="0"/>
        <v>Еще фото</v>
      </c>
      <c r="F14" s="26"/>
      <c r="G14" s="15" t="s">
        <v>26</v>
      </c>
      <c r="H14" s="15" t="s">
        <v>27</v>
      </c>
      <c r="I14" s="15" t="s">
        <v>26</v>
      </c>
      <c r="J14" s="15" t="s">
        <v>37</v>
      </c>
      <c r="K14" s="15" t="s">
        <v>29</v>
      </c>
      <c r="L14" s="62"/>
      <c r="M14" s="15"/>
      <c r="N14" s="15" t="s">
        <v>39</v>
      </c>
      <c r="O14" s="15"/>
      <c r="P14" s="15" t="s">
        <v>40</v>
      </c>
      <c r="Q14" s="27">
        <v>19999</v>
      </c>
      <c r="R14" s="28">
        <v>61.76</v>
      </c>
      <c r="S14" s="29">
        <v>8794.9354999999996</v>
      </c>
      <c r="T14" s="20" t="s">
        <v>41</v>
      </c>
      <c r="U14" s="21" t="s">
        <v>53</v>
      </c>
      <c r="V14" s="22">
        <v>48</v>
      </c>
      <c r="W14" s="22">
        <v>4</v>
      </c>
      <c r="X14" s="23"/>
    </row>
    <row r="15" spans="1:24" s="1" customFormat="1" ht="35" customHeight="1" x14ac:dyDescent="0.3">
      <c r="A15" s="11" t="s">
        <v>23</v>
      </c>
      <c r="B15" s="11" t="s">
        <v>54</v>
      </c>
      <c r="C15" s="12" t="s">
        <v>55</v>
      </c>
      <c r="D15" s="57"/>
      <c r="E15" s="43" t="str">
        <f>HYPERLINK("https://www.google.ru/search?q=A0937-0028&amp;newwindow=1&amp;tbm=isch","Еще фото")</f>
        <v>Еще фото</v>
      </c>
      <c r="F15" s="14"/>
      <c r="G15" s="11" t="s">
        <v>56</v>
      </c>
      <c r="H15" s="11" t="s">
        <v>27</v>
      </c>
      <c r="I15" s="15" t="s">
        <v>26</v>
      </c>
      <c r="J15" s="15" t="s">
        <v>28</v>
      </c>
      <c r="K15" s="16" t="s">
        <v>57</v>
      </c>
      <c r="L15" s="60" t="s">
        <v>58</v>
      </c>
      <c r="M15" s="15"/>
      <c r="N15" s="15" t="s">
        <v>59</v>
      </c>
      <c r="O15" s="15"/>
      <c r="P15" s="16" t="s">
        <v>60</v>
      </c>
      <c r="Q15" s="17">
        <v>6699</v>
      </c>
      <c r="R15" s="18">
        <v>56.15</v>
      </c>
      <c r="S15" s="19">
        <v>3378.4354999999996</v>
      </c>
      <c r="T15" s="20" t="s">
        <v>33</v>
      </c>
      <c r="U15" s="21" t="s">
        <v>61</v>
      </c>
      <c r="V15" s="25" t="s">
        <v>48</v>
      </c>
      <c r="W15" s="22">
        <v>6</v>
      </c>
      <c r="X15" s="23"/>
    </row>
    <row r="16" spans="1:24" s="1" customFormat="1" ht="35" customHeight="1" x14ac:dyDescent="0.3">
      <c r="A16" s="24" t="s">
        <v>23</v>
      </c>
      <c r="B16" s="24" t="s">
        <v>54</v>
      </c>
      <c r="C16" s="12" t="s">
        <v>55</v>
      </c>
      <c r="D16" s="58"/>
      <c r="E16" s="43" t="str">
        <f>HYPERLINK("https://www.google.ru/search?q=A0937-0028&amp;newwindow=1&amp;tbm=isch","Еще фото")</f>
        <v>Еще фото</v>
      </c>
      <c r="F16" s="14"/>
      <c r="G16" s="24" t="s">
        <v>56</v>
      </c>
      <c r="H16" s="24" t="s">
        <v>27</v>
      </c>
      <c r="I16" s="24" t="s">
        <v>26</v>
      </c>
      <c r="J16" s="15" t="s">
        <v>28</v>
      </c>
      <c r="K16" s="16" t="s">
        <v>57</v>
      </c>
      <c r="L16" s="61"/>
      <c r="M16" s="15"/>
      <c r="N16" s="15" t="s">
        <v>59</v>
      </c>
      <c r="O16" s="15"/>
      <c r="P16" s="16" t="s">
        <v>60</v>
      </c>
      <c r="Q16" s="17">
        <v>6699</v>
      </c>
      <c r="R16" s="18">
        <v>56.15</v>
      </c>
      <c r="S16" s="19">
        <v>3378.4354999999996</v>
      </c>
      <c r="T16" s="20" t="s">
        <v>33</v>
      </c>
      <c r="U16" s="21" t="s">
        <v>62</v>
      </c>
      <c r="V16" s="25" t="s">
        <v>63</v>
      </c>
      <c r="W16" s="22">
        <v>15</v>
      </c>
      <c r="X16" s="23"/>
    </row>
    <row r="17" spans="1:24" s="1" customFormat="1" ht="37.049999999999997" customHeight="1" x14ac:dyDescent="0.3">
      <c r="A17" s="24" t="s">
        <v>23</v>
      </c>
      <c r="B17" s="24" t="s">
        <v>54</v>
      </c>
      <c r="C17" s="12" t="s">
        <v>55</v>
      </c>
      <c r="D17" s="59"/>
      <c r="E17" s="43" t="str">
        <f>HYPERLINK("https://www.google.ru/search?q=A0937-0028&amp;newwindow=1&amp;tbm=isch","Еще фото")</f>
        <v>Еще фото</v>
      </c>
      <c r="F17" s="14"/>
      <c r="G17" s="24" t="s">
        <v>56</v>
      </c>
      <c r="H17" s="24" t="s">
        <v>27</v>
      </c>
      <c r="I17" s="24" t="s">
        <v>26</v>
      </c>
      <c r="J17" s="15" t="s">
        <v>28</v>
      </c>
      <c r="K17" s="16" t="s">
        <v>57</v>
      </c>
      <c r="L17" s="62"/>
      <c r="M17" s="15"/>
      <c r="N17" s="15" t="s">
        <v>59</v>
      </c>
      <c r="O17" s="15"/>
      <c r="P17" s="16" t="s">
        <v>60</v>
      </c>
      <c r="Q17" s="17">
        <v>6699</v>
      </c>
      <c r="R17" s="18">
        <v>56.15</v>
      </c>
      <c r="S17" s="19">
        <v>3378.4354999999996</v>
      </c>
      <c r="T17" s="20" t="s">
        <v>33</v>
      </c>
      <c r="U17" s="21" t="s">
        <v>64</v>
      </c>
      <c r="V17" s="25" t="s">
        <v>65</v>
      </c>
      <c r="W17" s="22">
        <v>3</v>
      </c>
      <c r="X17" s="23"/>
    </row>
    <row r="18" spans="1:24" s="1" customFormat="1" ht="52.05" customHeight="1" x14ac:dyDescent="0.3">
      <c r="A18" s="11" t="s">
        <v>23</v>
      </c>
      <c r="B18" s="11" t="s">
        <v>66</v>
      </c>
      <c r="C18" s="12" t="s">
        <v>67</v>
      </c>
      <c r="D18" s="63"/>
      <c r="E18" s="43" t="str">
        <f>HYPERLINK("https://www.google.ru/search?q=A5247-0001&amp;newwindow=1&amp;tbm=isch","Еще фото")</f>
        <v>Еще фото</v>
      </c>
      <c r="F18" s="14"/>
      <c r="G18" s="11" t="s">
        <v>56</v>
      </c>
      <c r="H18" s="11" t="s">
        <v>27</v>
      </c>
      <c r="I18" s="15" t="s">
        <v>26</v>
      </c>
      <c r="J18" s="15" t="s">
        <v>28</v>
      </c>
      <c r="K18" s="16" t="s">
        <v>57</v>
      </c>
      <c r="L18" s="60" t="s">
        <v>68</v>
      </c>
      <c r="M18" s="15"/>
      <c r="N18" s="15" t="s">
        <v>59</v>
      </c>
      <c r="O18" s="15"/>
      <c r="P18" s="16" t="s">
        <v>60</v>
      </c>
      <c r="Q18" s="17">
        <v>7899</v>
      </c>
      <c r="R18" s="18">
        <v>49.39</v>
      </c>
      <c r="S18" s="19">
        <v>4597.4354999999996</v>
      </c>
      <c r="T18" s="20" t="s">
        <v>33</v>
      </c>
      <c r="U18" s="21" t="s">
        <v>61</v>
      </c>
      <c r="V18" s="25" t="s">
        <v>48</v>
      </c>
      <c r="W18" s="22">
        <v>9</v>
      </c>
      <c r="X18" s="23"/>
    </row>
    <row r="19" spans="1:24" s="1" customFormat="1" ht="61.05" customHeight="1" x14ac:dyDescent="0.3">
      <c r="A19" s="24" t="s">
        <v>23</v>
      </c>
      <c r="B19" s="24" t="s">
        <v>66</v>
      </c>
      <c r="C19" s="12" t="s">
        <v>67</v>
      </c>
      <c r="D19" s="64"/>
      <c r="E19" s="43" t="str">
        <f>HYPERLINK("https://www.google.ru/search?q=A5247-0001&amp;newwindow=1&amp;tbm=isch","Еще фото")</f>
        <v>Еще фото</v>
      </c>
      <c r="F19" s="14"/>
      <c r="G19" s="24" t="s">
        <v>56</v>
      </c>
      <c r="H19" s="24" t="s">
        <v>27</v>
      </c>
      <c r="I19" s="24" t="s">
        <v>26</v>
      </c>
      <c r="J19" s="15" t="s">
        <v>28</v>
      </c>
      <c r="K19" s="16" t="s">
        <v>57</v>
      </c>
      <c r="L19" s="62"/>
      <c r="M19" s="15"/>
      <c r="N19" s="15" t="s">
        <v>59</v>
      </c>
      <c r="O19" s="15"/>
      <c r="P19" s="16" t="s">
        <v>60</v>
      </c>
      <c r="Q19" s="17">
        <v>7899</v>
      </c>
      <c r="R19" s="18">
        <v>49.39</v>
      </c>
      <c r="S19" s="19">
        <v>4597.4354999999996</v>
      </c>
      <c r="T19" s="20" t="s">
        <v>33</v>
      </c>
      <c r="U19" s="21" t="s">
        <v>62</v>
      </c>
      <c r="V19" s="25" t="s">
        <v>63</v>
      </c>
      <c r="W19" s="22">
        <v>5</v>
      </c>
      <c r="X19" s="23"/>
    </row>
    <row r="20" spans="1:24" s="1" customFormat="1" ht="21" customHeight="1" x14ac:dyDescent="0.3">
      <c r="A20" s="11" t="s">
        <v>23</v>
      </c>
      <c r="B20" s="11" t="s">
        <v>69</v>
      </c>
      <c r="C20" s="30" t="s">
        <v>70</v>
      </c>
      <c r="D20" s="57"/>
      <c r="E20" s="43" t="str">
        <f>HYPERLINK("https://www.google.ru/search?q=36693-0008&amp;newwindow=1&amp;tbm=isch","Еще фото")</f>
        <v>Еще фото</v>
      </c>
      <c r="F20" s="14"/>
      <c r="G20" s="11" t="s">
        <v>26</v>
      </c>
      <c r="H20" s="11" t="s">
        <v>27</v>
      </c>
      <c r="I20" s="15" t="s">
        <v>26</v>
      </c>
      <c r="J20" s="15" t="s">
        <v>28</v>
      </c>
      <c r="K20" s="16" t="s">
        <v>29</v>
      </c>
      <c r="L20" s="60" t="s">
        <v>71</v>
      </c>
      <c r="M20" s="15" t="s">
        <v>72</v>
      </c>
      <c r="N20" s="15" t="s">
        <v>73</v>
      </c>
      <c r="O20" s="15"/>
      <c r="P20" s="16" t="s">
        <v>74</v>
      </c>
      <c r="Q20" s="17">
        <v>9399</v>
      </c>
      <c r="R20" s="18">
        <v>48.85</v>
      </c>
      <c r="S20" s="19">
        <v>5528.9355000000005</v>
      </c>
      <c r="T20" s="20" t="s">
        <v>75</v>
      </c>
      <c r="U20" s="21" t="s">
        <v>76</v>
      </c>
      <c r="V20" s="22">
        <v>40</v>
      </c>
      <c r="W20" s="22">
        <v>5</v>
      </c>
      <c r="X20" s="23"/>
    </row>
    <row r="21" spans="1:24" s="1" customFormat="1" ht="21" customHeight="1" x14ac:dyDescent="0.3">
      <c r="A21" s="24" t="s">
        <v>23</v>
      </c>
      <c r="B21" s="24" t="s">
        <v>69</v>
      </c>
      <c r="C21" s="31" t="s">
        <v>70</v>
      </c>
      <c r="D21" s="58"/>
      <c r="E21" s="43" t="str">
        <f>HYPERLINK("https://www.google.ru/search?q=36693-0008&amp;newwindow=1&amp;tbm=isch","Еще фото")</f>
        <v>Еще фото</v>
      </c>
      <c r="F21" s="14"/>
      <c r="G21" s="24" t="s">
        <v>26</v>
      </c>
      <c r="H21" s="24" t="s">
        <v>27</v>
      </c>
      <c r="I21" s="24" t="s">
        <v>26</v>
      </c>
      <c r="J21" s="15" t="s">
        <v>28</v>
      </c>
      <c r="K21" s="16" t="s">
        <v>29</v>
      </c>
      <c r="L21" s="61"/>
      <c r="M21" s="15" t="s">
        <v>72</v>
      </c>
      <c r="N21" s="15" t="s">
        <v>73</v>
      </c>
      <c r="O21" s="15"/>
      <c r="P21" s="16" t="s">
        <v>74</v>
      </c>
      <c r="Q21" s="17">
        <v>9399</v>
      </c>
      <c r="R21" s="18">
        <v>48.85</v>
      </c>
      <c r="S21" s="19">
        <v>5528.9355000000005</v>
      </c>
      <c r="T21" s="20" t="s">
        <v>75</v>
      </c>
      <c r="U21" s="21" t="s">
        <v>77</v>
      </c>
      <c r="V21" s="25" t="s">
        <v>44</v>
      </c>
      <c r="W21" s="22">
        <v>1</v>
      </c>
      <c r="X21" s="23"/>
    </row>
    <row r="22" spans="1:24" s="1" customFormat="1" ht="21" customHeight="1" x14ac:dyDescent="0.3">
      <c r="A22" s="24" t="s">
        <v>23</v>
      </c>
      <c r="B22" s="24" t="s">
        <v>69</v>
      </c>
      <c r="C22" s="31" t="s">
        <v>70</v>
      </c>
      <c r="D22" s="58"/>
      <c r="E22" s="43" t="str">
        <f>HYPERLINK("https://www.google.ru/search?q=36693-0008&amp;newwindow=1&amp;tbm=isch","Еще фото")</f>
        <v>Еще фото</v>
      </c>
      <c r="F22" s="14"/>
      <c r="G22" s="24" t="s">
        <v>26</v>
      </c>
      <c r="H22" s="24" t="s">
        <v>27</v>
      </c>
      <c r="I22" s="24" t="s">
        <v>26</v>
      </c>
      <c r="J22" s="15" t="s">
        <v>28</v>
      </c>
      <c r="K22" s="16" t="s">
        <v>29</v>
      </c>
      <c r="L22" s="61"/>
      <c r="M22" s="15" t="s">
        <v>72</v>
      </c>
      <c r="N22" s="15" t="s">
        <v>73</v>
      </c>
      <c r="O22" s="15"/>
      <c r="P22" s="16" t="s">
        <v>74</v>
      </c>
      <c r="Q22" s="17">
        <v>9399</v>
      </c>
      <c r="R22" s="18">
        <v>48.85</v>
      </c>
      <c r="S22" s="19">
        <v>5528.9355000000005</v>
      </c>
      <c r="T22" s="20" t="s">
        <v>75</v>
      </c>
      <c r="U22" s="21" t="s">
        <v>78</v>
      </c>
      <c r="V22" s="22">
        <v>42</v>
      </c>
      <c r="W22" s="22">
        <v>1</v>
      </c>
      <c r="X22" s="23"/>
    </row>
    <row r="23" spans="1:24" s="1" customFormat="1" ht="21" customHeight="1" x14ac:dyDescent="0.3">
      <c r="A23" s="24" t="s">
        <v>23</v>
      </c>
      <c r="B23" s="24" t="s">
        <v>69</v>
      </c>
      <c r="C23" s="31" t="s">
        <v>70</v>
      </c>
      <c r="D23" s="58"/>
      <c r="E23" s="43" t="str">
        <f>HYPERLINK("https://www.google.ru/search?q=36693-0008&amp;newwindow=1&amp;tbm=isch","Еще фото")</f>
        <v>Еще фото</v>
      </c>
      <c r="F23" s="14"/>
      <c r="G23" s="24" t="s">
        <v>26</v>
      </c>
      <c r="H23" s="24" t="s">
        <v>27</v>
      </c>
      <c r="I23" s="24" t="s">
        <v>26</v>
      </c>
      <c r="J23" s="15" t="s">
        <v>28</v>
      </c>
      <c r="K23" s="16" t="s">
        <v>29</v>
      </c>
      <c r="L23" s="61"/>
      <c r="M23" s="15" t="s">
        <v>72</v>
      </c>
      <c r="N23" s="15" t="s">
        <v>73</v>
      </c>
      <c r="O23" s="15"/>
      <c r="P23" s="16" t="s">
        <v>74</v>
      </c>
      <c r="Q23" s="17">
        <v>9399</v>
      </c>
      <c r="R23" s="18">
        <v>48.85</v>
      </c>
      <c r="S23" s="19">
        <v>5528.9355000000005</v>
      </c>
      <c r="T23" s="20" t="s">
        <v>75</v>
      </c>
      <c r="U23" s="21" t="s">
        <v>79</v>
      </c>
      <c r="V23" s="25" t="s">
        <v>48</v>
      </c>
      <c r="W23" s="22">
        <v>1</v>
      </c>
      <c r="X23" s="23"/>
    </row>
    <row r="24" spans="1:24" s="1" customFormat="1" ht="32" customHeight="1" x14ac:dyDescent="0.3">
      <c r="A24" s="24" t="s">
        <v>23</v>
      </c>
      <c r="B24" s="24" t="s">
        <v>69</v>
      </c>
      <c r="C24" s="31" t="s">
        <v>70</v>
      </c>
      <c r="D24" s="59"/>
      <c r="E24" s="43" t="str">
        <f>HYPERLINK("https://www.google.ru/search?q=36693-0008&amp;newwindow=1&amp;tbm=isch","Еще фото")</f>
        <v>Еще фото</v>
      </c>
      <c r="F24" s="14"/>
      <c r="G24" s="24" t="s">
        <v>26</v>
      </c>
      <c r="H24" s="24" t="s">
        <v>27</v>
      </c>
      <c r="I24" s="24" t="s">
        <v>26</v>
      </c>
      <c r="J24" s="15" t="s">
        <v>28</v>
      </c>
      <c r="K24" s="16" t="s">
        <v>29</v>
      </c>
      <c r="L24" s="62"/>
      <c r="M24" s="15" t="s">
        <v>72</v>
      </c>
      <c r="N24" s="15" t="s">
        <v>73</v>
      </c>
      <c r="O24" s="15"/>
      <c r="P24" s="16" t="s">
        <v>74</v>
      </c>
      <c r="Q24" s="17">
        <v>9399</v>
      </c>
      <c r="R24" s="18">
        <v>48.85</v>
      </c>
      <c r="S24" s="19">
        <v>5528.9355000000005</v>
      </c>
      <c r="T24" s="20" t="s">
        <v>75</v>
      </c>
      <c r="U24" s="21" t="s">
        <v>80</v>
      </c>
      <c r="V24" s="25" t="s">
        <v>63</v>
      </c>
      <c r="W24" s="22">
        <v>1</v>
      </c>
      <c r="X24" s="23"/>
    </row>
    <row r="25" spans="1:24" s="1" customFormat="1" ht="108" customHeight="1" x14ac:dyDescent="0.3">
      <c r="A25" s="11" t="s">
        <v>23</v>
      </c>
      <c r="B25" s="11" t="s">
        <v>81</v>
      </c>
      <c r="C25" s="12" t="s">
        <v>82</v>
      </c>
      <c r="D25" s="13"/>
      <c r="E25" s="43" t="str">
        <f>HYPERLINK("https://www.google.ru/search?q=A0937-0027&amp;newwindow=1&amp;tbm=isch","Еще фото")</f>
        <v>Еще фото</v>
      </c>
      <c r="F25" s="14"/>
      <c r="G25" s="11" t="s">
        <v>56</v>
      </c>
      <c r="H25" s="11" t="s">
        <v>27</v>
      </c>
      <c r="I25" s="15" t="s">
        <v>26</v>
      </c>
      <c r="J25" s="15" t="s">
        <v>28</v>
      </c>
      <c r="K25" s="16" t="s">
        <v>57</v>
      </c>
      <c r="L25" s="15" t="s">
        <v>58</v>
      </c>
      <c r="M25" s="15"/>
      <c r="N25" s="15" t="s">
        <v>83</v>
      </c>
      <c r="O25" s="15"/>
      <c r="P25" s="16" t="s">
        <v>60</v>
      </c>
      <c r="Q25" s="17">
        <v>6499</v>
      </c>
      <c r="R25" s="18">
        <v>46.15</v>
      </c>
      <c r="S25" s="19">
        <v>4024.9884999999995</v>
      </c>
      <c r="T25" s="20" t="s">
        <v>33</v>
      </c>
      <c r="U25" s="21" t="s">
        <v>61</v>
      </c>
      <c r="V25" s="25" t="s">
        <v>48</v>
      </c>
      <c r="W25" s="22">
        <v>1</v>
      </c>
      <c r="X25" s="23"/>
    </row>
    <row r="26" spans="1:24" s="1" customFormat="1" ht="108" customHeight="1" x14ac:dyDescent="0.3">
      <c r="A26" s="11" t="s">
        <v>23</v>
      </c>
      <c r="B26" s="11" t="s">
        <v>84</v>
      </c>
      <c r="C26" s="12" t="s">
        <v>85</v>
      </c>
      <c r="D26" s="13"/>
      <c r="E26" s="43" t="str">
        <f>HYPERLINK("https://www.google.ru/search?q=0057R-0002&amp;newwindow=1&amp;tbm=isch","Еще фото")</f>
        <v>Еще фото</v>
      </c>
      <c r="F26" s="14"/>
      <c r="G26" s="11" t="s">
        <v>26</v>
      </c>
      <c r="H26" s="11" t="s">
        <v>27</v>
      </c>
      <c r="I26" s="15" t="s">
        <v>26</v>
      </c>
      <c r="J26" s="15" t="s">
        <v>37</v>
      </c>
      <c r="K26" s="16" t="s">
        <v>57</v>
      </c>
      <c r="L26" s="15" t="s">
        <v>86</v>
      </c>
      <c r="M26" s="15"/>
      <c r="N26" s="15" t="s">
        <v>87</v>
      </c>
      <c r="O26" s="15"/>
      <c r="P26" s="16" t="s">
        <v>88</v>
      </c>
      <c r="Q26" s="17">
        <v>8899</v>
      </c>
      <c r="R26" s="18">
        <v>46.06</v>
      </c>
      <c r="S26" s="19">
        <v>5519.9884999999995</v>
      </c>
      <c r="T26" s="20" t="s">
        <v>75</v>
      </c>
      <c r="U26" s="21" t="s">
        <v>89</v>
      </c>
      <c r="V26" s="25" t="s">
        <v>90</v>
      </c>
      <c r="W26" s="22">
        <v>1</v>
      </c>
      <c r="X26" s="23"/>
    </row>
    <row r="27" spans="1:24" s="1" customFormat="1" ht="108" customHeight="1" x14ac:dyDescent="0.3">
      <c r="A27" s="11" t="s">
        <v>23</v>
      </c>
      <c r="B27" s="11" t="s">
        <v>91</v>
      </c>
      <c r="C27" s="12" t="s">
        <v>92</v>
      </c>
      <c r="D27" s="13"/>
      <c r="E27" s="43" t="str">
        <f>HYPERLINK("https://www.google.ru/search?q=17196-0200&amp;newwindow=1&amp;tbm=isch","Еще фото")</f>
        <v>Еще фото</v>
      </c>
      <c r="F27" s="14"/>
      <c r="G27" s="11" t="s">
        <v>26</v>
      </c>
      <c r="H27" s="11" t="s">
        <v>27</v>
      </c>
      <c r="I27" s="15" t="s">
        <v>26</v>
      </c>
      <c r="J27" s="15" t="s">
        <v>37</v>
      </c>
      <c r="K27" s="16" t="s">
        <v>57</v>
      </c>
      <c r="L27" s="15" t="s">
        <v>93</v>
      </c>
      <c r="M27" s="15"/>
      <c r="N27" s="15" t="s">
        <v>31</v>
      </c>
      <c r="O27" s="15"/>
      <c r="P27" s="16" t="s">
        <v>94</v>
      </c>
      <c r="Q27" s="17">
        <v>8899</v>
      </c>
      <c r="R27" s="18">
        <v>46.06</v>
      </c>
      <c r="S27" s="19">
        <v>5519.9884999999995</v>
      </c>
      <c r="T27" s="20" t="s">
        <v>75</v>
      </c>
      <c r="U27" s="21" t="s">
        <v>95</v>
      </c>
      <c r="V27" s="25" t="s">
        <v>96</v>
      </c>
      <c r="W27" s="22">
        <v>1</v>
      </c>
      <c r="X27" s="23"/>
    </row>
    <row r="28" spans="1:24" s="1" customFormat="1" ht="108" customHeight="1" x14ac:dyDescent="0.3">
      <c r="A28" s="11" t="s">
        <v>23</v>
      </c>
      <c r="B28" s="11" t="s">
        <v>97</v>
      </c>
      <c r="C28" s="12" t="s">
        <v>98</v>
      </c>
      <c r="D28" s="13"/>
      <c r="E28" s="43" t="str">
        <f>HYPERLINK("https://www.google.ru/search?q=A5753-0094&amp;newwindow=1&amp;tbm=isch","Еще фото")</f>
        <v>Еще фото</v>
      </c>
      <c r="F28" s="14"/>
      <c r="G28" s="11" t="s">
        <v>26</v>
      </c>
      <c r="H28" s="11" t="s">
        <v>27</v>
      </c>
      <c r="I28" s="15" t="s">
        <v>26</v>
      </c>
      <c r="J28" s="15" t="s">
        <v>37</v>
      </c>
      <c r="K28" s="16" t="s">
        <v>57</v>
      </c>
      <c r="L28" s="15"/>
      <c r="M28" s="15"/>
      <c r="N28" s="15" t="s">
        <v>99</v>
      </c>
      <c r="O28" s="15"/>
      <c r="P28" s="16" t="s">
        <v>32</v>
      </c>
      <c r="Q28" s="17">
        <v>8899</v>
      </c>
      <c r="R28" s="18">
        <v>46.06</v>
      </c>
      <c r="S28" s="19">
        <v>5519.9884999999995</v>
      </c>
      <c r="T28" s="20" t="s">
        <v>75</v>
      </c>
      <c r="U28" s="21" t="s">
        <v>100</v>
      </c>
      <c r="V28" s="25" t="s">
        <v>90</v>
      </c>
      <c r="W28" s="22">
        <v>1</v>
      </c>
      <c r="X28" s="23"/>
    </row>
    <row r="29" spans="1:24" s="1" customFormat="1" ht="108" customHeight="1" x14ac:dyDescent="0.3">
      <c r="A29" s="11" t="s">
        <v>23</v>
      </c>
      <c r="B29" s="11" t="s">
        <v>101</v>
      </c>
      <c r="C29" s="12" t="s">
        <v>102</v>
      </c>
      <c r="D29" s="13"/>
      <c r="E29" s="43" t="str">
        <f>HYPERLINK("https://www.google.ru/search?q=A5753-0097&amp;newwindow=1&amp;tbm=isch","Еще фото")</f>
        <v>Еще фото</v>
      </c>
      <c r="F29" s="14"/>
      <c r="G29" s="11" t="s">
        <v>26</v>
      </c>
      <c r="H29" s="11" t="s">
        <v>27</v>
      </c>
      <c r="I29" s="15" t="s">
        <v>26</v>
      </c>
      <c r="J29" s="15" t="s">
        <v>37</v>
      </c>
      <c r="K29" s="16" t="s">
        <v>57</v>
      </c>
      <c r="L29" s="15" t="s">
        <v>103</v>
      </c>
      <c r="M29" s="15"/>
      <c r="N29" s="15" t="s">
        <v>31</v>
      </c>
      <c r="O29" s="15"/>
      <c r="P29" s="16" t="s">
        <v>32</v>
      </c>
      <c r="Q29" s="17">
        <v>8899</v>
      </c>
      <c r="R29" s="18">
        <v>46.06</v>
      </c>
      <c r="S29" s="19">
        <v>5519.9884999999995</v>
      </c>
      <c r="T29" s="20" t="s">
        <v>75</v>
      </c>
      <c r="U29" s="21" t="s">
        <v>104</v>
      </c>
      <c r="V29" s="25" t="s">
        <v>96</v>
      </c>
      <c r="W29" s="22">
        <v>1</v>
      </c>
      <c r="X29" s="23"/>
    </row>
    <row r="30" spans="1:24" s="1" customFormat="1" ht="52.05" customHeight="1" x14ac:dyDescent="0.3">
      <c r="A30" s="11" t="s">
        <v>23</v>
      </c>
      <c r="B30" s="11" t="s">
        <v>105</v>
      </c>
      <c r="C30" s="12" t="s">
        <v>106</v>
      </c>
      <c r="D30" s="63"/>
      <c r="E30" s="43" t="str">
        <f>HYPERLINK("https://www.google.ru/search?q=001K9-0006&amp;newwindow=1&amp;tbm=isch","Еще фото")</f>
        <v>Еще фото</v>
      </c>
      <c r="F30" s="14"/>
      <c r="G30" s="11" t="s">
        <v>26</v>
      </c>
      <c r="H30" s="11" t="s">
        <v>27</v>
      </c>
      <c r="I30" s="15" t="s">
        <v>26</v>
      </c>
      <c r="J30" s="15" t="s">
        <v>37</v>
      </c>
      <c r="K30" s="16" t="s">
        <v>57</v>
      </c>
      <c r="L30" s="60" t="s">
        <v>107</v>
      </c>
      <c r="M30" s="15"/>
      <c r="N30" s="15" t="s">
        <v>83</v>
      </c>
      <c r="O30" s="15"/>
      <c r="P30" s="16" t="s">
        <v>108</v>
      </c>
      <c r="Q30" s="17">
        <v>9999</v>
      </c>
      <c r="R30" s="18">
        <v>45.99</v>
      </c>
      <c r="S30" s="19">
        <v>6209.9884999999995</v>
      </c>
      <c r="T30" s="20" t="s">
        <v>75</v>
      </c>
      <c r="U30" s="21" t="s">
        <v>53</v>
      </c>
      <c r="V30" s="25" t="s">
        <v>65</v>
      </c>
      <c r="W30" s="22">
        <v>1</v>
      </c>
      <c r="X30" s="23"/>
    </row>
    <row r="31" spans="1:24" s="1" customFormat="1" ht="61.05" customHeight="1" x14ac:dyDescent="0.3">
      <c r="A31" s="24" t="s">
        <v>23</v>
      </c>
      <c r="B31" s="24" t="s">
        <v>105</v>
      </c>
      <c r="C31" s="12" t="s">
        <v>106</v>
      </c>
      <c r="D31" s="64"/>
      <c r="E31" s="43" t="str">
        <f>HYPERLINK("https://www.google.ru/search?q=001K9-0006&amp;newwindow=1&amp;tbm=isch","Еще фото")</f>
        <v>Еще фото</v>
      </c>
      <c r="F31" s="14"/>
      <c r="G31" s="24" t="s">
        <v>26</v>
      </c>
      <c r="H31" s="24" t="s">
        <v>27</v>
      </c>
      <c r="I31" s="24" t="s">
        <v>26</v>
      </c>
      <c r="J31" s="15" t="s">
        <v>37</v>
      </c>
      <c r="K31" s="16" t="s">
        <v>57</v>
      </c>
      <c r="L31" s="62"/>
      <c r="M31" s="15"/>
      <c r="N31" s="15" t="s">
        <v>83</v>
      </c>
      <c r="O31" s="15"/>
      <c r="P31" s="16" t="s">
        <v>108</v>
      </c>
      <c r="Q31" s="17">
        <v>9999</v>
      </c>
      <c r="R31" s="18">
        <v>45.99</v>
      </c>
      <c r="S31" s="19">
        <v>6209.9884999999995</v>
      </c>
      <c r="T31" s="20" t="s">
        <v>75</v>
      </c>
      <c r="U31" s="21" t="s">
        <v>109</v>
      </c>
      <c r="V31" s="25" t="s">
        <v>65</v>
      </c>
      <c r="W31" s="22">
        <v>1</v>
      </c>
      <c r="X31" s="23"/>
    </row>
    <row r="32" spans="1:24" s="1" customFormat="1" ht="108" customHeight="1" x14ac:dyDescent="0.3">
      <c r="A32" s="11" t="s">
        <v>23</v>
      </c>
      <c r="B32" s="11" t="s">
        <v>110</v>
      </c>
      <c r="C32" s="12" t="s">
        <v>111</v>
      </c>
      <c r="D32" s="13"/>
      <c r="E32" s="43" t="str">
        <f>HYPERLINK("https://www.google.ru/search?q=A1040-0001&amp;newwindow=1&amp;tbm=isch","Еще фото")</f>
        <v>Еще фото</v>
      </c>
      <c r="F32" s="14"/>
      <c r="G32" s="11" t="s">
        <v>26</v>
      </c>
      <c r="H32" s="11" t="s">
        <v>27</v>
      </c>
      <c r="I32" s="15" t="s">
        <v>26</v>
      </c>
      <c r="J32" s="15" t="s">
        <v>28</v>
      </c>
      <c r="K32" s="16" t="s">
        <v>57</v>
      </c>
      <c r="L32" s="15" t="s">
        <v>112</v>
      </c>
      <c r="M32" s="15" t="s">
        <v>72</v>
      </c>
      <c r="N32" s="15" t="s">
        <v>83</v>
      </c>
      <c r="O32" s="15" t="s">
        <v>113</v>
      </c>
      <c r="P32" s="16" t="s">
        <v>88</v>
      </c>
      <c r="Q32" s="17">
        <v>10499</v>
      </c>
      <c r="R32" s="18">
        <v>45.71</v>
      </c>
      <c r="S32" s="19">
        <v>6554.9884999999995</v>
      </c>
      <c r="T32" s="20" t="s">
        <v>33</v>
      </c>
      <c r="U32" s="21" t="s">
        <v>61</v>
      </c>
      <c r="V32" s="25" t="s">
        <v>48</v>
      </c>
      <c r="W32" s="22">
        <v>4</v>
      </c>
      <c r="X32" s="23"/>
    </row>
    <row r="33" spans="1:24" s="1" customFormat="1" ht="108" customHeight="1" x14ac:dyDescent="0.3">
      <c r="A33" s="11" t="s">
        <v>23</v>
      </c>
      <c r="B33" s="11" t="s">
        <v>114</v>
      </c>
      <c r="C33" s="12" t="s">
        <v>115</v>
      </c>
      <c r="D33" s="13"/>
      <c r="E33" s="43" t="str">
        <f>HYPERLINK("https://www.google.ru/search?q=A4761-0008&amp;newwindow=1&amp;tbm=isch","Еще фото")</f>
        <v>Еще фото</v>
      </c>
      <c r="F33" s="14"/>
      <c r="G33" s="11" t="s">
        <v>26</v>
      </c>
      <c r="H33" s="11" t="s">
        <v>27</v>
      </c>
      <c r="I33" s="15" t="s">
        <v>26</v>
      </c>
      <c r="J33" s="15" t="s">
        <v>28</v>
      </c>
      <c r="K33" s="16" t="s">
        <v>57</v>
      </c>
      <c r="L33" s="15" t="s">
        <v>116</v>
      </c>
      <c r="M33" s="15"/>
      <c r="N33" s="15" t="s">
        <v>87</v>
      </c>
      <c r="O33" s="15"/>
      <c r="P33" s="16" t="s">
        <v>88</v>
      </c>
      <c r="Q33" s="17">
        <v>11599</v>
      </c>
      <c r="R33" s="18">
        <v>45.69</v>
      </c>
      <c r="S33" s="19">
        <v>7244.9884999999995</v>
      </c>
      <c r="T33" s="20" t="s">
        <v>33</v>
      </c>
      <c r="U33" s="21" t="s">
        <v>62</v>
      </c>
      <c r="V33" s="25" t="s">
        <v>63</v>
      </c>
      <c r="W33" s="22">
        <v>1</v>
      </c>
      <c r="X33" s="23"/>
    </row>
    <row r="34" spans="1:24" s="1" customFormat="1" ht="108" customHeight="1" x14ac:dyDescent="0.3">
      <c r="A34" s="11" t="s">
        <v>23</v>
      </c>
      <c r="B34" s="11" t="s">
        <v>117</v>
      </c>
      <c r="C34" s="12" t="s">
        <v>118</v>
      </c>
      <c r="D34" s="13"/>
      <c r="E34" s="43" t="str">
        <f>HYPERLINK("https://www.google.ru/search?q=A1887-0000&amp;newwindow=1&amp;tbm=isch","Еще фото")</f>
        <v>Еще фото</v>
      </c>
      <c r="F34" s="14"/>
      <c r="G34" s="11" t="s">
        <v>26</v>
      </c>
      <c r="H34" s="11" t="s">
        <v>27</v>
      </c>
      <c r="I34" s="15" t="s">
        <v>26</v>
      </c>
      <c r="J34" s="15" t="s">
        <v>28</v>
      </c>
      <c r="K34" s="16" t="s">
        <v>29</v>
      </c>
      <c r="L34" s="15" t="s">
        <v>119</v>
      </c>
      <c r="M34" s="15" t="s">
        <v>72</v>
      </c>
      <c r="N34" s="15" t="s">
        <v>120</v>
      </c>
      <c r="O34" s="15" t="s">
        <v>121</v>
      </c>
      <c r="P34" s="16" t="s">
        <v>122</v>
      </c>
      <c r="Q34" s="17">
        <v>9199</v>
      </c>
      <c r="R34" s="18">
        <v>45.65</v>
      </c>
      <c r="S34" s="19">
        <v>5749.9884999999995</v>
      </c>
      <c r="T34" s="20" t="s">
        <v>33</v>
      </c>
      <c r="U34" s="21" t="s">
        <v>61</v>
      </c>
      <c r="V34" s="22">
        <v>42</v>
      </c>
      <c r="W34" s="22">
        <v>3</v>
      </c>
      <c r="X34" s="23"/>
    </row>
    <row r="35" spans="1:24" s="1" customFormat="1" ht="108" customHeight="1" x14ac:dyDescent="0.3">
      <c r="A35" s="11" t="s">
        <v>23</v>
      </c>
      <c r="B35" s="11" t="s">
        <v>123</v>
      </c>
      <c r="C35" s="12" t="s">
        <v>124</v>
      </c>
      <c r="D35" s="13"/>
      <c r="E35" s="43" t="str">
        <f>HYPERLINK("https://www.google.ru/search?q=A0979-0001&amp;newwindow=1&amp;tbm=isch","Еще фото")</f>
        <v>Еще фото</v>
      </c>
      <c r="F35" s="14"/>
      <c r="G35" s="11" t="s">
        <v>26</v>
      </c>
      <c r="H35" s="11" t="s">
        <v>27</v>
      </c>
      <c r="I35" s="15" t="s">
        <v>26</v>
      </c>
      <c r="J35" s="15" t="s">
        <v>28</v>
      </c>
      <c r="K35" s="16" t="s">
        <v>29</v>
      </c>
      <c r="L35" s="15" t="s">
        <v>125</v>
      </c>
      <c r="M35" s="15" t="s">
        <v>72</v>
      </c>
      <c r="N35" s="15" t="s">
        <v>31</v>
      </c>
      <c r="O35" s="15"/>
      <c r="P35" s="16" t="s">
        <v>32</v>
      </c>
      <c r="Q35" s="17">
        <v>16699</v>
      </c>
      <c r="R35" s="18">
        <v>45.51</v>
      </c>
      <c r="S35" s="19">
        <v>10464.988499999999</v>
      </c>
      <c r="T35" s="20" t="s">
        <v>75</v>
      </c>
      <c r="U35" s="21" t="s">
        <v>126</v>
      </c>
      <c r="V35" s="22">
        <v>42</v>
      </c>
      <c r="W35" s="22">
        <v>1</v>
      </c>
      <c r="X35" s="23"/>
    </row>
    <row r="36" spans="1:24" s="1" customFormat="1" ht="108" customHeight="1" x14ac:dyDescent="0.3">
      <c r="A36" s="11" t="s">
        <v>23</v>
      </c>
      <c r="B36" s="11" t="s">
        <v>127</v>
      </c>
      <c r="C36" s="12" t="s">
        <v>128</v>
      </c>
      <c r="D36" s="13"/>
      <c r="E36" s="43" t="str">
        <f>HYPERLINK("https://www.google.ru/search?q=A1040-0000&amp;newwindow=1&amp;tbm=isch","Еще фото")</f>
        <v>Еще фото</v>
      </c>
      <c r="F36" s="14"/>
      <c r="G36" s="11" t="s">
        <v>26</v>
      </c>
      <c r="H36" s="11" t="s">
        <v>27</v>
      </c>
      <c r="I36" s="15" t="s">
        <v>26</v>
      </c>
      <c r="J36" s="15" t="s">
        <v>28</v>
      </c>
      <c r="K36" s="16" t="s">
        <v>57</v>
      </c>
      <c r="L36" s="15" t="s">
        <v>129</v>
      </c>
      <c r="M36" s="15" t="s">
        <v>72</v>
      </c>
      <c r="N36" s="15" t="s">
        <v>130</v>
      </c>
      <c r="O36" s="15" t="s">
        <v>113</v>
      </c>
      <c r="P36" s="16" t="s">
        <v>131</v>
      </c>
      <c r="Q36" s="17">
        <v>9899</v>
      </c>
      <c r="R36" s="18">
        <v>45.45</v>
      </c>
      <c r="S36" s="19">
        <v>6209.9884999999995</v>
      </c>
      <c r="T36" s="20" t="s">
        <v>33</v>
      </c>
      <c r="U36" s="21" t="s">
        <v>61</v>
      </c>
      <c r="V36" s="25" t="s">
        <v>48</v>
      </c>
      <c r="W36" s="22">
        <v>6</v>
      </c>
      <c r="X36" s="23"/>
    </row>
    <row r="37" spans="1:24" s="1" customFormat="1" ht="108" customHeight="1" x14ac:dyDescent="0.3">
      <c r="A37" s="11" t="s">
        <v>23</v>
      </c>
      <c r="B37" s="11" t="s">
        <v>132</v>
      </c>
      <c r="C37" s="12" t="s">
        <v>133</v>
      </c>
      <c r="D37" s="13"/>
      <c r="E37" s="43" t="str">
        <f>HYPERLINK("https://www.google.ru/search?q=A4673-0002&amp;newwindow=1&amp;tbm=isch","Еще фото")</f>
        <v>Еще фото</v>
      </c>
      <c r="F37" s="14"/>
      <c r="G37" s="11" t="s">
        <v>26</v>
      </c>
      <c r="H37" s="11" t="s">
        <v>27</v>
      </c>
      <c r="I37" s="15" t="s">
        <v>26</v>
      </c>
      <c r="J37" s="15" t="s">
        <v>37</v>
      </c>
      <c r="K37" s="16" t="s">
        <v>29</v>
      </c>
      <c r="L37" s="15"/>
      <c r="M37" s="15"/>
      <c r="N37" s="15" t="s">
        <v>130</v>
      </c>
      <c r="O37" s="15"/>
      <c r="P37" s="16" t="s">
        <v>88</v>
      </c>
      <c r="Q37" s="17">
        <v>16299</v>
      </c>
      <c r="R37" s="18">
        <v>45.4</v>
      </c>
      <c r="S37" s="19">
        <v>10234.988499999999</v>
      </c>
      <c r="T37" s="20" t="s">
        <v>75</v>
      </c>
      <c r="U37" s="21" t="s">
        <v>134</v>
      </c>
      <c r="V37" s="22">
        <v>48</v>
      </c>
      <c r="W37" s="22">
        <v>1</v>
      </c>
      <c r="X37" s="23"/>
    </row>
    <row r="38" spans="1:24" s="1" customFormat="1" ht="108" customHeight="1" x14ac:dyDescent="0.3">
      <c r="A38" s="11" t="s">
        <v>23</v>
      </c>
      <c r="B38" s="11" t="s">
        <v>135</v>
      </c>
      <c r="C38" s="12" t="s">
        <v>136</v>
      </c>
      <c r="D38" s="13"/>
      <c r="E38" s="43" t="str">
        <f>HYPERLINK("https://www.google.ru/search?q=85226-0168&amp;newwindow=1&amp;tbm=isch","Еще фото")</f>
        <v>Еще фото</v>
      </c>
      <c r="F38" s="14"/>
      <c r="G38" s="11" t="s">
        <v>26</v>
      </c>
      <c r="H38" s="11" t="s">
        <v>27</v>
      </c>
      <c r="I38" s="15" t="s">
        <v>26</v>
      </c>
      <c r="J38" s="15" t="s">
        <v>37</v>
      </c>
      <c r="K38" s="16" t="s">
        <v>57</v>
      </c>
      <c r="L38" s="15" t="s">
        <v>137</v>
      </c>
      <c r="M38" s="15"/>
      <c r="N38" s="15" t="s">
        <v>138</v>
      </c>
      <c r="O38" s="15"/>
      <c r="P38" s="16" t="s">
        <v>139</v>
      </c>
      <c r="Q38" s="17">
        <v>13699</v>
      </c>
      <c r="R38" s="18">
        <v>45.25</v>
      </c>
      <c r="S38" s="19">
        <v>8624.9884999999995</v>
      </c>
      <c r="T38" s="20" t="s">
        <v>75</v>
      </c>
      <c r="U38" s="21" t="s">
        <v>140</v>
      </c>
      <c r="V38" s="25" t="s">
        <v>65</v>
      </c>
      <c r="W38" s="22">
        <v>1</v>
      </c>
      <c r="X38" s="23"/>
    </row>
    <row r="39" spans="1:24" s="1" customFormat="1" ht="52.05" customHeight="1" x14ac:dyDescent="0.3">
      <c r="A39" s="11" t="s">
        <v>23</v>
      </c>
      <c r="B39" s="11" t="s">
        <v>141</v>
      </c>
      <c r="C39" s="12" t="s">
        <v>142</v>
      </c>
      <c r="D39" s="63"/>
      <c r="E39" s="43" t="str">
        <f>HYPERLINK("https://www.google.ru/search?q=85226-0169&amp;newwindow=1&amp;tbm=isch","Еще фото")</f>
        <v>Еще фото</v>
      </c>
      <c r="F39" s="14"/>
      <c r="G39" s="11" t="s">
        <v>26</v>
      </c>
      <c r="H39" s="11" t="s">
        <v>27</v>
      </c>
      <c r="I39" s="15" t="s">
        <v>26</v>
      </c>
      <c r="J39" s="15" t="s">
        <v>37</v>
      </c>
      <c r="K39" s="16" t="s">
        <v>57</v>
      </c>
      <c r="L39" s="60" t="s">
        <v>137</v>
      </c>
      <c r="M39" s="15"/>
      <c r="N39" s="15" t="s">
        <v>83</v>
      </c>
      <c r="O39" s="15"/>
      <c r="P39" s="16" t="s">
        <v>139</v>
      </c>
      <c r="Q39" s="17">
        <v>13699</v>
      </c>
      <c r="R39" s="18">
        <v>45.25</v>
      </c>
      <c r="S39" s="19">
        <v>8624.9884999999995</v>
      </c>
      <c r="T39" s="20" t="s">
        <v>75</v>
      </c>
      <c r="U39" s="21" t="s">
        <v>52</v>
      </c>
      <c r="V39" s="25" t="s">
        <v>65</v>
      </c>
      <c r="W39" s="22">
        <v>2</v>
      </c>
      <c r="X39" s="23"/>
    </row>
    <row r="40" spans="1:24" s="1" customFormat="1" ht="61.05" customHeight="1" x14ac:dyDescent="0.3">
      <c r="A40" s="24" t="s">
        <v>23</v>
      </c>
      <c r="B40" s="24" t="s">
        <v>141</v>
      </c>
      <c r="C40" s="12" t="s">
        <v>142</v>
      </c>
      <c r="D40" s="64"/>
      <c r="E40" s="43" t="str">
        <f>HYPERLINK("https://www.google.ru/search?q=85226-0169&amp;newwindow=1&amp;tbm=isch","Еще фото")</f>
        <v>Еще фото</v>
      </c>
      <c r="F40" s="14"/>
      <c r="G40" s="24" t="s">
        <v>26</v>
      </c>
      <c r="H40" s="24" t="s">
        <v>27</v>
      </c>
      <c r="I40" s="24" t="s">
        <v>26</v>
      </c>
      <c r="J40" s="15" t="s">
        <v>37</v>
      </c>
      <c r="K40" s="16" t="s">
        <v>57</v>
      </c>
      <c r="L40" s="62"/>
      <c r="M40" s="15"/>
      <c r="N40" s="15" t="s">
        <v>83</v>
      </c>
      <c r="O40" s="15"/>
      <c r="P40" s="16" t="s">
        <v>139</v>
      </c>
      <c r="Q40" s="17">
        <v>13699</v>
      </c>
      <c r="R40" s="18">
        <v>45.25</v>
      </c>
      <c r="S40" s="19">
        <v>8624.9884999999995</v>
      </c>
      <c r="T40" s="20" t="s">
        <v>75</v>
      </c>
      <c r="U40" s="21" t="s">
        <v>143</v>
      </c>
      <c r="V40" s="25" t="s">
        <v>65</v>
      </c>
      <c r="W40" s="22">
        <v>1</v>
      </c>
      <c r="X40" s="23"/>
    </row>
    <row r="41" spans="1:24" s="1" customFormat="1" ht="108" customHeight="1" x14ac:dyDescent="0.3">
      <c r="A41" s="11" t="s">
        <v>23</v>
      </c>
      <c r="B41" s="11" t="s">
        <v>144</v>
      </c>
      <c r="C41" s="12" t="s">
        <v>145</v>
      </c>
      <c r="D41" s="13"/>
      <c r="E41" s="43" t="str">
        <f>HYPERLINK("https://www.google.ru/search?q=003KO-0004&amp;newwindow=1&amp;tbm=isch","Еще фото")</f>
        <v>Еще фото</v>
      </c>
      <c r="F41" s="14"/>
      <c r="G41" s="11" t="s">
        <v>26</v>
      </c>
      <c r="H41" s="11" t="s">
        <v>27</v>
      </c>
      <c r="I41" s="15" t="s">
        <v>26</v>
      </c>
      <c r="J41" s="15" t="s">
        <v>28</v>
      </c>
      <c r="K41" s="16" t="s">
        <v>57</v>
      </c>
      <c r="L41" s="15" t="s">
        <v>146</v>
      </c>
      <c r="M41" s="15"/>
      <c r="N41" s="15" t="s">
        <v>39</v>
      </c>
      <c r="O41" s="15"/>
      <c r="P41" s="16" t="s">
        <v>32</v>
      </c>
      <c r="Q41" s="17">
        <v>16799</v>
      </c>
      <c r="R41" s="18">
        <v>45.23</v>
      </c>
      <c r="S41" s="19">
        <v>10579.988499999999</v>
      </c>
      <c r="T41" s="20" t="s">
        <v>33</v>
      </c>
      <c r="U41" s="21" t="s">
        <v>64</v>
      </c>
      <c r="V41" s="25" t="s">
        <v>65</v>
      </c>
      <c r="W41" s="22">
        <v>3</v>
      </c>
      <c r="X41" s="23"/>
    </row>
    <row r="42" spans="1:24" s="1" customFormat="1" ht="35" customHeight="1" x14ac:dyDescent="0.3">
      <c r="A42" s="11" t="s">
        <v>23</v>
      </c>
      <c r="B42" s="11" t="s">
        <v>147</v>
      </c>
      <c r="C42" s="12" t="s">
        <v>148</v>
      </c>
      <c r="D42" s="57"/>
      <c r="E42" s="43" t="str">
        <f>HYPERLINK("https://www.google.ru/search?q=003KO-0005&amp;newwindow=1&amp;tbm=isch","Еще фото")</f>
        <v>Еще фото</v>
      </c>
      <c r="F42" s="14"/>
      <c r="G42" s="11" t="s">
        <v>26</v>
      </c>
      <c r="H42" s="11" t="s">
        <v>27</v>
      </c>
      <c r="I42" s="15" t="s">
        <v>26</v>
      </c>
      <c r="J42" s="15" t="s">
        <v>28</v>
      </c>
      <c r="K42" s="16" t="s">
        <v>57</v>
      </c>
      <c r="L42" s="60" t="s">
        <v>149</v>
      </c>
      <c r="M42" s="15"/>
      <c r="N42" s="15" t="s">
        <v>83</v>
      </c>
      <c r="O42" s="15"/>
      <c r="P42" s="16" t="s">
        <v>32</v>
      </c>
      <c r="Q42" s="17">
        <v>16799</v>
      </c>
      <c r="R42" s="18">
        <v>45.23</v>
      </c>
      <c r="S42" s="19">
        <v>10579.988499999999</v>
      </c>
      <c r="T42" s="20" t="s">
        <v>33</v>
      </c>
      <c r="U42" s="21" t="s">
        <v>64</v>
      </c>
      <c r="V42" s="25" t="s">
        <v>65</v>
      </c>
      <c r="W42" s="22">
        <v>2</v>
      </c>
      <c r="X42" s="23"/>
    </row>
    <row r="43" spans="1:24" s="1" customFormat="1" ht="35" customHeight="1" x14ac:dyDescent="0.3">
      <c r="A43" s="24" t="s">
        <v>23</v>
      </c>
      <c r="B43" s="24" t="s">
        <v>147</v>
      </c>
      <c r="C43" s="12" t="s">
        <v>148</v>
      </c>
      <c r="D43" s="58"/>
      <c r="E43" s="43" t="str">
        <f>HYPERLINK("https://www.google.ru/search?q=003KO-0005&amp;newwindow=1&amp;tbm=isch","Еще фото")</f>
        <v>Еще фото</v>
      </c>
      <c r="F43" s="14"/>
      <c r="G43" s="24" t="s">
        <v>26</v>
      </c>
      <c r="H43" s="24" t="s">
        <v>27</v>
      </c>
      <c r="I43" s="24" t="s">
        <v>26</v>
      </c>
      <c r="J43" s="15" t="s">
        <v>28</v>
      </c>
      <c r="K43" s="16" t="s">
        <v>57</v>
      </c>
      <c r="L43" s="61"/>
      <c r="M43" s="15"/>
      <c r="N43" s="15" t="s">
        <v>83</v>
      </c>
      <c r="O43" s="15"/>
      <c r="P43" s="16" t="s">
        <v>32</v>
      </c>
      <c r="Q43" s="17">
        <v>16799</v>
      </c>
      <c r="R43" s="18">
        <v>45.23</v>
      </c>
      <c r="S43" s="19">
        <v>10579.988499999999</v>
      </c>
      <c r="T43" s="20" t="s">
        <v>33</v>
      </c>
      <c r="U43" s="21" t="s">
        <v>34</v>
      </c>
      <c r="V43" s="25" t="s">
        <v>96</v>
      </c>
      <c r="W43" s="22">
        <v>1</v>
      </c>
      <c r="X43" s="23"/>
    </row>
    <row r="44" spans="1:24" s="1" customFormat="1" ht="37.049999999999997" customHeight="1" x14ac:dyDescent="0.3">
      <c r="A44" s="24" t="s">
        <v>23</v>
      </c>
      <c r="B44" s="24" t="s">
        <v>147</v>
      </c>
      <c r="C44" s="12" t="s">
        <v>148</v>
      </c>
      <c r="D44" s="59"/>
      <c r="E44" s="43" t="str">
        <f>HYPERLINK("https://www.google.ru/search?q=003KO-0005&amp;newwindow=1&amp;tbm=isch","Еще фото")</f>
        <v>Еще фото</v>
      </c>
      <c r="F44" s="14"/>
      <c r="G44" s="24" t="s">
        <v>26</v>
      </c>
      <c r="H44" s="24" t="s">
        <v>27</v>
      </c>
      <c r="I44" s="24" t="s">
        <v>26</v>
      </c>
      <c r="J44" s="15" t="s">
        <v>28</v>
      </c>
      <c r="K44" s="16" t="s">
        <v>57</v>
      </c>
      <c r="L44" s="62"/>
      <c r="M44" s="15"/>
      <c r="N44" s="15" t="s">
        <v>83</v>
      </c>
      <c r="O44" s="15"/>
      <c r="P44" s="16" t="s">
        <v>32</v>
      </c>
      <c r="Q44" s="17">
        <v>16799</v>
      </c>
      <c r="R44" s="18">
        <v>45.23</v>
      </c>
      <c r="S44" s="19">
        <v>10579.988499999999</v>
      </c>
      <c r="T44" s="20" t="s">
        <v>33</v>
      </c>
      <c r="U44" s="21" t="s">
        <v>150</v>
      </c>
      <c r="V44" s="25" t="s">
        <v>90</v>
      </c>
      <c r="W44" s="22">
        <v>1</v>
      </c>
      <c r="X44" s="23"/>
    </row>
    <row r="45" spans="1:24" s="1" customFormat="1" ht="108" customHeight="1" x14ac:dyDescent="0.3">
      <c r="A45" s="11" t="s">
        <v>23</v>
      </c>
      <c r="B45" s="11" t="s">
        <v>151</v>
      </c>
      <c r="C45" s="12" t="s">
        <v>152</v>
      </c>
      <c r="D45" s="13"/>
      <c r="E45" s="43" t="str">
        <f>HYPERLINK("https://www.google.ru/search?q=A5753-0011&amp;newwindow=1&amp;tbm=isch","Еще фото")</f>
        <v>Еще фото</v>
      </c>
      <c r="F45" s="14"/>
      <c r="G45" s="11" t="s">
        <v>26</v>
      </c>
      <c r="H45" s="11" t="s">
        <v>27</v>
      </c>
      <c r="I45" s="15" t="s">
        <v>26</v>
      </c>
      <c r="J45" s="15" t="s">
        <v>37</v>
      </c>
      <c r="K45" s="16" t="s">
        <v>57</v>
      </c>
      <c r="L45" s="15" t="s">
        <v>103</v>
      </c>
      <c r="M45" s="15"/>
      <c r="N45" s="15" t="s">
        <v>130</v>
      </c>
      <c r="O45" s="15"/>
      <c r="P45" s="16" t="s">
        <v>32</v>
      </c>
      <c r="Q45" s="17">
        <v>14599</v>
      </c>
      <c r="R45" s="18">
        <v>45.2</v>
      </c>
      <c r="S45" s="19">
        <v>9199.9884999999995</v>
      </c>
      <c r="T45" s="20" t="s">
        <v>75</v>
      </c>
      <c r="U45" s="21" t="s">
        <v>143</v>
      </c>
      <c r="V45" s="25" t="s">
        <v>65</v>
      </c>
      <c r="W45" s="22">
        <v>1</v>
      </c>
      <c r="X45" s="23"/>
    </row>
    <row r="46" spans="1:24" s="1" customFormat="1" ht="108" customHeight="1" x14ac:dyDescent="0.3">
      <c r="A46" s="11" t="s">
        <v>23</v>
      </c>
      <c r="B46" s="11" t="s">
        <v>153</v>
      </c>
      <c r="C46" s="12" t="s">
        <v>154</v>
      </c>
      <c r="D46" s="13"/>
      <c r="E46" s="43" t="str">
        <f>HYPERLINK("https://www.google.ru/search?q=001VV-0001&amp;newwindow=1&amp;tbm=isch","Еще фото")</f>
        <v>Еще фото</v>
      </c>
      <c r="F46" s="14"/>
      <c r="G46" s="11" t="s">
        <v>26</v>
      </c>
      <c r="H46" s="11" t="s">
        <v>27</v>
      </c>
      <c r="I46" s="15" t="s">
        <v>26</v>
      </c>
      <c r="J46" s="15" t="s">
        <v>37</v>
      </c>
      <c r="K46" s="16" t="s">
        <v>29</v>
      </c>
      <c r="L46" s="15" t="s">
        <v>155</v>
      </c>
      <c r="M46" s="15"/>
      <c r="N46" s="15" t="s">
        <v>156</v>
      </c>
      <c r="O46" s="15"/>
      <c r="P46" s="16" t="s">
        <v>32</v>
      </c>
      <c r="Q46" s="17">
        <v>18599</v>
      </c>
      <c r="R46" s="18">
        <v>45.16</v>
      </c>
      <c r="S46" s="19">
        <v>11729.988499999999</v>
      </c>
      <c r="T46" s="20" t="s">
        <v>75</v>
      </c>
      <c r="U46" s="21" t="s">
        <v>50</v>
      </c>
      <c r="V46" s="22">
        <v>44</v>
      </c>
      <c r="W46" s="22">
        <v>1</v>
      </c>
      <c r="X46" s="23"/>
    </row>
    <row r="47" spans="1:24" s="1" customFormat="1" ht="108" customHeight="1" x14ac:dyDescent="0.3">
      <c r="A47" s="11" t="s">
        <v>23</v>
      </c>
      <c r="B47" s="11" t="s">
        <v>153</v>
      </c>
      <c r="C47" s="12" t="s">
        <v>157</v>
      </c>
      <c r="D47" s="13"/>
      <c r="E47" s="43" t="str">
        <f>HYPERLINK("https://www.google.ru/search?q=001VV-0006&amp;newwindow=1&amp;tbm=isch","Еще фото")</f>
        <v>Еще фото</v>
      </c>
      <c r="F47" s="14"/>
      <c r="G47" s="11" t="s">
        <v>26</v>
      </c>
      <c r="H47" s="11" t="s">
        <v>27</v>
      </c>
      <c r="I47" s="15" t="s">
        <v>26</v>
      </c>
      <c r="J47" s="15" t="s">
        <v>37</v>
      </c>
      <c r="K47" s="16" t="s">
        <v>29</v>
      </c>
      <c r="L47" s="15" t="s">
        <v>155</v>
      </c>
      <c r="M47" s="15"/>
      <c r="N47" s="15" t="s">
        <v>83</v>
      </c>
      <c r="O47" s="15"/>
      <c r="P47" s="16" t="s">
        <v>32</v>
      </c>
      <c r="Q47" s="17">
        <v>18599</v>
      </c>
      <c r="R47" s="18">
        <v>45.16</v>
      </c>
      <c r="S47" s="19">
        <v>11729.988499999999</v>
      </c>
      <c r="T47" s="20" t="s">
        <v>75</v>
      </c>
      <c r="U47" s="21" t="s">
        <v>158</v>
      </c>
      <c r="V47" s="22">
        <v>42</v>
      </c>
      <c r="W47" s="22">
        <v>1</v>
      </c>
      <c r="X47" s="23"/>
    </row>
    <row r="48" spans="1:24" s="1" customFormat="1" ht="108" customHeight="1" x14ac:dyDescent="0.3">
      <c r="A48" s="11" t="s">
        <v>23</v>
      </c>
      <c r="B48" s="11" t="s">
        <v>159</v>
      </c>
      <c r="C48" s="12" t="s">
        <v>160</v>
      </c>
      <c r="D48" s="13"/>
      <c r="E48" s="43" t="str">
        <f>HYPERLINK("https://www.google.ru/search?q=A3569-0007&amp;newwindow=1&amp;tbm=isch","Еще фото")</f>
        <v>Еще фото</v>
      </c>
      <c r="F48" s="14"/>
      <c r="G48" s="11" t="s">
        <v>56</v>
      </c>
      <c r="H48" s="11" t="s">
        <v>27</v>
      </c>
      <c r="I48" s="15" t="s">
        <v>26</v>
      </c>
      <c r="J48" s="15" t="s">
        <v>28</v>
      </c>
      <c r="K48" s="16" t="s">
        <v>29</v>
      </c>
      <c r="L48" s="15" t="s">
        <v>161</v>
      </c>
      <c r="M48" s="15"/>
      <c r="N48" s="15" t="s">
        <v>156</v>
      </c>
      <c r="O48" s="15"/>
      <c r="P48" s="16" t="s">
        <v>162</v>
      </c>
      <c r="Q48" s="17">
        <v>7099</v>
      </c>
      <c r="R48" s="18">
        <v>45.06</v>
      </c>
      <c r="S48" s="19">
        <v>4484.9884999999995</v>
      </c>
      <c r="T48" s="20" t="s">
        <v>33</v>
      </c>
      <c r="U48" s="21" t="s">
        <v>64</v>
      </c>
      <c r="V48" s="22">
        <v>46</v>
      </c>
      <c r="W48" s="22">
        <v>1</v>
      </c>
      <c r="X48" s="23"/>
    </row>
    <row r="49" spans="1:24" s="1" customFormat="1" ht="14" customHeight="1" x14ac:dyDescent="0.3">
      <c r="A49" s="11" t="s">
        <v>23</v>
      </c>
      <c r="B49" s="11" t="s">
        <v>163</v>
      </c>
      <c r="C49" s="12" t="s">
        <v>164</v>
      </c>
      <c r="D49" s="57"/>
      <c r="E49" s="43" t="str">
        <f t="shared" ref="E49:E55" si="1">HYPERLINK("https://www.google.ru/search?q=001K9-0004&amp;newwindow=1&amp;tbm=isch","Еще фото")</f>
        <v>Еще фото</v>
      </c>
      <c r="F49" s="14"/>
      <c r="G49" s="11" t="s">
        <v>26</v>
      </c>
      <c r="H49" s="11" t="s">
        <v>27</v>
      </c>
      <c r="I49" s="15" t="s">
        <v>26</v>
      </c>
      <c r="J49" s="15" t="s">
        <v>37</v>
      </c>
      <c r="K49" s="16" t="s">
        <v>57</v>
      </c>
      <c r="L49" s="60" t="s">
        <v>107</v>
      </c>
      <c r="M49" s="15"/>
      <c r="N49" s="15" t="s">
        <v>156</v>
      </c>
      <c r="O49" s="15"/>
      <c r="P49" s="16" t="s">
        <v>108</v>
      </c>
      <c r="Q49" s="17">
        <v>11799</v>
      </c>
      <c r="R49" s="18">
        <v>45</v>
      </c>
      <c r="S49" s="19">
        <v>7462.8674999999994</v>
      </c>
      <c r="T49" s="20" t="s">
        <v>75</v>
      </c>
      <c r="U49" s="21" t="s">
        <v>140</v>
      </c>
      <c r="V49" s="25" t="s">
        <v>65</v>
      </c>
      <c r="W49" s="22">
        <v>1</v>
      </c>
      <c r="X49" s="23"/>
    </row>
    <row r="50" spans="1:24" s="1" customFormat="1" ht="14" customHeight="1" x14ac:dyDescent="0.3">
      <c r="A50" s="24" t="s">
        <v>23</v>
      </c>
      <c r="B50" s="24" t="s">
        <v>163</v>
      </c>
      <c r="C50" s="12" t="s">
        <v>164</v>
      </c>
      <c r="D50" s="58"/>
      <c r="E50" s="43" t="str">
        <f t="shared" si="1"/>
        <v>Еще фото</v>
      </c>
      <c r="F50" s="14"/>
      <c r="G50" s="24" t="s">
        <v>26</v>
      </c>
      <c r="H50" s="24" t="s">
        <v>27</v>
      </c>
      <c r="I50" s="24" t="s">
        <v>26</v>
      </c>
      <c r="J50" s="15" t="s">
        <v>37</v>
      </c>
      <c r="K50" s="16" t="s">
        <v>57</v>
      </c>
      <c r="L50" s="61"/>
      <c r="M50" s="15"/>
      <c r="N50" s="15" t="s">
        <v>156</v>
      </c>
      <c r="O50" s="15"/>
      <c r="P50" s="16" t="s">
        <v>108</v>
      </c>
      <c r="Q50" s="17">
        <v>11799</v>
      </c>
      <c r="R50" s="18">
        <v>45</v>
      </c>
      <c r="S50" s="19">
        <v>7462.8674999999994</v>
      </c>
      <c r="T50" s="20" t="s">
        <v>75</v>
      </c>
      <c r="U50" s="21" t="s">
        <v>165</v>
      </c>
      <c r="V50" s="25" t="s">
        <v>96</v>
      </c>
      <c r="W50" s="22">
        <v>4</v>
      </c>
      <c r="X50" s="23"/>
    </row>
    <row r="51" spans="1:24" s="1" customFormat="1" ht="14" customHeight="1" x14ac:dyDescent="0.3">
      <c r="A51" s="24" t="s">
        <v>23</v>
      </c>
      <c r="B51" s="24" t="s">
        <v>163</v>
      </c>
      <c r="C51" s="12" t="s">
        <v>164</v>
      </c>
      <c r="D51" s="58"/>
      <c r="E51" s="43" t="str">
        <f t="shared" si="1"/>
        <v>Еще фото</v>
      </c>
      <c r="F51" s="14"/>
      <c r="G51" s="24" t="s">
        <v>26</v>
      </c>
      <c r="H51" s="24" t="s">
        <v>27</v>
      </c>
      <c r="I51" s="24" t="s">
        <v>26</v>
      </c>
      <c r="J51" s="15" t="s">
        <v>37</v>
      </c>
      <c r="K51" s="16" t="s">
        <v>57</v>
      </c>
      <c r="L51" s="61"/>
      <c r="M51" s="15"/>
      <c r="N51" s="15" t="s">
        <v>156</v>
      </c>
      <c r="O51" s="15"/>
      <c r="P51" s="16" t="s">
        <v>108</v>
      </c>
      <c r="Q51" s="17">
        <v>11799</v>
      </c>
      <c r="R51" s="18">
        <v>45</v>
      </c>
      <c r="S51" s="19">
        <v>7462.8674999999994</v>
      </c>
      <c r="T51" s="20" t="s">
        <v>75</v>
      </c>
      <c r="U51" s="21" t="s">
        <v>166</v>
      </c>
      <c r="V51" s="25" t="s">
        <v>96</v>
      </c>
      <c r="W51" s="22">
        <v>1</v>
      </c>
      <c r="X51" s="23"/>
    </row>
    <row r="52" spans="1:24" s="1" customFormat="1" ht="14" customHeight="1" x14ac:dyDescent="0.3">
      <c r="A52" s="24" t="s">
        <v>23</v>
      </c>
      <c r="B52" s="24" t="s">
        <v>163</v>
      </c>
      <c r="C52" s="12" t="s">
        <v>164</v>
      </c>
      <c r="D52" s="58"/>
      <c r="E52" s="43" t="str">
        <f t="shared" si="1"/>
        <v>Еще фото</v>
      </c>
      <c r="F52" s="14"/>
      <c r="G52" s="24" t="s">
        <v>26</v>
      </c>
      <c r="H52" s="24" t="s">
        <v>27</v>
      </c>
      <c r="I52" s="24" t="s">
        <v>26</v>
      </c>
      <c r="J52" s="15" t="s">
        <v>37</v>
      </c>
      <c r="K52" s="16" t="s">
        <v>57</v>
      </c>
      <c r="L52" s="61"/>
      <c r="M52" s="15"/>
      <c r="N52" s="15" t="s">
        <v>156</v>
      </c>
      <c r="O52" s="15"/>
      <c r="P52" s="16" t="s">
        <v>108</v>
      </c>
      <c r="Q52" s="17">
        <v>11799</v>
      </c>
      <c r="R52" s="18">
        <v>45</v>
      </c>
      <c r="S52" s="19">
        <v>7462.8674999999994</v>
      </c>
      <c r="T52" s="20" t="s">
        <v>75</v>
      </c>
      <c r="U52" s="21" t="s">
        <v>89</v>
      </c>
      <c r="V52" s="25" t="s">
        <v>90</v>
      </c>
      <c r="W52" s="22">
        <v>1</v>
      </c>
      <c r="X52" s="23"/>
    </row>
    <row r="53" spans="1:24" s="1" customFormat="1" ht="14" customHeight="1" x14ac:dyDescent="0.3">
      <c r="A53" s="24" t="s">
        <v>23</v>
      </c>
      <c r="B53" s="24" t="s">
        <v>163</v>
      </c>
      <c r="C53" s="12" t="s">
        <v>164</v>
      </c>
      <c r="D53" s="58"/>
      <c r="E53" s="43" t="str">
        <f t="shared" si="1"/>
        <v>Еще фото</v>
      </c>
      <c r="F53" s="14"/>
      <c r="G53" s="24" t="s">
        <v>26</v>
      </c>
      <c r="H53" s="24" t="s">
        <v>27</v>
      </c>
      <c r="I53" s="24" t="s">
        <v>26</v>
      </c>
      <c r="J53" s="15" t="s">
        <v>37</v>
      </c>
      <c r="K53" s="16" t="s">
        <v>57</v>
      </c>
      <c r="L53" s="61"/>
      <c r="M53" s="15"/>
      <c r="N53" s="15" t="s">
        <v>156</v>
      </c>
      <c r="O53" s="15"/>
      <c r="P53" s="16" t="s">
        <v>108</v>
      </c>
      <c r="Q53" s="17">
        <v>11799</v>
      </c>
      <c r="R53" s="18">
        <v>45</v>
      </c>
      <c r="S53" s="19">
        <v>7462.8674999999994</v>
      </c>
      <c r="T53" s="20" t="s">
        <v>75</v>
      </c>
      <c r="U53" s="21" t="s">
        <v>167</v>
      </c>
      <c r="V53" s="22">
        <v>52</v>
      </c>
      <c r="W53" s="22">
        <v>1</v>
      </c>
      <c r="X53" s="23"/>
    </row>
    <row r="54" spans="1:24" s="1" customFormat="1" ht="14" customHeight="1" x14ac:dyDescent="0.3">
      <c r="A54" s="24" t="s">
        <v>23</v>
      </c>
      <c r="B54" s="24" t="s">
        <v>163</v>
      </c>
      <c r="C54" s="12" t="s">
        <v>164</v>
      </c>
      <c r="D54" s="58"/>
      <c r="E54" s="43" t="str">
        <f t="shared" si="1"/>
        <v>Еще фото</v>
      </c>
      <c r="F54" s="14"/>
      <c r="G54" s="24" t="s">
        <v>26</v>
      </c>
      <c r="H54" s="24" t="s">
        <v>27</v>
      </c>
      <c r="I54" s="24" t="s">
        <v>26</v>
      </c>
      <c r="J54" s="15" t="s">
        <v>37</v>
      </c>
      <c r="K54" s="16" t="s">
        <v>57</v>
      </c>
      <c r="L54" s="61"/>
      <c r="M54" s="15"/>
      <c r="N54" s="15" t="s">
        <v>156</v>
      </c>
      <c r="O54" s="15"/>
      <c r="P54" s="16" t="s">
        <v>108</v>
      </c>
      <c r="Q54" s="17">
        <v>11799</v>
      </c>
      <c r="R54" s="18">
        <v>45</v>
      </c>
      <c r="S54" s="19">
        <v>7462.8674999999994</v>
      </c>
      <c r="T54" s="20" t="s">
        <v>75</v>
      </c>
      <c r="U54" s="21" t="s">
        <v>168</v>
      </c>
      <c r="V54" s="22">
        <v>52</v>
      </c>
      <c r="W54" s="22">
        <v>2</v>
      </c>
      <c r="X54" s="23"/>
    </row>
    <row r="55" spans="1:24" s="1" customFormat="1" ht="17" customHeight="1" x14ac:dyDescent="0.3">
      <c r="A55" s="24" t="s">
        <v>23</v>
      </c>
      <c r="B55" s="24" t="s">
        <v>163</v>
      </c>
      <c r="C55" s="12" t="s">
        <v>164</v>
      </c>
      <c r="D55" s="59"/>
      <c r="E55" s="43" t="str">
        <f t="shared" si="1"/>
        <v>Еще фото</v>
      </c>
      <c r="F55" s="14"/>
      <c r="G55" s="24" t="s">
        <v>26</v>
      </c>
      <c r="H55" s="24" t="s">
        <v>27</v>
      </c>
      <c r="I55" s="24" t="s">
        <v>26</v>
      </c>
      <c r="J55" s="15" t="s">
        <v>37</v>
      </c>
      <c r="K55" s="16" t="s">
        <v>57</v>
      </c>
      <c r="L55" s="62"/>
      <c r="M55" s="15"/>
      <c r="N55" s="15" t="s">
        <v>156</v>
      </c>
      <c r="O55" s="15"/>
      <c r="P55" s="16" t="s">
        <v>108</v>
      </c>
      <c r="Q55" s="17">
        <v>11799</v>
      </c>
      <c r="R55" s="18">
        <v>45</v>
      </c>
      <c r="S55" s="19">
        <v>7462.8674999999994</v>
      </c>
      <c r="T55" s="20" t="s">
        <v>75</v>
      </c>
      <c r="U55" s="21" t="s">
        <v>169</v>
      </c>
      <c r="V55" s="22">
        <v>54</v>
      </c>
      <c r="W55" s="22">
        <v>1</v>
      </c>
      <c r="X55" s="23"/>
    </row>
    <row r="56" spans="1:24" s="1" customFormat="1" ht="11" customHeight="1" x14ac:dyDescent="0.3">
      <c r="A56" s="11" t="s">
        <v>23</v>
      </c>
      <c r="B56" s="11" t="s">
        <v>170</v>
      </c>
      <c r="C56" s="12" t="s">
        <v>171</v>
      </c>
      <c r="D56" s="57"/>
      <c r="E56" s="43" t="str">
        <f t="shared" ref="E56:E64" si="2">HYPERLINK("https://www.google.ru/search?q=003KQ-0006&amp;newwindow=1&amp;tbm=isch","Еще фото")</f>
        <v>Еще фото</v>
      </c>
      <c r="F56" s="14"/>
      <c r="G56" s="11" t="s">
        <v>26</v>
      </c>
      <c r="H56" s="11" t="s">
        <v>27</v>
      </c>
      <c r="I56" s="15" t="s">
        <v>26</v>
      </c>
      <c r="J56" s="15" t="s">
        <v>37</v>
      </c>
      <c r="K56" s="16" t="s">
        <v>57</v>
      </c>
      <c r="L56" s="60"/>
      <c r="M56" s="15"/>
      <c r="N56" s="15" t="s">
        <v>156</v>
      </c>
      <c r="O56" s="15"/>
      <c r="P56" s="16" t="s">
        <v>172</v>
      </c>
      <c r="Q56" s="17">
        <v>12999</v>
      </c>
      <c r="R56" s="18">
        <v>45</v>
      </c>
      <c r="S56" s="19">
        <v>8221.8674999999985</v>
      </c>
      <c r="T56" s="20" t="s">
        <v>75</v>
      </c>
      <c r="U56" s="21" t="s">
        <v>51</v>
      </c>
      <c r="V56" s="25" t="s">
        <v>63</v>
      </c>
      <c r="W56" s="22">
        <v>1</v>
      </c>
      <c r="X56" s="23"/>
    </row>
    <row r="57" spans="1:24" s="1" customFormat="1" ht="11" customHeight="1" x14ac:dyDescent="0.3">
      <c r="A57" s="24" t="s">
        <v>23</v>
      </c>
      <c r="B57" s="24" t="s">
        <v>170</v>
      </c>
      <c r="C57" s="12" t="s">
        <v>171</v>
      </c>
      <c r="D57" s="58"/>
      <c r="E57" s="43" t="str">
        <f t="shared" si="2"/>
        <v>Еще фото</v>
      </c>
      <c r="F57" s="14"/>
      <c r="G57" s="24" t="s">
        <v>26</v>
      </c>
      <c r="H57" s="24" t="s">
        <v>27</v>
      </c>
      <c r="I57" s="24" t="s">
        <v>26</v>
      </c>
      <c r="J57" s="15" t="s">
        <v>37</v>
      </c>
      <c r="K57" s="16" t="s">
        <v>57</v>
      </c>
      <c r="L57" s="61"/>
      <c r="M57" s="15"/>
      <c r="N57" s="15" t="s">
        <v>156</v>
      </c>
      <c r="O57" s="15"/>
      <c r="P57" s="16" t="s">
        <v>172</v>
      </c>
      <c r="Q57" s="17">
        <v>12999</v>
      </c>
      <c r="R57" s="18">
        <v>45</v>
      </c>
      <c r="S57" s="19">
        <v>8221.8674999999985</v>
      </c>
      <c r="T57" s="20" t="s">
        <v>75</v>
      </c>
      <c r="U57" s="21" t="s">
        <v>173</v>
      </c>
      <c r="V57" s="25" t="s">
        <v>63</v>
      </c>
      <c r="W57" s="22">
        <v>3</v>
      </c>
      <c r="X57" s="23"/>
    </row>
    <row r="58" spans="1:24" s="1" customFormat="1" ht="11" customHeight="1" x14ac:dyDescent="0.3">
      <c r="A58" s="24" t="s">
        <v>23</v>
      </c>
      <c r="B58" s="24" t="s">
        <v>170</v>
      </c>
      <c r="C58" s="12" t="s">
        <v>171</v>
      </c>
      <c r="D58" s="58"/>
      <c r="E58" s="43" t="str">
        <f t="shared" si="2"/>
        <v>Еще фото</v>
      </c>
      <c r="F58" s="14"/>
      <c r="G58" s="24" t="s">
        <v>26</v>
      </c>
      <c r="H58" s="24" t="s">
        <v>27</v>
      </c>
      <c r="I58" s="24" t="s">
        <v>26</v>
      </c>
      <c r="J58" s="15" t="s">
        <v>37</v>
      </c>
      <c r="K58" s="16" t="s">
        <v>57</v>
      </c>
      <c r="L58" s="61"/>
      <c r="M58" s="15"/>
      <c r="N58" s="15" t="s">
        <v>156</v>
      </c>
      <c r="O58" s="15"/>
      <c r="P58" s="16" t="s">
        <v>172</v>
      </c>
      <c r="Q58" s="17">
        <v>12999</v>
      </c>
      <c r="R58" s="18">
        <v>45</v>
      </c>
      <c r="S58" s="19">
        <v>8221.8674999999985</v>
      </c>
      <c r="T58" s="20" t="s">
        <v>75</v>
      </c>
      <c r="U58" s="21" t="s">
        <v>53</v>
      </c>
      <c r="V58" s="25" t="s">
        <v>65</v>
      </c>
      <c r="W58" s="22">
        <v>4</v>
      </c>
      <c r="X58" s="23"/>
    </row>
    <row r="59" spans="1:24" s="1" customFormat="1" ht="11" customHeight="1" x14ac:dyDescent="0.3">
      <c r="A59" s="24" t="s">
        <v>23</v>
      </c>
      <c r="B59" s="24" t="s">
        <v>170</v>
      </c>
      <c r="C59" s="12" t="s">
        <v>171</v>
      </c>
      <c r="D59" s="58"/>
      <c r="E59" s="43" t="str">
        <f t="shared" si="2"/>
        <v>Еще фото</v>
      </c>
      <c r="F59" s="14"/>
      <c r="G59" s="24" t="s">
        <v>26</v>
      </c>
      <c r="H59" s="24" t="s">
        <v>27</v>
      </c>
      <c r="I59" s="24" t="s">
        <v>26</v>
      </c>
      <c r="J59" s="15" t="s">
        <v>37</v>
      </c>
      <c r="K59" s="16" t="s">
        <v>57</v>
      </c>
      <c r="L59" s="61"/>
      <c r="M59" s="15"/>
      <c r="N59" s="15" t="s">
        <v>156</v>
      </c>
      <c r="O59" s="15"/>
      <c r="P59" s="16" t="s">
        <v>172</v>
      </c>
      <c r="Q59" s="17">
        <v>12999</v>
      </c>
      <c r="R59" s="18">
        <v>45</v>
      </c>
      <c r="S59" s="19">
        <v>8221.8674999999985</v>
      </c>
      <c r="T59" s="20" t="s">
        <v>75</v>
      </c>
      <c r="U59" s="21" t="s">
        <v>143</v>
      </c>
      <c r="V59" s="25" t="s">
        <v>65</v>
      </c>
      <c r="W59" s="22">
        <v>1</v>
      </c>
      <c r="X59" s="23"/>
    </row>
    <row r="60" spans="1:24" s="1" customFormat="1" ht="11" customHeight="1" x14ac:dyDescent="0.3">
      <c r="A60" s="24" t="s">
        <v>23</v>
      </c>
      <c r="B60" s="24" t="s">
        <v>170</v>
      </c>
      <c r="C60" s="12" t="s">
        <v>171</v>
      </c>
      <c r="D60" s="58"/>
      <c r="E60" s="43" t="str">
        <f t="shared" si="2"/>
        <v>Еще фото</v>
      </c>
      <c r="F60" s="14"/>
      <c r="G60" s="24" t="s">
        <v>26</v>
      </c>
      <c r="H60" s="24" t="s">
        <v>27</v>
      </c>
      <c r="I60" s="24" t="s">
        <v>26</v>
      </c>
      <c r="J60" s="15" t="s">
        <v>37</v>
      </c>
      <c r="K60" s="16" t="s">
        <v>57</v>
      </c>
      <c r="L60" s="61"/>
      <c r="M60" s="15"/>
      <c r="N60" s="15" t="s">
        <v>156</v>
      </c>
      <c r="O60" s="15"/>
      <c r="P60" s="16" t="s">
        <v>172</v>
      </c>
      <c r="Q60" s="17">
        <v>12999</v>
      </c>
      <c r="R60" s="18">
        <v>45</v>
      </c>
      <c r="S60" s="19">
        <v>8221.8674999999985</v>
      </c>
      <c r="T60" s="20" t="s">
        <v>75</v>
      </c>
      <c r="U60" s="21" t="s">
        <v>109</v>
      </c>
      <c r="V60" s="25" t="s">
        <v>65</v>
      </c>
      <c r="W60" s="22">
        <v>4</v>
      </c>
      <c r="X60" s="23"/>
    </row>
    <row r="61" spans="1:24" s="1" customFormat="1" ht="11" customHeight="1" x14ac:dyDescent="0.3">
      <c r="A61" s="24" t="s">
        <v>23</v>
      </c>
      <c r="B61" s="24" t="s">
        <v>170</v>
      </c>
      <c r="C61" s="12" t="s">
        <v>171</v>
      </c>
      <c r="D61" s="58"/>
      <c r="E61" s="43" t="str">
        <f t="shared" si="2"/>
        <v>Еще фото</v>
      </c>
      <c r="F61" s="14"/>
      <c r="G61" s="24" t="s">
        <v>26</v>
      </c>
      <c r="H61" s="24" t="s">
        <v>27</v>
      </c>
      <c r="I61" s="24" t="s">
        <v>26</v>
      </c>
      <c r="J61" s="15" t="s">
        <v>37</v>
      </c>
      <c r="K61" s="16" t="s">
        <v>57</v>
      </c>
      <c r="L61" s="61"/>
      <c r="M61" s="15"/>
      <c r="N61" s="15" t="s">
        <v>156</v>
      </c>
      <c r="O61" s="15"/>
      <c r="P61" s="16" t="s">
        <v>172</v>
      </c>
      <c r="Q61" s="17">
        <v>12999</v>
      </c>
      <c r="R61" s="18">
        <v>45</v>
      </c>
      <c r="S61" s="19">
        <v>8221.8674999999985</v>
      </c>
      <c r="T61" s="20" t="s">
        <v>75</v>
      </c>
      <c r="U61" s="21" t="s">
        <v>140</v>
      </c>
      <c r="V61" s="25" t="s">
        <v>65</v>
      </c>
      <c r="W61" s="22">
        <v>1</v>
      </c>
      <c r="X61" s="23"/>
    </row>
    <row r="62" spans="1:24" s="1" customFormat="1" ht="11" customHeight="1" x14ac:dyDescent="0.3">
      <c r="A62" s="24" t="s">
        <v>23</v>
      </c>
      <c r="B62" s="24" t="s">
        <v>170</v>
      </c>
      <c r="C62" s="12" t="s">
        <v>171</v>
      </c>
      <c r="D62" s="58"/>
      <c r="E62" s="43" t="str">
        <f t="shared" si="2"/>
        <v>Еще фото</v>
      </c>
      <c r="F62" s="14"/>
      <c r="G62" s="24" t="s">
        <v>26</v>
      </c>
      <c r="H62" s="24" t="s">
        <v>27</v>
      </c>
      <c r="I62" s="24" t="s">
        <v>26</v>
      </c>
      <c r="J62" s="15" t="s">
        <v>37</v>
      </c>
      <c r="K62" s="16" t="s">
        <v>57</v>
      </c>
      <c r="L62" s="61"/>
      <c r="M62" s="15"/>
      <c r="N62" s="15" t="s">
        <v>156</v>
      </c>
      <c r="O62" s="15"/>
      <c r="P62" s="16" t="s">
        <v>172</v>
      </c>
      <c r="Q62" s="17">
        <v>12999</v>
      </c>
      <c r="R62" s="18">
        <v>45</v>
      </c>
      <c r="S62" s="19">
        <v>8221.8674999999985</v>
      </c>
      <c r="T62" s="20" t="s">
        <v>75</v>
      </c>
      <c r="U62" s="21" t="s">
        <v>165</v>
      </c>
      <c r="V62" s="25" t="s">
        <v>96</v>
      </c>
      <c r="W62" s="22">
        <v>5</v>
      </c>
      <c r="X62" s="23"/>
    </row>
    <row r="63" spans="1:24" s="1" customFormat="1" ht="11" customHeight="1" x14ac:dyDescent="0.3">
      <c r="A63" s="24" t="s">
        <v>23</v>
      </c>
      <c r="B63" s="24" t="s">
        <v>170</v>
      </c>
      <c r="C63" s="12" t="s">
        <v>171</v>
      </c>
      <c r="D63" s="58"/>
      <c r="E63" s="43" t="str">
        <f t="shared" si="2"/>
        <v>Еще фото</v>
      </c>
      <c r="F63" s="14"/>
      <c r="G63" s="24" t="s">
        <v>26</v>
      </c>
      <c r="H63" s="24" t="s">
        <v>27</v>
      </c>
      <c r="I63" s="24" t="s">
        <v>26</v>
      </c>
      <c r="J63" s="15" t="s">
        <v>37</v>
      </c>
      <c r="K63" s="16" t="s">
        <v>57</v>
      </c>
      <c r="L63" s="61"/>
      <c r="M63" s="15"/>
      <c r="N63" s="15" t="s">
        <v>156</v>
      </c>
      <c r="O63" s="15"/>
      <c r="P63" s="16" t="s">
        <v>172</v>
      </c>
      <c r="Q63" s="17">
        <v>12999</v>
      </c>
      <c r="R63" s="18">
        <v>45</v>
      </c>
      <c r="S63" s="19">
        <v>8221.8674999999985</v>
      </c>
      <c r="T63" s="20" t="s">
        <v>75</v>
      </c>
      <c r="U63" s="21" t="s">
        <v>89</v>
      </c>
      <c r="V63" s="25" t="s">
        <v>90</v>
      </c>
      <c r="W63" s="22">
        <v>6</v>
      </c>
      <c r="X63" s="23"/>
    </row>
    <row r="64" spans="1:24" s="1" customFormat="1" ht="11" customHeight="1" x14ac:dyDescent="0.3">
      <c r="A64" s="24" t="s">
        <v>23</v>
      </c>
      <c r="B64" s="24" t="s">
        <v>170</v>
      </c>
      <c r="C64" s="12" t="s">
        <v>171</v>
      </c>
      <c r="D64" s="59"/>
      <c r="E64" s="43" t="str">
        <f t="shared" si="2"/>
        <v>Еще фото</v>
      </c>
      <c r="F64" s="14"/>
      <c r="G64" s="24" t="s">
        <v>26</v>
      </c>
      <c r="H64" s="24" t="s">
        <v>27</v>
      </c>
      <c r="I64" s="24" t="s">
        <v>26</v>
      </c>
      <c r="J64" s="15" t="s">
        <v>37</v>
      </c>
      <c r="K64" s="16" t="s">
        <v>57</v>
      </c>
      <c r="L64" s="62"/>
      <c r="M64" s="15"/>
      <c r="N64" s="15" t="s">
        <v>156</v>
      </c>
      <c r="O64" s="15"/>
      <c r="P64" s="16" t="s">
        <v>172</v>
      </c>
      <c r="Q64" s="17">
        <v>12999</v>
      </c>
      <c r="R64" s="18">
        <v>45</v>
      </c>
      <c r="S64" s="19">
        <v>8221.8674999999985</v>
      </c>
      <c r="T64" s="20" t="s">
        <v>75</v>
      </c>
      <c r="U64" s="21" t="s">
        <v>167</v>
      </c>
      <c r="V64" s="22">
        <v>52</v>
      </c>
      <c r="W64" s="22">
        <v>4</v>
      </c>
      <c r="X64" s="23"/>
    </row>
    <row r="65" spans="1:24" s="1" customFormat="1" ht="108" customHeight="1" x14ac:dyDescent="0.3">
      <c r="A65" s="11" t="s">
        <v>23</v>
      </c>
      <c r="B65" s="11" t="s">
        <v>170</v>
      </c>
      <c r="C65" s="12" t="s">
        <v>174</v>
      </c>
      <c r="D65" s="13"/>
      <c r="E65" s="43" t="str">
        <f>HYPERLINK("https://www.google.ru/search?q=003KQ-0028&amp;newwindow=1&amp;tbm=isch","Еще фото")</f>
        <v>Еще фото</v>
      </c>
      <c r="F65" s="14"/>
      <c r="G65" s="11" t="s">
        <v>26</v>
      </c>
      <c r="H65" s="11" t="s">
        <v>27</v>
      </c>
      <c r="I65" s="15" t="s">
        <v>26</v>
      </c>
      <c r="J65" s="15" t="s">
        <v>37</v>
      </c>
      <c r="K65" s="16" t="s">
        <v>57</v>
      </c>
      <c r="L65" s="15"/>
      <c r="M65" s="15"/>
      <c r="N65" s="15" t="s">
        <v>99</v>
      </c>
      <c r="O65" s="15"/>
      <c r="P65" s="16" t="s">
        <v>32</v>
      </c>
      <c r="Q65" s="17">
        <v>11599</v>
      </c>
      <c r="R65" s="18">
        <v>45</v>
      </c>
      <c r="S65" s="19">
        <v>7336.3674999999994</v>
      </c>
      <c r="T65" s="20" t="s">
        <v>75</v>
      </c>
      <c r="U65" s="21" t="s">
        <v>53</v>
      </c>
      <c r="V65" s="25" t="s">
        <v>65</v>
      </c>
      <c r="W65" s="22">
        <v>3</v>
      </c>
      <c r="X65" s="23"/>
    </row>
    <row r="66" spans="1:24" s="1" customFormat="1" ht="108" customHeight="1" x14ac:dyDescent="0.3">
      <c r="A66" s="11" t="s">
        <v>23</v>
      </c>
      <c r="B66" s="11" t="s">
        <v>175</v>
      </c>
      <c r="C66" s="12" t="s">
        <v>176</v>
      </c>
      <c r="D66" s="13"/>
      <c r="E66" s="43" t="str">
        <f>HYPERLINK("https://www.google.ru/search?q=0057Q-0003&amp;newwindow=1&amp;tbm=isch","Еще фото")</f>
        <v>Еще фото</v>
      </c>
      <c r="F66" s="14"/>
      <c r="G66" s="11" t="s">
        <v>26</v>
      </c>
      <c r="H66" s="11" t="s">
        <v>27</v>
      </c>
      <c r="I66" s="15" t="s">
        <v>26</v>
      </c>
      <c r="J66" s="15" t="s">
        <v>37</v>
      </c>
      <c r="K66" s="16" t="s">
        <v>57</v>
      </c>
      <c r="L66" s="15" t="s">
        <v>177</v>
      </c>
      <c r="M66" s="15"/>
      <c r="N66" s="15" t="s">
        <v>39</v>
      </c>
      <c r="O66" s="15"/>
      <c r="P66" s="16" t="s">
        <v>172</v>
      </c>
      <c r="Q66" s="17">
        <v>14399</v>
      </c>
      <c r="R66" s="18">
        <v>45</v>
      </c>
      <c r="S66" s="19">
        <v>9107.3674999999985</v>
      </c>
      <c r="T66" s="20" t="s">
        <v>75</v>
      </c>
      <c r="U66" s="21" t="s">
        <v>51</v>
      </c>
      <c r="V66" s="25" t="s">
        <v>63</v>
      </c>
      <c r="W66" s="22">
        <v>1</v>
      </c>
      <c r="X66" s="23"/>
    </row>
    <row r="67" spans="1:24" s="1" customFormat="1" ht="35" customHeight="1" x14ac:dyDescent="0.3">
      <c r="A67" s="11" t="s">
        <v>23</v>
      </c>
      <c r="B67" s="11" t="s">
        <v>178</v>
      </c>
      <c r="C67" s="12" t="s">
        <v>179</v>
      </c>
      <c r="D67" s="57"/>
      <c r="E67" s="43" t="str">
        <f>HYPERLINK("https://www.google.ru/search?q=0057R-0003&amp;newwindow=1&amp;tbm=isch","Еще фото")</f>
        <v>Еще фото</v>
      </c>
      <c r="F67" s="14"/>
      <c r="G67" s="11" t="s">
        <v>26</v>
      </c>
      <c r="H67" s="11" t="s">
        <v>27</v>
      </c>
      <c r="I67" s="15" t="s">
        <v>26</v>
      </c>
      <c r="J67" s="15" t="s">
        <v>37</v>
      </c>
      <c r="K67" s="16" t="s">
        <v>57</v>
      </c>
      <c r="L67" s="60" t="s">
        <v>86</v>
      </c>
      <c r="M67" s="15"/>
      <c r="N67" s="15" t="s">
        <v>99</v>
      </c>
      <c r="O67" s="15"/>
      <c r="P67" s="16" t="s">
        <v>88</v>
      </c>
      <c r="Q67" s="17">
        <v>8899</v>
      </c>
      <c r="R67" s="18">
        <v>45</v>
      </c>
      <c r="S67" s="19">
        <v>5628.6174999999994</v>
      </c>
      <c r="T67" s="20" t="s">
        <v>75</v>
      </c>
      <c r="U67" s="21" t="s">
        <v>109</v>
      </c>
      <c r="V67" s="25" t="s">
        <v>65</v>
      </c>
      <c r="W67" s="22">
        <v>1</v>
      </c>
      <c r="X67" s="23"/>
    </row>
    <row r="68" spans="1:24" s="1" customFormat="1" ht="35" customHeight="1" x14ac:dyDescent="0.3">
      <c r="A68" s="24" t="s">
        <v>23</v>
      </c>
      <c r="B68" s="24" t="s">
        <v>178</v>
      </c>
      <c r="C68" s="12" t="s">
        <v>179</v>
      </c>
      <c r="D68" s="58"/>
      <c r="E68" s="43" t="str">
        <f>HYPERLINK("https://www.google.ru/search?q=0057R-0003&amp;newwindow=1&amp;tbm=isch","Еще фото")</f>
        <v>Еще фото</v>
      </c>
      <c r="F68" s="14"/>
      <c r="G68" s="24" t="s">
        <v>26</v>
      </c>
      <c r="H68" s="24" t="s">
        <v>27</v>
      </c>
      <c r="I68" s="24" t="s">
        <v>26</v>
      </c>
      <c r="J68" s="15" t="s">
        <v>37</v>
      </c>
      <c r="K68" s="16" t="s">
        <v>57</v>
      </c>
      <c r="L68" s="61"/>
      <c r="M68" s="15"/>
      <c r="N68" s="15" t="s">
        <v>99</v>
      </c>
      <c r="O68" s="15"/>
      <c r="P68" s="16" t="s">
        <v>88</v>
      </c>
      <c r="Q68" s="17">
        <v>8899</v>
      </c>
      <c r="R68" s="18">
        <v>45</v>
      </c>
      <c r="S68" s="19">
        <v>5628.6174999999994</v>
      </c>
      <c r="T68" s="20" t="s">
        <v>75</v>
      </c>
      <c r="U68" s="21" t="s">
        <v>165</v>
      </c>
      <c r="V68" s="25" t="s">
        <v>96</v>
      </c>
      <c r="W68" s="22">
        <v>1</v>
      </c>
      <c r="X68" s="23"/>
    </row>
    <row r="69" spans="1:24" s="1" customFormat="1" ht="37.049999999999997" customHeight="1" x14ac:dyDescent="0.3">
      <c r="A69" s="24" t="s">
        <v>23</v>
      </c>
      <c r="B69" s="24" t="s">
        <v>178</v>
      </c>
      <c r="C69" s="12" t="s">
        <v>179</v>
      </c>
      <c r="D69" s="59"/>
      <c r="E69" s="43" t="str">
        <f>HYPERLINK("https://www.google.ru/search?q=0057R-0003&amp;newwindow=1&amp;tbm=isch","Еще фото")</f>
        <v>Еще фото</v>
      </c>
      <c r="F69" s="14"/>
      <c r="G69" s="24" t="s">
        <v>26</v>
      </c>
      <c r="H69" s="24" t="s">
        <v>27</v>
      </c>
      <c r="I69" s="24" t="s">
        <v>26</v>
      </c>
      <c r="J69" s="15" t="s">
        <v>37</v>
      </c>
      <c r="K69" s="16" t="s">
        <v>57</v>
      </c>
      <c r="L69" s="62"/>
      <c r="M69" s="15"/>
      <c r="N69" s="15" t="s">
        <v>99</v>
      </c>
      <c r="O69" s="15"/>
      <c r="P69" s="16" t="s">
        <v>88</v>
      </c>
      <c r="Q69" s="17">
        <v>8899</v>
      </c>
      <c r="R69" s="18">
        <v>45</v>
      </c>
      <c r="S69" s="19">
        <v>5628.6174999999994</v>
      </c>
      <c r="T69" s="20" t="s">
        <v>75</v>
      </c>
      <c r="U69" s="21" t="s">
        <v>166</v>
      </c>
      <c r="V69" s="25" t="s">
        <v>96</v>
      </c>
      <c r="W69" s="22">
        <v>2</v>
      </c>
      <c r="X69" s="23"/>
    </row>
    <row r="70" spans="1:24" s="1" customFormat="1" ht="35" customHeight="1" x14ac:dyDescent="0.3">
      <c r="A70" s="11" t="s">
        <v>23</v>
      </c>
      <c r="B70" s="11" t="s">
        <v>180</v>
      </c>
      <c r="C70" s="12" t="s">
        <v>181</v>
      </c>
      <c r="D70" s="57"/>
      <c r="E70" s="43" t="str">
        <f>HYPERLINK("https://www.google.ru/search?q=17196-0001&amp;newwindow=1&amp;tbm=isch","Еще фото")</f>
        <v>Еще фото</v>
      </c>
      <c r="F70" s="14" t="s">
        <v>182</v>
      </c>
      <c r="G70" s="11" t="s">
        <v>26</v>
      </c>
      <c r="H70" s="11" t="s">
        <v>27</v>
      </c>
      <c r="I70" s="15" t="s">
        <v>26</v>
      </c>
      <c r="J70" s="15" t="s">
        <v>28</v>
      </c>
      <c r="K70" s="16" t="s">
        <v>57</v>
      </c>
      <c r="L70" s="60" t="s">
        <v>183</v>
      </c>
      <c r="M70" s="15"/>
      <c r="N70" s="15" t="s">
        <v>83</v>
      </c>
      <c r="O70" s="15"/>
      <c r="P70" s="16" t="s">
        <v>88</v>
      </c>
      <c r="Q70" s="17">
        <v>13599</v>
      </c>
      <c r="R70" s="18">
        <v>45</v>
      </c>
      <c r="S70" s="19">
        <v>8601.3674999999985</v>
      </c>
      <c r="T70" s="20" t="s">
        <v>75</v>
      </c>
      <c r="U70" s="21" t="s">
        <v>173</v>
      </c>
      <c r="V70" s="25" t="s">
        <v>63</v>
      </c>
      <c r="W70" s="22">
        <v>1</v>
      </c>
      <c r="X70" s="23"/>
    </row>
    <row r="71" spans="1:24" s="1" customFormat="1" ht="35" customHeight="1" x14ac:dyDescent="0.3">
      <c r="A71" s="24" t="s">
        <v>23</v>
      </c>
      <c r="B71" s="24" t="s">
        <v>180</v>
      </c>
      <c r="C71" s="12" t="s">
        <v>181</v>
      </c>
      <c r="D71" s="58"/>
      <c r="E71" s="43" t="str">
        <f>HYPERLINK("https://www.google.ru/search?q=17196-0001&amp;newwindow=1&amp;tbm=isch","Еще фото")</f>
        <v>Еще фото</v>
      </c>
      <c r="F71" s="14" t="s">
        <v>182</v>
      </c>
      <c r="G71" s="24" t="s">
        <v>26</v>
      </c>
      <c r="H71" s="24" t="s">
        <v>27</v>
      </c>
      <c r="I71" s="24" t="s">
        <v>26</v>
      </c>
      <c r="J71" s="15" t="s">
        <v>28</v>
      </c>
      <c r="K71" s="16" t="s">
        <v>57</v>
      </c>
      <c r="L71" s="61"/>
      <c r="M71" s="15"/>
      <c r="N71" s="15" t="s">
        <v>83</v>
      </c>
      <c r="O71" s="15"/>
      <c r="P71" s="16" t="s">
        <v>88</v>
      </c>
      <c r="Q71" s="17">
        <v>13599</v>
      </c>
      <c r="R71" s="18">
        <v>45</v>
      </c>
      <c r="S71" s="19">
        <v>8601.3674999999985</v>
      </c>
      <c r="T71" s="20" t="s">
        <v>75</v>
      </c>
      <c r="U71" s="21" t="s">
        <v>53</v>
      </c>
      <c r="V71" s="25" t="s">
        <v>65</v>
      </c>
      <c r="W71" s="22">
        <v>3</v>
      </c>
      <c r="X71" s="23"/>
    </row>
    <row r="72" spans="1:24" s="1" customFormat="1" ht="37.049999999999997" customHeight="1" x14ac:dyDescent="0.3">
      <c r="A72" s="24" t="s">
        <v>23</v>
      </c>
      <c r="B72" s="24" t="s">
        <v>180</v>
      </c>
      <c r="C72" s="12" t="s">
        <v>181</v>
      </c>
      <c r="D72" s="59"/>
      <c r="E72" s="43" t="str">
        <f>HYPERLINK("https://www.google.ru/search?q=17196-0001&amp;newwindow=1&amp;tbm=isch","Еще фото")</f>
        <v>Еще фото</v>
      </c>
      <c r="F72" s="14" t="s">
        <v>182</v>
      </c>
      <c r="G72" s="24" t="s">
        <v>26</v>
      </c>
      <c r="H72" s="24" t="s">
        <v>27</v>
      </c>
      <c r="I72" s="24" t="s">
        <v>26</v>
      </c>
      <c r="J72" s="15" t="s">
        <v>28</v>
      </c>
      <c r="K72" s="16" t="s">
        <v>57</v>
      </c>
      <c r="L72" s="62"/>
      <c r="M72" s="15"/>
      <c r="N72" s="15" t="s">
        <v>83</v>
      </c>
      <c r="O72" s="15"/>
      <c r="P72" s="16" t="s">
        <v>88</v>
      </c>
      <c r="Q72" s="17">
        <v>13599</v>
      </c>
      <c r="R72" s="18">
        <v>45</v>
      </c>
      <c r="S72" s="19">
        <v>8601.3674999999985</v>
      </c>
      <c r="T72" s="20" t="s">
        <v>75</v>
      </c>
      <c r="U72" s="21" t="s">
        <v>109</v>
      </c>
      <c r="V72" s="25" t="s">
        <v>65</v>
      </c>
      <c r="W72" s="22">
        <v>1</v>
      </c>
      <c r="X72" s="23"/>
    </row>
    <row r="73" spans="1:24" s="1" customFormat="1" ht="11" customHeight="1" x14ac:dyDescent="0.3">
      <c r="A73" s="11" t="s">
        <v>23</v>
      </c>
      <c r="B73" s="11" t="s">
        <v>184</v>
      </c>
      <c r="C73" s="12" t="s">
        <v>185</v>
      </c>
      <c r="D73" s="57"/>
      <c r="E73" s="43" t="str">
        <f t="shared" ref="E73:E82" si="3">HYPERLINK("https://www.google.ru/search?q=17196-0005&amp;newwindow=1&amp;tbm=isch","Еще фото")</f>
        <v>Еще фото</v>
      </c>
      <c r="F73" s="14" t="s">
        <v>182</v>
      </c>
      <c r="G73" s="11" t="s">
        <v>26</v>
      </c>
      <c r="H73" s="11" t="s">
        <v>27</v>
      </c>
      <c r="I73" s="15" t="s">
        <v>26</v>
      </c>
      <c r="J73" s="15" t="s">
        <v>28</v>
      </c>
      <c r="K73" s="16" t="s">
        <v>57</v>
      </c>
      <c r="L73" s="60" t="s">
        <v>186</v>
      </c>
      <c r="M73" s="15" t="s">
        <v>72</v>
      </c>
      <c r="N73" s="15" t="s">
        <v>39</v>
      </c>
      <c r="O73" s="15" t="s">
        <v>113</v>
      </c>
      <c r="P73" s="16" t="s">
        <v>187</v>
      </c>
      <c r="Q73" s="17">
        <v>13899</v>
      </c>
      <c r="R73" s="18">
        <v>45</v>
      </c>
      <c r="S73" s="19">
        <v>8791.1174999999985</v>
      </c>
      <c r="T73" s="20" t="s">
        <v>75</v>
      </c>
      <c r="U73" s="21" t="s">
        <v>173</v>
      </c>
      <c r="V73" s="25" t="s">
        <v>63</v>
      </c>
      <c r="W73" s="22">
        <v>10</v>
      </c>
      <c r="X73" s="23"/>
    </row>
    <row r="74" spans="1:24" s="1" customFormat="1" ht="11" customHeight="1" x14ac:dyDescent="0.3">
      <c r="A74" s="24" t="s">
        <v>23</v>
      </c>
      <c r="B74" s="24" t="s">
        <v>184</v>
      </c>
      <c r="C74" s="12" t="s">
        <v>185</v>
      </c>
      <c r="D74" s="58"/>
      <c r="E74" s="43" t="str">
        <f t="shared" si="3"/>
        <v>Еще фото</v>
      </c>
      <c r="F74" s="14" t="s">
        <v>182</v>
      </c>
      <c r="G74" s="24" t="s">
        <v>26</v>
      </c>
      <c r="H74" s="24" t="s">
        <v>27</v>
      </c>
      <c r="I74" s="24" t="s">
        <v>26</v>
      </c>
      <c r="J74" s="15" t="s">
        <v>28</v>
      </c>
      <c r="K74" s="16" t="s">
        <v>57</v>
      </c>
      <c r="L74" s="61"/>
      <c r="M74" s="15" t="s">
        <v>72</v>
      </c>
      <c r="N74" s="15" t="s">
        <v>39</v>
      </c>
      <c r="O74" s="15" t="s">
        <v>113</v>
      </c>
      <c r="P74" s="16" t="s">
        <v>187</v>
      </c>
      <c r="Q74" s="17">
        <v>13899</v>
      </c>
      <c r="R74" s="18">
        <v>45</v>
      </c>
      <c r="S74" s="19">
        <v>8791.1174999999985</v>
      </c>
      <c r="T74" s="20" t="s">
        <v>75</v>
      </c>
      <c r="U74" s="21" t="s">
        <v>52</v>
      </c>
      <c r="V74" s="25" t="s">
        <v>65</v>
      </c>
      <c r="W74" s="22">
        <v>5</v>
      </c>
      <c r="X74" s="23"/>
    </row>
    <row r="75" spans="1:24" s="1" customFormat="1" ht="11" customHeight="1" x14ac:dyDescent="0.3">
      <c r="A75" s="24" t="s">
        <v>23</v>
      </c>
      <c r="B75" s="24" t="s">
        <v>184</v>
      </c>
      <c r="C75" s="12" t="s">
        <v>185</v>
      </c>
      <c r="D75" s="58"/>
      <c r="E75" s="43" t="str">
        <f t="shared" si="3"/>
        <v>Еще фото</v>
      </c>
      <c r="F75" s="14" t="s">
        <v>182</v>
      </c>
      <c r="G75" s="24" t="s">
        <v>26</v>
      </c>
      <c r="H75" s="24" t="s">
        <v>27</v>
      </c>
      <c r="I75" s="24" t="s">
        <v>26</v>
      </c>
      <c r="J75" s="15" t="s">
        <v>28</v>
      </c>
      <c r="K75" s="16" t="s">
        <v>57</v>
      </c>
      <c r="L75" s="61"/>
      <c r="M75" s="15" t="s">
        <v>72</v>
      </c>
      <c r="N75" s="15" t="s">
        <v>39</v>
      </c>
      <c r="O75" s="15" t="s">
        <v>113</v>
      </c>
      <c r="P75" s="16" t="s">
        <v>187</v>
      </c>
      <c r="Q75" s="17">
        <v>13899</v>
      </c>
      <c r="R75" s="18">
        <v>45</v>
      </c>
      <c r="S75" s="19">
        <v>8791.1174999999985</v>
      </c>
      <c r="T75" s="20" t="s">
        <v>75</v>
      </c>
      <c r="U75" s="21" t="s">
        <v>53</v>
      </c>
      <c r="V75" s="25" t="s">
        <v>65</v>
      </c>
      <c r="W75" s="22">
        <v>10</v>
      </c>
      <c r="X75" s="23"/>
    </row>
    <row r="76" spans="1:24" s="1" customFormat="1" ht="11" customHeight="1" x14ac:dyDescent="0.3">
      <c r="A76" s="24" t="s">
        <v>23</v>
      </c>
      <c r="B76" s="24" t="s">
        <v>184</v>
      </c>
      <c r="C76" s="12" t="s">
        <v>185</v>
      </c>
      <c r="D76" s="58"/>
      <c r="E76" s="43" t="str">
        <f t="shared" si="3"/>
        <v>Еще фото</v>
      </c>
      <c r="F76" s="14" t="s">
        <v>182</v>
      </c>
      <c r="G76" s="24" t="s">
        <v>26</v>
      </c>
      <c r="H76" s="24" t="s">
        <v>27</v>
      </c>
      <c r="I76" s="24" t="s">
        <v>26</v>
      </c>
      <c r="J76" s="15" t="s">
        <v>28</v>
      </c>
      <c r="K76" s="16" t="s">
        <v>57</v>
      </c>
      <c r="L76" s="61"/>
      <c r="M76" s="15" t="s">
        <v>72</v>
      </c>
      <c r="N76" s="15" t="s">
        <v>39</v>
      </c>
      <c r="O76" s="15" t="s">
        <v>113</v>
      </c>
      <c r="P76" s="16" t="s">
        <v>187</v>
      </c>
      <c r="Q76" s="17">
        <v>13899</v>
      </c>
      <c r="R76" s="18">
        <v>45</v>
      </c>
      <c r="S76" s="19">
        <v>8791.1174999999985</v>
      </c>
      <c r="T76" s="20" t="s">
        <v>75</v>
      </c>
      <c r="U76" s="21" t="s">
        <v>188</v>
      </c>
      <c r="V76" s="25" t="s">
        <v>65</v>
      </c>
      <c r="W76" s="22">
        <v>4</v>
      </c>
      <c r="X76" s="23"/>
    </row>
    <row r="77" spans="1:24" s="1" customFormat="1" ht="11" customHeight="1" x14ac:dyDescent="0.3">
      <c r="A77" s="24" t="s">
        <v>23</v>
      </c>
      <c r="B77" s="24" t="s">
        <v>184</v>
      </c>
      <c r="C77" s="12" t="s">
        <v>185</v>
      </c>
      <c r="D77" s="58"/>
      <c r="E77" s="43" t="str">
        <f t="shared" si="3"/>
        <v>Еще фото</v>
      </c>
      <c r="F77" s="14" t="s">
        <v>182</v>
      </c>
      <c r="G77" s="24" t="s">
        <v>26</v>
      </c>
      <c r="H77" s="24" t="s">
        <v>27</v>
      </c>
      <c r="I77" s="24" t="s">
        <v>26</v>
      </c>
      <c r="J77" s="15" t="s">
        <v>28</v>
      </c>
      <c r="K77" s="16" t="s">
        <v>57</v>
      </c>
      <c r="L77" s="61"/>
      <c r="M77" s="15" t="s">
        <v>72</v>
      </c>
      <c r="N77" s="15" t="s">
        <v>39</v>
      </c>
      <c r="O77" s="15" t="s">
        <v>113</v>
      </c>
      <c r="P77" s="16" t="s">
        <v>187</v>
      </c>
      <c r="Q77" s="17">
        <v>13899</v>
      </c>
      <c r="R77" s="18">
        <v>45</v>
      </c>
      <c r="S77" s="19">
        <v>8791.1174999999985</v>
      </c>
      <c r="T77" s="20" t="s">
        <v>75</v>
      </c>
      <c r="U77" s="21" t="s">
        <v>109</v>
      </c>
      <c r="V77" s="25" t="s">
        <v>65</v>
      </c>
      <c r="W77" s="22">
        <v>17</v>
      </c>
      <c r="X77" s="23"/>
    </row>
    <row r="78" spans="1:24" s="1" customFormat="1" ht="11" customHeight="1" x14ac:dyDescent="0.3">
      <c r="A78" s="24" t="s">
        <v>23</v>
      </c>
      <c r="B78" s="24" t="s">
        <v>184</v>
      </c>
      <c r="C78" s="12" t="s">
        <v>185</v>
      </c>
      <c r="D78" s="58"/>
      <c r="E78" s="43" t="str">
        <f t="shared" si="3"/>
        <v>Еще фото</v>
      </c>
      <c r="F78" s="14" t="s">
        <v>182</v>
      </c>
      <c r="G78" s="24" t="s">
        <v>26</v>
      </c>
      <c r="H78" s="24" t="s">
        <v>27</v>
      </c>
      <c r="I78" s="24" t="s">
        <v>26</v>
      </c>
      <c r="J78" s="15" t="s">
        <v>28</v>
      </c>
      <c r="K78" s="16" t="s">
        <v>57</v>
      </c>
      <c r="L78" s="61"/>
      <c r="M78" s="15" t="s">
        <v>72</v>
      </c>
      <c r="N78" s="15" t="s">
        <v>39</v>
      </c>
      <c r="O78" s="15" t="s">
        <v>113</v>
      </c>
      <c r="P78" s="16" t="s">
        <v>187</v>
      </c>
      <c r="Q78" s="17">
        <v>13899</v>
      </c>
      <c r="R78" s="18">
        <v>45</v>
      </c>
      <c r="S78" s="19">
        <v>8791.1174999999985</v>
      </c>
      <c r="T78" s="20" t="s">
        <v>75</v>
      </c>
      <c r="U78" s="21" t="s">
        <v>95</v>
      </c>
      <c r="V78" s="25" t="s">
        <v>96</v>
      </c>
      <c r="W78" s="22">
        <v>7</v>
      </c>
      <c r="X78" s="23"/>
    </row>
    <row r="79" spans="1:24" s="1" customFormat="1" ht="11" customHeight="1" x14ac:dyDescent="0.3">
      <c r="A79" s="24" t="s">
        <v>23</v>
      </c>
      <c r="B79" s="24" t="s">
        <v>184</v>
      </c>
      <c r="C79" s="12" t="s">
        <v>185</v>
      </c>
      <c r="D79" s="58"/>
      <c r="E79" s="43" t="str">
        <f t="shared" si="3"/>
        <v>Еще фото</v>
      </c>
      <c r="F79" s="14" t="s">
        <v>182</v>
      </c>
      <c r="G79" s="24" t="s">
        <v>26</v>
      </c>
      <c r="H79" s="24" t="s">
        <v>27</v>
      </c>
      <c r="I79" s="24" t="s">
        <v>26</v>
      </c>
      <c r="J79" s="15" t="s">
        <v>28</v>
      </c>
      <c r="K79" s="16" t="s">
        <v>57</v>
      </c>
      <c r="L79" s="61"/>
      <c r="M79" s="15" t="s">
        <v>72</v>
      </c>
      <c r="N79" s="15" t="s">
        <v>39</v>
      </c>
      <c r="O79" s="15" t="s">
        <v>113</v>
      </c>
      <c r="P79" s="16" t="s">
        <v>187</v>
      </c>
      <c r="Q79" s="17">
        <v>13899</v>
      </c>
      <c r="R79" s="18">
        <v>45</v>
      </c>
      <c r="S79" s="19">
        <v>8791.1174999999985</v>
      </c>
      <c r="T79" s="20" t="s">
        <v>75</v>
      </c>
      <c r="U79" s="21" t="s">
        <v>165</v>
      </c>
      <c r="V79" s="25" t="s">
        <v>96</v>
      </c>
      <c r="W79" s="22">
        <v>24</v>
      </c>
      <c r="X79" s="23"/>
    </row>
    <row r="80" spans="1:24" s="1" customFormat="1" ht="11" customHeight="1" x14ac:dyDescent="0.3">
      <c r="A80" s="24" t="s">
        <v>23</v>
      </c>
      <c r="B80" s="24" t="s">
        <v>184</v>
      </c>
      <c r="C80" s="12" t="s">
        <v>185</v>
      </c>
      <c r="D80" s="58"/>
      <c r="E80" s="43" t="str">
        <f t="shared" si="3"/>
        <v>Еще фото</v>
      </c>
      <c r="F80" s="14" t="s">
        <v>182</v>
      </c>
      <c r="G80" s="24" t="s">
        <v>26</v>
      </c>
      <c r="H80" s="24" t="s">
        <v>27</v>
      </c>
      <c r="I80" s="24" t="s">
        <v>26</v>
      </c>
      <c r="J80" s="15" t="s">
        <v>28</v>
      </c>
      <c r="K80" s="16" t="s">
        <v>57</v>
      </c>
      <c r="L80" s="61"/>
      <c r="M80" s="15" t="s">
        <v>72</v>
      </c>
      <c r="N80" s="15" t="s">
        <v>39</v>
      </c>
      <c r="O80" s="15" t="s">
        <v>113</v>
      </c>
      <c r="P80" s="16" t="s">
        <v>187</v>
      </c>
      <c r="Q80" s="17">
        <v>13899</v>
      </c>
      <c r="R80" s="18">
        <v>45</v>
      </c>
      <c r="S80" s="19">
        <v>8791.1174999999985</v>
      </c>
      <c r="T80" s="20" t="s">
        <v>75</v>
      </c>
      <c r="U80" s="21" t="s">
        <v>166</v>
      </c>
      <c r="V80" s="25" t="s">
        <v>96</v>
      </c>
      <c r="W80" s="22">
        <v>1</v>
      </c>
      <c r="X80" s="23"/>
    </row>
    <row r="81" spans="1:24" s="1" customFormat="1" ht="11" customHeight="1" x14ac:dyDescent="0.3">
      <c r="A81" s="24" t="s">
        <v>23</v>
      </c>
      <c r="B81" s="24" t="s">
        <v>184</v>
      </c>
      <c r="C81" s="12" t="s">
        <v>185</v>
      </c>
      <c r="D81" s="58"/>
      <c r="E81" s="43" t="str">
        <f t="shared" si="3"/>
        <v>Еще фото</v>
      </c>
      <c r="F81" s="14" t="s">
        <v>182</v>
      </c>
      <c r="G81" s="24" t="s">
        <v>26</v>
      </c>
      <c r="H81" s="24" t="s">
        <v>27</v>
      </c>
      <c r="I81" s="24" t="s">
        <v>26</v>
      </c>
      <c r="J81" s="15" t="s">
        <v>28</v>
      </c>
      <c r="K81" s="16" t="s">
        <v>57</v>
      </c>
      <c r="L81" s="61"/>
      <c r="M81" s="15" t="s">
        <v>72</v>
      </c>
      <c r="N81" s="15" t="s">
        <v>39</v>
      </c>
      <c r="O81" s="15" t="s">
        <v>113</v>
      </c>
      <c r="P81" s="16" t="s">
        <v>187</v>
      </c>
      <c r="Q81" s="17">
        <v>13899</v>
      </c>
      <c r="R81" s="18">
        <v>45</v>
      </c>
      <c r="S81" s="19">
        <v>8791.1174999999985</v>
      </c>
      <c r="T81" s="20" t="s">
        <v>75</v>
      </c>
      <c r="U81" s="21" t="s">
        <v>89</v>
      </c>
      <c r="V81" s="25" t="s">
        <v>90</v>
      </c>
      <c r="W81" s="22">
        <v>9</v>
      </c>
      <c r="X81" s="23"/>
    </row>
    <row r="82" spans="1:24" s="1" customFormat="1" ht="11" customHeight="1" x14ac:dyDescent="0.3">
      <c r="A82" s="15" t="s">
        <v>23</v>
      </c>
      <c r="B82" s="15" t="s">
        <v>184</v>
      </c>
      <c r="C82" s="12" t="s">
        <v>185</v>
      </c>
      <c r="D82" s="59"/>
      <c r="E82" s="43" t="str">
        <f t="shared" si="3"/>
        <v>Еще фото</v>
      </c>
      <c r="F82" s="26" t="s">
        <v>182</v>
      </c>
      <c r="G82" s="15" t="s">
        <v>26</v>
      </c>
      <c r="H82" s="15" t="s">
        <v>27</v>
      </c>
      <c r="I82" s="15" t="s">
        <v>26</v>
      </c>
      <c r="J82" s="15" t="s">
        <v>28</v>
      </c>
      <c r="K82" s="15" t="s">
        <v>57</v>
      </c>
      <c r="L82" s="62"/>
      <c r="M82" s="15" t="s">
        <v>72</v>
      </c>
      <c r="N82" s="15" t="s">
        <v>39</v>
      </c>
      <c r="O82" s="15" t="s">
        <v>113</v>
      </c>
      <c r="P82" s="15" t="s">
        <v>187</v>
      </c>
      <c r="Q82" s="27">
        <v>13899</v>
      </c>
      <c r="R82" s="28">
        <v>45</v>
      </c>
      <c r="S82" s="29">
        <v>8791.1174999999985</v>
      </c>
      <c r="T82" s="20" t="s">
        <v>75</v>
      </c>
      <c r="U82" s="21" t="s">
        <v>100</v>
      </c>
      <c r="V82" s="25" t="s">
        <v>90</v>
      </c>
      <c r="W82" s="22">
        <v>1</v>
      </c>
      <c r="X82" s="23"/>
    </row>
    <row r="83" spans="1:24" s="1" customFormat="1" ht="52.05" customHeight="1" x14ac:dyDescent="0.3">
      <c r="A83" s="11" t="s">
        <v>23</v>
      </c>
      <c r="B83" s="11" t="s">
        <v>189</v>
      </c>
      <c r="C83" s="12" t="s">
        <v>190</v>
      </c>
      <c r="D83" s="63"/>
      <c r="E83" s="43" t="str">
        <f>HYPERLINK("https://www.google.ru/search?q=17196-0016&amp;newwindow=1&amp;tbm=isch","Еще фото")</f>
        <v>Еще фото</v>
      </c>
      <c r="F83" s="14" t="s">
        <v>182</v>
      </c>
      <c r="G83" s="11" t="s">
        <v>26</v>
      </c>
      <c r="H83" s="11" t="s">
        <v>27</v>
      </c>
      <c r="I83" s="15" t="s">
        <v>26</v>
      </c>
      <c r="J83" s="15" t="s">
        <v>28</v>
      </c>
      <c r="K83" s="16" t="s">
        <v>57</v>
      </c>
      <c r="L83" s="60" t="s">
        <v>186</v>
      </c>
      <c r="M83" s="15" t="s">
        <v>72</v>
      </c>
      <c r="N83" s="15" t="s">
        <v>130</v>
      </c>
      <c r="O83" s="15" t="s">
        <v>113</v>
      </c>
      <c r="P83" s="16" t="s">
        <v>88</v>
      </c>
      <c r="Q83" s="17">
        <v>12899</v>
      </c>
      <c r="R83" s="18">
        <v>45</v>
      </c>
      <c r="S83" s="19">
        <v>8158.6174999999994</v>
      </c>
      <c r="T83" s="20" t="s">
        <v>75</v>
      </c>
      <c r="U83" s="21" t="s">
        <v>53</v>
      </c>
      <c r="V83" s="25" t="s">
        <v>65</v>
      </c>
      <c r="W83" s="22">
        <v>1</v>
      </c>
      <c r="X83" s="23"/>
    </row>
    <row r="84" spans="1:24" s="1" customFormat="1" ht="61.05" customHeight="1" x14ac:dyDescent="0.3">
      <c r="A84" s="24" t="s">
        <v>23</v>
      </c>
      <c r="B84" s="24" t="s">
        <v>189</v>
      </c>
      <c r="C84" s="12" t="s">
        <v>190</v>
      </c>
      <c r="D84" s="64"/>
      <c r="E84" s="43" t="str">
        <f>HYPERLINK("https://www.google.ru/search?q=17196-0016&amp;newwindow=1&amp;tbm=isch","Еще фото")</f>
        <v>Еще фото</v>
      </c>
      <c r="F84" s="14" t="s">
        <v>182</v>
      </c>
      <c r="G84" s="24" t="s">
        <v>26</v>
      </c>
      <c r="H84" s="24" t="s">
        <v>27</v>
      </c>
      <c r="I84" s="24" t="s">
        <v>26</v>
      </c>
      <c r="J84" s="15" t="s">
        <v>28</v>
      </c>
      <c r="K84" s="16" t="s">
        <v>57</v>
      </c>
      <c r="L84" s="62"/>
      <c r="M84" s="15" t="s">
        <v>72</v>
      </c>
      <c r="N84" s="15" t="s">
        <v>130</v>
      </c>
      <c r="O84" s="15" t="s">
        <v>113</v>
      </c>
      <c r="P84" s="16" t="s">
        <v>88</v>
      </c>
      <c r="Q84" s="17">
        <v>12899</v>
      </c>
      <c r="R84" s="18">
        <v>45</v>
      </c>
      <c r="S84" s="19">
        <v>8158.6174999999994</v>
      </c>
      <c r="T84" s="20" t="s">
        <v>75</v>
      </c>
      <c r="U84" s="21" t="s">
        <v>165</v>
      </c>
      <c r="V84" s="25" t="s">
        <v>96</v>
      </c>
      <c r="W84" s="22">
        <v>1</v>
      </c>
      <c r="X84" s="23"/>
    </row>
    <row r="85" spans="1:24" s="1" customFormat="1" ht="108" customHeight="1" x14ac:dyDescent="0.3">
      <c r="A85" s="11" t="s">
        <v>23</v>
      </c>
      <c r="B85" s="11" t="s">
        <v>191</v>
      </c>
      <c r="C85" s="12" t="s">
        <v>192</v>
      </c>
      <c r="D85" s="13"/>
      <c r="E85" s="43" t="str">
        <f>HYPERLINK("https://www.google.ru/search?q=17196-0192&amp;newwindow=1&amp;tbm=isch","Еще фото")</f>
        <v>Еще фото</v>
      </c>
      <c r="F85" s="14"/>
      <c r="G85" s="11" t="s">
        <v>26</v>
      </c>
      <c r="H85" s="11" t="s">
        <v>27</v>
      </c>
      <c r="I85" s="15" t="s">
        <v>26</v>
      </c>
      <c r="J85" s="15" t="s">
        <v>37</v>
      </c>
      <c r="K85" s="16" t="s">
        <v>57</v>
      </c>
      <c r="L85" s="15" t="s">
        <v>93</v>
      </c>
      <c r="M85" s="15"/>
      <c r="N85" s="15" t="s">
        <v>73</v>
      </c>
      <c r="O85" s="15"/>
      <c r="P85" s="16" t="s">
        <v>88</v>
      </c>
      <c r="Q85" s="17">
        <v>13199</v>
      </c>
      <c r="R85" s="18">
        <v>45</v>
      </c>
      <c r="S85" s="19">
        <v>8348.3674999999985</v>
      </c>
      <c r="T85" s="20" t="s">
        <v>75</v>
      </c>
      <c r="U85" s="21" t="s">
        <v>173</v>
      </c>
      <c r="V85" s="25" t="s">
        <v>63</v>
      </c>
      <c r="W85" s="22">
        <v>2</v>
      </c>
      <c r="X85" s="23"/>
    </row>
    <row r="86" spans="1:24" s="1" customFormat="1" ht="17" customHeight="1" x14ac:dyDescent="0.3">
      <c r="A86" s="11" t="s">
        <v>23</v>
      </c>
      <c r="B86" s="11" t="s">
        <v>193</v>
      </c>
      <c r="C86" s="12" t="s">
        <v>194</v>
      </c>
      <c r="D86" s="57"/>
      <c r="E86" s="43" t="str">
        <f t="shared" ref="E86:E91" si="4">HYPERLINK("https://www.google.ru/search?q=17196-0199&amp;newwindow=1&amp;tbm=isch","Еще фото")</f>
        <v>Еще фото</v>
      </c>
      <c r="F86" s="14"/>
      <c r="G86" s="11" t="s">
        <v>26</v>
      </c>
      <c r="H86" s="11" t="s">
        <v>27</v>
      </c>
      <c r="I86" s="15" t="s">
        <v>26</v>
      </c>
      <c r="J86" s="15" t="s">
        <v>37</v>
      </c>
      <c r="K86" s="16" t="s">
        <v>57</v>
      </c>
      <c r="L86" s="60" t="s">
        <v>183</v>
      </c>
      <c r="M86" s="15"/>
      <c r="N86" s="15" t="s">
        <v>73</v>
      </c>
      <c r="O86" s="15"/>
      <c r="P86" s="16" t="s">
        <v>94</v>
      </c>
      <c r="Q86" s="17">
        <v>8899</v>
      </c>
      <c r="R86" s="18">
        <v>45</v>
      </c>
      <c r="S86" s="19">
        <v>5628.6174999999994</v>
      </c>
      <c r="T86" s="20" t="s">
        <v>75</v>
      </c>
      <c r="U86" s="21" t="s">
        <v>53</v>
      </c>
      <c r="V86" s="25" t="s">
        <v>65</v>
      </c>
      <c r="W86" s="22">
        <v>9</v>
      </c>
      <c r="X86" s="23"/>
    </row>
    <row r="87" spans="1:24" s="1" customFormat="1" ht="17" customHeight="1" x14ac:dyDescent="0.3">
      <c r="A87" s="24" t="s">
        <v>23</v>
      </c>
      <c r="B87" s="24" t="s">
        <v>193</v>
      </c>
      <c r="C87" s="12" t="s">
        <v>194</v>
      </c>
      <c r="D87" s="58"/>
      <c r="E87" s="43" t="str">
        <f t="shared" si="4"/>
        <v>Еще фото</v>
      </c>
      <c r="F87" s="14"/>
      <c r="G87" s="24" t="s">
        <v>26</v>
      </c>
      <c r="H87" s="24" t="s">
        <v>27</v>
      </c>
      <c r="I87" s="24" t="s">
        <v>26</v>
      </c>
      <c r="J87" s="15" t="s">
        <v>37</v>
      </c>
      <c r="K87" s="16" t="s">
        <v>57</v>
      </c>
      <c r="L87" s="61"/>
      <c r="M87" s="15"/>
      <c r="N87" s="15" t="s">
        <v>73</v>
      </c>
      <c r="O87" s="15"/>
      <c r="P87" s="16" t="s">
        <v>94</v>
      </c>
      <c r="Q87" s="17">
        <v>8899</v>
      </c>
      <c r="R87" s="18">
        <v>45</v>
      </c>
      <c r="S87" s="19">
        <v>5628.6174999999994</v>
      </c>
      <c r="T87" s="20" t="s">
        <v>75</v>
      </c>
      <c r="U87" s="21" t="s">
        <v>109</v>
      </c>
      <c r="V87" s="25" t="s">
        <v>65</v>
      </c>
      <c r="W87" s="22">
        <v>17</v>
      </c>
      <c r="X87" s="23"/>
    </row>
    <row r="88" spans="1:24" s="1" customFormat="1" ht="17" customHeight="1" x14ac:dyDescent="0.3">
      <c r="A88" s="24" t="s">
        <v>23</v>
      </c>
      <c r="B88" s="24" t="s">
        <v>193</v>
      </c>
      <c r="C88" s="12" t="s">
        <v>194</v>
      </c>
      <c r="D88" s="58"/>
      <c r="E88" s="43" t="str">
        <f t="shared" si="4"/>
        <v>Еще фото</v>
      </c>
      <c r="F88" s="14"/>
      <c r="G88" s="24" t="s">
        <v>26</v>
      </c>
      <c r="H88" s="24" t="s">
        <v>27</v>
      </c>
      <c r="I88" s="24" t="s">
        <v>26</v>
      </c>
      <c r="J88" s="15" t="s">
        <v>37</v>
      </c>
      <c r="K88" s="16" t="s">
        <v>57</v>
      </c>
      <c r="L88" s="61"/>
      <c r="M88" s="15"/>
      <c r="N88" s="15" t="s">
        <v>73</v>
      </c>
      <c r="O88" s="15"/>
      <c r="P88" s="16" t="s">
        <v>94</v>
      </c>
      <c r="Q88" s="17">
        <v>8899</v>
      </c>
      <c r="R88" s="18">
        <v>45</v>
      </c>
      <c r="S88" s="19">
        <v>5628.6174999999994</v>
      </c>
      <c r="T88" s="20" t="s">
        <v>75</v>
      </c>
      <c r="U88" s="21" t="s">
        <v>165</v>
      </c>
      <c r="V88" s="25" t="s">
        <v>96</v>
      </c>
      <c r="W88" s="22">
        <v>16</v>
      </c>
      <c r="X88" s="23"/>
    </row>
    <row r="89" spans="1:24" s="1" customFormat="1" ht="17" customHeight="1" x14ac:dyDescent="0.3">
      <c r="A89" s="24" t="s">
        <v>23</v>
      </c>
      <c r="B89" s="24" t="s">
        <v>193</v>
      </c>
      <c r="C89" s="12" t="s">
        <v>194</v>
      </c>
      <c r="D89" s="58"/>
      <c r="E89" s="43" t="str">
        <f t="shared" si="4"/>
        <v>Еще фото</v>
      </c>
      <c r="F89" s="14"/>
      <c r="G89" s="24" t="s">
        <v>26</v>
      </c>
      <c r="H89" s="24" t="s">
        <v>27</v>
      </c>
      <c r="I89" s="24" t="s">
        <v>26</v>
      </c>
      <c r="J89" s="15" t="s">
        <v>37</v>
      </c>
      <c r="K89" s="16" t="s">
        <v>57</v>
      </c>
      <c r="L89" s="61"/>
      <c r="M89" s="15"/>
      <c r="N89" s="15" t="s">
        <v>73</v>
      </c>
      <c r="O89" s="15"/>
      <c r="P89" s="16" t="s">
        <v>94</v>
      </c>
      <c r="Q89" s="17">
        <v>8899</v>
      </c>
      <c r="R89" s="18">
        <v>45</v>
      </c>
      <c r="S89" s="19">
        <v>5628.6174999999994</v>
      </c>
      <c r="T89" s="20" t="s">
        <v>75</v>
      </c>
      <c r="U89" s="21" t="s">
        <v>166</v>
      </c>
      <c r="V89" s="25" t="s">
        <v>96</v>
      </c>
      <c r="W89" s="22">
        <v>4</v>
      </c>
      <c r="X89" s="23"/>
    </row>
    <row r="90" spans="1:24" s="1" customFormat="1" ht="17" customHeight="1" x14ac:dyDescent="0.3">
      <c r="A90" s="24" t="s">
        <v>23</v>
      </c>
      <c r="B90" s="24" t="s">
        <v>193</v>
      </c>
      <c r="C90" s="12" t="s">
        <v>194</v>
      </c>
      <c r="D90" s="58"/>
      <c r="E90" s="43" t="str">
        <f t="shared" si="4"/>
        <v>Еще фото</v>
      </c>
      <c r="F90" s="14"/>
      <c r="G90" s="24" t="s">
        <v>26</v>
      </c>
      <c r="H90" s="24" t="s">
        <v>27</v>
      </c>
      <c r="I90" s="24" t="s">
        <v>26</v>
      </c>
      <c r="J90" s="15" t="s">
        <v>37</v>
      </c>
      <c r="K90" s="16" t="s">
        <v>57</v>
      </c>
      <c r="L90" s="61"/>
      <c r="M90" s="15"/>
      <c r="N90" s="15" t="s">
        <v>73</v>
      </c>
      <c r="O90" s="15"/>
      <c r="P90" s="16" t="s">
        <v>94</v>
      </c>
      <c r="Q90" s="17">
        <v>8899</v>
      </c>
      <c r="R90" s="18">
        <v>45</v>
      </c>
      <c r="S90" s="19">
        <v>5628.6174999999994</v>
      </c>
      <c r="T90" s="20" t="s">
        <v>75</v>
      </c>
      <c r="U90" s="21" t="s">
        <v>89</v>
      </c>
      <c r="V90" s="25" t="s">
        <v>90</v>
      </c>
      <c r="W90" s="22">
        <v>9</v>
      </c>
      <c r="X90" s="23"/>
    </row>
    <row r="91" spans="1:24" s="1" customFormat="1" ht="22.05" customHeight="1" x14ac:dyDescent="0.3">
      <c r="A91" s="24" t="s">
        <v>23</v>
      </c>
      <c r="B91" s="24" t="s">
        <v>193</v>
      </c>
      <c r="C91" s="12" t="s">
        <v>194</v>
      </c>
      <c r="D91" s="59"/>
      <c r="E91" s="43" t="str">
        <f t="shared" si="4"/>
        <v>Еще фото</v>
      </c>
      <c r="F91" s="14"/>
      <c r="G91" s="24" t="s">
        <v>26</v>
      </c>
      <c r="H91" s="24" t="s">
        <v>27</v>
      </c>
      <c r="I91" s="24" t="s">
        <v>26</v>
      </c>
      <c r="J91" s="15" t="s">
        <v>37</v>
      </c>
      <c r="K91" s="16" t="s">
        <v>57</v>
      </c>
      <c r="L91" s="62"/>
      <c r="M91" s="15"/>
      <c r="N91" s="15" t="s">
        <v>73</v>
      </c>
      <c r="O91" s="15"/>
      <c r="P91" s="16" t="s">
        <v>94</v>
      </c>
      <c r="Q91" s="17">
        <v>8899</v>
      </c>
      <c r="R91" s="18">
        <v>45</v>
      </c>
      <c r="S91" s="19">
        <v>5628.6174999999994</v>
      </c>
      <c r="T91" s="20" t="s">
        <v>75</v>
      </c>
      <c r="U91" s="21" t="s">
        <v>167</v>
      </c>
      <c r="V91" s="22">
        <v>52</v>
      </c>
      <c r="W91" s="22">
        <v>3</v>
      </c>
      <c r="X91" s="23"/>
    </row>
    <row r="92" spans="1:24" s="1" customFormat="1" ht="21" customHeight="1" x14ac:dyDescent="0.3">
      <c r="A92" s="11" t="s">
        <v>23</v>
      </c>
      <c r="B92" s="11" t="s">
        <v>191</v>
      </c>
      <c r="C92" s="30" t="s">
        <v>195</v>
      </c>
      <c r="D92" s="57"/>
      <c r="E92" s="43" t="str">
        <f>HYPERLINK("https://www.google.ru/search?q=17196-0203&amp;newwindow=1&amp;tbm=isch","Еще фото")</f>
        <v>Еще фото</v>
      </c>
      <c r="F92" s="14"/>
      <c r="G92" s="11" t="s">
        <v>26</v>
      </c>
      <c r="H92" s="11" t="s">
        <v>27</v>
      </c>
      <c r="I92" s="15" t="s">
        <v>26</v>
      </c>
      <c r="J92" s="15" t="s">
        <v>37</v>
      </c>
      <c r="K92" s="16" t="s">
        <v>57</v>
      </c>
      <c r="L92" s="60" t="s">
        <v>93</v>
      </c>
      <c r="M92" s="15"/>
      <c r="N92" s="15" t="s">
        <v>99</v>
      </c>
      <c r="O92" s="15"/>
      <c r="P92" s="16" t="s">
        <v>88</v>
      </c>
      <c r="Q92" s="17">
        <v>10899</v>
      </c>
      <c r="R92" s="18">
        <v>45</v>
      </c>
      <c r="S92" s="19">
        <v>6893.6174999999994</v>
      </c>
      <c r="T92" s="20" t="s">
        <v>75</v>
      </c>
      <c r="U92" s="21" t="s">
        <v>109</v>
      </c>
      <c r="V92" s="25" t="s">
        <v>65</v>
      </c>
      <c r="W92" s="22">
        <v>2</v>
      </c>
      <c r="X92" s="23"/>
    </row>
    <row r="93" spans="1:24" s="1" customFormat="1" ht="21" customHeight="1" x14ac:dyDescent="0.3">
      <c r="A93" s="24" t="s">
        <v>23</v>
      </c>
      <c r="B93" s="24" t="s">
        <v>191</v>
      </c>
      <c r="C93" s="31" t="s">
        <v>195</v>
      </c>
      <c r="D93" s="58"/>
      <c r="E93" s="43" t="str">
        <f>HYPERLINK("https://www.google.ru/search?q=17196-0203&amp;newwindow=1&amp;tbm=isch","Еще фото")</f>
        <v>Еще фото</v>
      </c>
      <c r="F93" s="14"/>
      <c r="G93" s="24" t="s">
        <v>26</v>
      </c>
      <c r="H93" s="24" t="s">
        <v>27</v>
      </c>
      <c r="I93" s="24" t="s">
        <v>26</v>
      </c>
      <c r="J93" s="15" t="s">
        <v>37</v>
      </c>
      <c r="K93" s="16" t="s">
        <v>57</v>
      </c>
      <c r="L93" s="61"/>
      <c r="M93" s="15"/>
      <c r="N93" s="15" t="s">
        <v>99</v>
      </c>
      <c r="O93" s="15"/>
      <c r="P93" s="16" t="s">
        <v>88</v>
      </c>
      <c r="Q93" s="17">
        <v>10899</v>
      </c>
      <c r="R93" s="18">
        <v>45</v>
      </c>
      <c r="S93" s="19">
        <v>6893.6174999999994</v>
      </c>
      <c r="T93" s="20" t="s">
        <v>75</v>
      </c>
      <c r="U93" s="21" t="s">
        <v>140</v>
      </c>
      <c r="V93" s="25" t="s">
        <v>65</v>
      </c>
      <c r="W93" s="22">
        <v>4</v>
      </c>
      <c r="X93" s="23"/>
    </row>
    <row r="94" spans="1:24" s="1" customFormat="1" ht="21" customHeight="1" x14ac:dyDescent="0.3">
      <c r="A94" s="24" t="s">
        <v>23</v>
      </c>
      <c r="B94" s="24" t="s">
        <v>191</v>
      </c>
      <c r="C94" s="31" t="s">
        <v>195</v>
      </c>
      <c r="D94" s="58"/>
      <c r="E94" s="43" t="str">
        <f>HYPERLINK("https://www.google.ru/search?q=17196-0203&amp;newwindow=1&amp;tbm=isch","Еще фото")</f>
        <v>Еще фото</v>
      </c>
      <c r="F94" s="14"/>
      <c r="G94" s="24" t="s">
        <v>26</v>
      </c>
      <c r="H94" s="24" t="s">
        <v>27</v>
      </c>
      <c r="I94" s="24" t="s">
        <v>26</v>
      </c>
      <c r="J94" s="15" t="s">
        <v>37</v>
      </c>
      <c r="K94" s="16" t="s">
        <v>57</v>
      </c>
      <c r="L94" s="61"/>
      <c r="M94" s="15"/>
      <c r="N94" s="15" t="s">
        <v>99</v>
      </c>
      <c r="O94" s="15"/>
      <c r="P94" s="16" t="s">
        <v>88</v>
      </c>
      <c r="Q94" s="17">
        <v>10899</v>
      </c>
      <c r="R94" s="18">
        <v>45</v>
      </c>
      <c r="S94" s="19">
        <v>6893.6174999999994</v>
      </c>
      <c r="T94" s="20" t="s">
        <v>75</v>
      </c>
      <c r="U94" s="21" t="s">
        <v>165</v>
      </c>
      <c r="V94" s="25" t="s">
        <v>96</v>
      </c>
      <c r="W94" s="22">
        <v>3</v>
      </c>
      <c r="X94" s="23"/>
    </row>
    <row r="95" spans="1:24" s="1" customFormat="1" ht="21" customHeight="1" x14ac:dyDescent="0.3">
      <c r="A95" s="24" t="s">
        <v>23</v>
      </c>
      <c r="B95" s="24" t="s">
        <v>191</v>
      </c>
      <c r="C95" s="31" t="s">
        <v>195</v>
      </c>
      <c r="D95" s="58"/>
      <c r="E95" s="43" t="str">
        <f>HYPERLINK("https://www.google.ru/search?q=17196-0203&amp;newwindow=1&amp;tbm=isch","Еще фото")</f>
        <v>Еще фото</v>
      </c>
      <c r="F95" s="14"/>
      <c r="G95" s="24" t="s">
        <v>26</v>
      </c>
      <c r="H95" s="24" t="s">
        <v>27</v>
      </c>
      <c r="I95" s="24" t="s">
        <v>26</v>
      </c>
      <c r="J95" s="15" t="s">
        <v>37</v>
      </c>
      <c r="K95" s="16" t="s">
        <v>57</v>
      </c>
      <c r="L95" s="61"/>
      <c r="M95" s="15"/>
      <c r="N95" s="15" t="s">
        <v>99</v>
      </c>
      <c r="O95" s="15"/>
      <c r="P95" s="16" t="s">
        <v>88</v>
      </c>
      <c r="Q95" s="17">
        <v>10899</v>
      </c>
      <c r="R95" s="18">
        <v>45</v>
      </c>
      <c r="S95" s="19">
        <v>6893.6174999999994</v>
      </c>
      <c r="T95" s="20" t="s">
        <v>75</v>
      </c>
      <c r="U95" s="21" t="s">
        <v>104</v>
      </c>
      <c r="V95" s="25" t="s">
        <v>96</v>
      </c>
      <c r="W95" s="22">
        <v>4</v>
      </c>
      <c r="X95" s="23"/>
    </row>
    <row r="96" spans="1:24" s="1" customFormat="1" ht="32" customHeight="1" x14ac:dyDescent="0.3">
      <c r="A96" s="24" t="s">
        <v>23</v>
      </c>
      <c r="B96" s="24" t="s">
        <v>191</v>
      </c>
      <c r="C96" s="31" t="s">
        <v>195</v>
      </c>
      <c r="D96" s="59"/>
      <c r="E96" s="43" t="str">
        <f>HYPERLINK("https://www.google.ru/search?q=17196-0203&amp;newwindow=1&amp;tbm=isch","Еще фото")</f>
        <v>Еще фото</v>
      </c>
      <c r="F96" s="14"/>
      <c r="G96" s="24" t="s">
        <v>26</v>
      </c>
      <c r="H96" s="24" t="s">
        <v>27</v>
      </c>
      <c r="I96" s="24" t="s">
        <v>26</v>
      </c>
      <c r="J96" s="15" t="s">
        <v>37</v>
      </c>
      <c r="K96" s="16" t="s">
        <v>57</v>
      </c>
      <c r="L96" s="62"/>
      <c r="M96" s="15"/>
      <c r="N96" s="15" t="s">
        <v>99</v>
      </c>
      <c r="O96" s="15"/>
      <c r="P96" s="16" t="s">
        <v>88</v>
      </c>
      <c r="Q96" s="17">
        <v>10899</v>
      </c>
      <c r="R96" s="18">
        <v>45</v>
      </c>
      <c r="S96" s="19">
        <v>6893.6174999999994</v>
      </c>
      <c r="T96" s="20" t="s">
        <v>75</v>
      </c>
      <c r="U96" s="21" t="s">
        <v>196</v>
      </c>
      <c r="V96" s="22">
        <v>54</v>
      </c>
      <c r="W96" s="22">
        <v>2</v>
      </c>
      <c r="X96" s="23"/>
    </row>
    <row r="97" spans="1:24" s="1" customFormat="1" ht="11" customHeight="1" x14ac:dyDescent="0.3">
      <c r="A97" s="11" t="s">
        <v>23</v>
      </c>
      <c r="B97" s="11" t="s">
        <v>197</v>
      </c>
      <c r="C97" s="12" t="s">
        <v>198</v>
      </c>
      <c r="D97" s="57"/>
      <c r="E97" s="43" t="str">
        <f t="shared" ref="E97:E105" si="5">HYPERLINK("https://www.google.ru/search?q=29507-1926&amp;newwindow=1&amp;tbm=isch","Еще фото")</f>
        <v>Еще фото</v>
      </c>
      <c r="F97" s="14"/>
      <c r="G97" s="11" t="s">
        <v>26</v>
      </c>
      <c r="H97" s="11" t="s">
        <v>27</v>
      </c>
      <c r="I97" s="15" t="s">
        <v>26</v>
      </c>
      <c r="J97" s="15" t="s">
        <v>37</v>
      </c>
      <c r="K97" s="16" t="s">
        <v>57</v>
      </c>
      <c r="L97" s="60"/>
      <c r="M97" s="15"/>
      <c r="N97" s="15" t="s">
        <v>130</v>
      </c>
      <c r="O97" s="15"/>
      <c r="P97" s="16" t="s">
        <v>199</v>
      </c>
      <c r="Q97" s="17">
        <v>8299</v>
      </c>
      <c r="R97" s="18">
        <v>45</v>
      </c>
      <c r="S97" s="19">
        <v>5249.1174999999994</v>
      </c>
      <c r="T97" s="20" t="s">
        <v>75</v>
      </c>
      <c r="U97" s="21" t="s">
        <v>173</v>
      </c>
      <c r="V97" s="25" t="s">
        <v>63</v>
      </c>
      <c r="W97" s="22">
        <v>11</v>
      </c>
      <c r="X97" s="23"/>
    </row>
    <row r="98" spans="1:24" s="1" customFormat="1" ht="11" customHeight="1" x14ac:dyDescent="0.3">
      <c r="A98" s="24" t="s">
        <v>23</v>
      </c>
      <c r="B98" s="24" t="s">
        <v>197</v>
      </c>
      <c r="C98" s="12" t="s">
        <v>198</v>
      </c>
      <c r="D98" s="58"/>
      <c r="E98" s="43" t="str">
        <f t="shared" si="5"/>
        <v>Еще фото</v>
      </c>
      <c r="F98" s="14"/>
      <c r="G98" s="24" t="s">
        <v>26</v>
      </c>
      <c r="H98" s="24" t="s">
        <v>27</v>
      </c>
      <c r="I98" s="24" t="s">
        <v>26</v>
      </c>
      <c r="J98" s="15" t="s">
        <v>37</v>
      </c>
      <c r="K98" s="16" t="s">
        <v>57</v>
      </c>
      <c r="L98" s="61"/>
      <c r="M98" s="15"/>
      <c r="N98" s="15" t="s">
        <v>130</v>
      </c>
      <c r="O98" s="15"/>
      <c r="P98" s="16" t="s">
        <v>199</v>
      </c>
      <c r="Q98" s="17">
        <v>8299</v>
      </c>
      <c r="R98" s="18">
        <v>45</v>
      </c>
      <c r="S98" s="19">
        <v>5249.1174999999994</v>
      </c>
      <c r="T98" s="20" t="s">
        <v>75</v>
      </c>
      <c r="U98" s="21" t="s">
        <v>53</v>
      </c>
      <c r="V98" s="25" t="s">
        <v>65</v>
      </c>
      <c r="W98" s="22">
        <v>11</v>
      </c>
      <c r="X98" s="23"/>
    </row>
    <row r="99" spans="1:24" s="1" customFormat="1" ht="11" customHeight="1" x14ac:dyDescent="0.3">
      <c r="A99" s="24" t="s">
        <v>23</v>
      </c>
      <c r="B99" s="24" t="s">
        <v>197</v>
      </c>
      <c r="C99" s="12" t="s">
        <v>198</v>
      </c>
      <c r="D99" s="58"/>
      <c r="E99" s="43" t="str">
        <f t="shared" si="5"/>
        <v>Еще фото</v>
      </c>
      <c r="F99" s="14"/>
      <c r="G99" s="24" t="s">
        <v>26</v>
      </c>
      <c r="H99" s="24" t="s">
        <v>27</v>
      </c>
      <c r="I99" s="24" t="s">
        <v>26</v>
      </c>
      <c r="J99" s="15" t="s">
        <v>37</v>
      </c>
      <c r="K99" s="16" t="s">
        <v>57</v>
      </c>
      <c r="L99" s="61"/>
      <c r="M99" s="15"/>
      <c r="N99" s="15" t="s">
        <v>130</v>
      </c>
      <c r="O99" s="15"/>
      <c r="P99" s="16" t="s">
        <v>199</v>
      </c>
      <c r="Q99" s="17">
        <v>8299</v>
      </c>
      <c r="R99" s="18">
        <v>45</v>
      </c>
      <c r="S99" s="19">
        <v>5249.1174999999994</v>
      </c>
      <c r="T99" s="20" t="s">
        <v>75</v>
      </c>
      <c r="U99" s="21" t="s">
        <v>109</v>
      </c>
      <c r="V99" s="25" t="s">
        <v>65</v>
      </c>
      <c r="W99" s="22">
        <v>11</v>
      </c>
      <c r="X99" s="23"/>
    </row>
    <row r="100" spans="1:24" s="1" customFormat="1" ht="11" customHeight="1" x14ac:dyDescent="0.3">
      <c r="A100" s="24" t="s">
        <v>23</v>
      </c>
      <c r="B100" s="24" t="s">
        <v>197</v>
      </c>
      <c r="C100" s="12" t="s">
        <v>198</v>
      </c>
      <c r="D100" s="58"/>
      <c r="E100" s="43" t="str">
        <f t="shared" si="5"/>
        <v>Еще фото</v>
      </c>
      <c r="F100" s="14"/>
      <c r="G100" s="24" t="s">
        <v>26</v>
      </c>
      <c r="H100" s="24" t="s">
        <v>27</v>
      </c>
      <c r="I100" s="24" t="s">
        <v>26</v>
      </c>
      <c r="J100" s="15" t="s">
        <v>37</v>
      </c>
      <c r="K100" s="16" t="s">
        <v>57</v>
      </c>
      <c r="L100" s="61"/>
      <c r="M100" s="15"/>
      <c r="N100" s="15" t="s">
        <v>130</v>
      </c>
      <c r="O100" s="15"/>
      <c r="P100" s="16" t="s">
        <v>199</v>
      </c>
      <c r="Q100" s="17">
        <v>8299</v>
      </c>
      <c r="R100" s="18">
        <v>45</v>
      </c>
      <c r="S100" s="19">
        <v>5249.1174999999994</v>
      </c>
      <c r="T100" s="20" t="s">
        <v>75</v>
      </c>
      <c r="U100" s="21" t="s">
        <v>140</v>
      </c>
      <c r="V100" s="25" t="s">
        <v>65</v>
      </c>
      <c r="W100" s="22">
        <v>3</v>
      </c>
      <c r="X100" s="23"/>
    </row>
    <row r="101" spans="1:24" s="1" customFormat="1" ht="11" customHeight="1" x14ac:dyDescent="0.3">
      <c r="A101" s="24" t="s">
        <v>23</v>
      </c>
      <c r="B101" s="24" t="s">
        <v>197</v>
      </c>
      <c r="C101" s="12" t="s">
        <v>198</v>
      </c>
      <c r="D101" s="58"/>
      <c r="E101" s="43" t="str">
        <f t="shared" si="5"/>
        <v>Еще фото</v>
      </c>
      <c r="F101" s="14"/>
      <c r="G101" s="24" t="s">
        <v>26</v>
      </c>
      <c r="H101" s="24" t="s">
        <v>27</v>
      </c>
      <c r="I101" s="24" t="s">
        <v>26</v>
      </c>
      <c r="J101" s="15" t="s">
        <v>37</v>
      </c>
      <c r="K101" s="16" t="s">
        <v>57</v>
      </c>
      <c r="L101" s="61"/>
      <c r="M101" s="15"/>
      <c r="N101" s="15" t="s">
        <v>130</v>
      </c>
      <c r="O101" s="15"/>
      <c r="P101" s="16" t="s">
        <v>199</v>
      </c>
      <c r="Q101" s="17">
        <v>8299</v>
      </c>
      <c r="R101" s="18">
        <v>45</v>
      </c>
      <c r="S101" s="19">
        <v>5249.1174999999994</v>
      </c>
      <c r="T101" s="20" t="s">
        <v>75</v>
      </c>
      <c r="U101" s="21" t="s">
        <v>165</v>
      </c>
      <c r="V101" s="25" t="s">
        <v>96</v>
      </c>
      <c r="W101" s="22">
        <v>8</v>
      </c>
      <c r="X101" s="23"/>
    </row>
    <row r="102" spans="1:24" s="1" customFormat="1" ht="11" customHeight="1" x14ac:dyDescent="0.3">
      <c r="A102" s="24" t="s">
        <v>23</v>
      </c>
      <c r="B102" s="24" t="s">
        <v>197</v>
      </c>
      <c r="C102" s="12" t="s">
        <v>198</v>
      </c>
      <c r="D102" s="58"/>
      <c r="E102" s="43" t="str">
        <f t="shared" si="5"/>
        <v>Еще фото</v>
      </c>
      <c r="F102" s="14"/>
      <c r="G102" s="24" t="s">
        <v>26</v>
      </c>
      <c r="H102" s="24" t="s">
        <v>27</v>
      </c>
      <c r="I102" s="24" t="s">
        <v>26</v>
      </c>
      <c r="J102" s="15" t="s">
        <v>37</v>
      </c>
      <c r="K102" s="16" t="s">
        <v>57</v>
      </c>
      <c r="L102" s="61"/>
      <c r="M102" s="15"/>
      <c r="N102" s="15" t="s">
        <v>130</v>
      </c>
      <c r="O102" s="15"/>
      <c r="P102" s="16" t="s">
        <v>199</v>
      </c>
      <c r="Q102" s="17">
        <v>8299</v>
      </c>
      <c r="R102" s="18">
        <v>45</v>
      </c>
      <c r="S102" s="19">
        <v>5249.1174999999994</v>
      </c>
      <c r="T102" s="20" t="s">
        <v>75</v>
      </c>
      <c r="U102" s="21" t="s">
        <v>200</v>
      </c>
      <c r="V102" s="25" t="s">
        <v>96</v>
      </c>
      <c r="W102" s="22">
        <v>2</v>
      </c>
      <c r="X102" s="23"/>
    </row>
    <row r="103" spans="1:24" s="1" customFormat="1" ht="11" customHeight="1" x14ac:dyDescent="0.3">
      <c r="A103" s="24" t="s">
        <v>23</v>
      </c>
      <c r="B103" s="24" t="s">
        <v>197</v>
      </c>
      <c r="C103" s="12" t="s">
        <v>198</v>
      </c>
      <c r="D103" s="58"/>
      <c r="E103" s="43" t="str">
        <f t="shared" si="5"/>
        <v>Еще фото</v>
      </c>
      <c r="F103" s="14"/>
      <c r="G103" s="24" t="s">
        <v>26</v>
      </c>
      <c r="H103" s="24" t="s">
        <v>27</v>
      </c>
      <c r="I103" s="24" t="s">
        <v>26</v>
      </c>
      <c r="J103" s="15" t="s">
        <v>37</v>
      </c>
      <c r="K103" s="16" t="s">
        <v>57</v>
      </c>
      <c r="L103" s="61"/>
      <c r="M103" s="15"/>
      <c r="N103" s="15" t="s">
        <v>130</v>
      </c>
      <c r="O103" s="15"/>
      <c r="P103" s="16" t="s">
        <v>199</v>
      </c>
      <c r="Q103" s="17">
        <v>8299</v>
      </c>
      <c r="R103" s="18">
        <v>45</v>
      </c>
      <c r="S103" s="19">
        <v>5249.1174999999994</v>
      </c>
      <c r="T103" s="20" t="s">
        <v>75</v>
      </c>
      <c r="U103" s="21" t="s">
        <v>100</v>
      </c>
      <c r="V103" s="25" t="s">
        <v>90</v>
      </c>
      <c r="W103" s="22">
        <v>6</v>
      </c>
      <c r="X103" s="23"/>
    </row>
    <row r="104" spans="1:24" s="1" customFormat="1" ht="11" customHeight="1" x14ac:dyDescent="0.3">
      <c r="A104" s="24" t="s">
        <v>23</v>
      </c>
      <c r="B104" s="24" t="s">
        <v>197</v>
      </c>
      <c r="C104" s="12" t="s">
        <v>198</v>
      </c>
      <c r="D104" s="58"/>
      <c r="E104" s="43" t="str">
        <f t="shared" si="5"/>
        <v>Еще фото</v>
      </c>
      <c r="F104" s="14"/>
      <c r="G104" s="24" t="s">
        <v>26</v>
      </c>
      <c r="H104" s="24" t="s">
        <v>27</v>
      </c>
      <c r="I104" s="24" t="s">
        <v>26</v>
      </c>
      <c r="J104" s="15" t="s">
        <v>37</v>
      </c>
      <c r="K104" s="16" t="s">
        <v>57</v>
      </c>
      <c r="L104" s="61"/>
      <c r="M104" s="15"/>
      <c r="N104" s="15" t="s">
        <v>130</v>
      </c>
      <c r="O104" s="15"/>
      <c r="P104" s="16" t="s">
        <v>199</v>
      </c>
      <c r="Q104" s="17">
        <v>8299</v>
      </c>
      <c r="R104" s="18">
        <v>45</v>
      </c>
      <c r="S104" s="19">
        <v>5249.1174999999994</v>
      </c>
      <c r="T104" s="20" t="s">
        <v>75</v>
      </c>
      <c r="U104" s="21" t="s">
        <v>167</v>
      </c>
      <c r="V104" s="22">
        <v>52</v>
      </c>
      <c r="W104" s="22">
        <v>2</v>
      </c>
      <c r="X104" s="23"/>
    </row>
    <row r="105" spans="1:24" s="1" customFormat="1" ht="11" customHeight="1" x14ac:dyDescent="0.3">
      <c r="A105" s="24" t="s">
        <v>23</v>
      </c>
      <c r="B105" s="24" t="s">
        <v>197</v>
      </c>
      <c r="C105" s="12" t="s">
        <v>198</v>
      </c>
      <c r="D105" s="59"/>
      <c r="E105" s="43" t="str">
        <f t="shared" si="5"/>
        <v>Еще фото</v>
      </c>
      <c r="F105" s="14"/>
      <c r="G105" s="24" t="s">
        <v>26</v>
      </c>
      <c r="H105" s="24" t="s">
        <v>27</v>
      </c>
      <c r="I105" s="24" t="s">
        <v>26</v>
      </c>
      <c r="J105" s="15" t="s">
        <v>37</v>
      </c>
      <c r="K105" s="16" t="s">
        <v>57</v>
      </c>
      <c r="L105" s="62"/>
      <c r="M105" s="15"/>
      <c r="N105" s="15" t="s">
        <v>130</v>
      </c>
      <c r="O105" s="15"/>
      <c r="P105" s="16" t="s">
        <v>199</v>
      </c>
      <c r="Q105" s="17">
        <v>8299</v>
      </c>
      <c r="R105" s="18">
        <v>45</v>
      </c>
      <c r="S105" s="19">
        <v>5249.1174999999994</v>
      </c>
      <c r="T105" s="20" t="s">
        <v>75</v>
      </c>
      <c r="U105" s="21" t="s">
        <v>196</v>
      </c>
      <c r="V105" s="22">
        <v>54</v>
      </c>
      <c r="W105" s="22">
        <v>3</v>
      </c>
      <c r="X105" s="23"/>
    </row>
    <row r="106" spans="1:24" s="1" customFormat="1" ht="26" customHeight="1" x14ac:dyDescent="0.3">
      <c r="A106" s="11" t="s">
        <v>23</v>
      </c>
      <c r="B106" s="11" t="s">
        <v>201</v>
      </c>
      <c r="C106" s="12" t="s">
        <v>202</v>
      </c>
      <c r="D106" s="57"/>
      <c r="E106" s="43" t="str">
        <f>HYPERLINK("https://www.google.ru/search?q=85226-0146&amp;newwindow=1&amp;tbm=isch","Еще фото")</f>
        <v>Еще фото</v>
      </c>
      <c r="F106" s="14"/>
      <c r="G106" s="11" t="s">
        <v>26</v>
      </c>
      <c r="H106" s="11" t="s">
        <v>27</v>
      </c>
      <c r="I106" s="15" t="s">
        <v>26</v>
      </c>
      <c r="J106" s="15" t="s">
        <v>28</v>
      </c>
      <c r="K106" s="16" t="s">
        <v>57</v>
      </c>
      <c r="L106" s="60" t="s">
        <v>137</v>
      </c>
      <c r="M106" s="15"/>
      <c r="N106" s="15" t="s">
        <v>99</v>
      </c>
      <c r="O106" s="15"/>
      <c r="P106" s="16" t="s">
        <v>88</v>
      </c>
      <c r="Q106" s="17">
        <v>12999</v>
      </c>
      <c r="R106" s="18">
        <v>45</v>
      </c>
      <c r="S106" s="19">
        <v>8221.8674999999985</v>
      </c>
      <c r="T106" s="20" t="s">
        <v>75</v>
      </c>
      <c r="U106" s="21" t="s">
        <v>109</v>
      </c>
      <c r="V106" s="25" t="s">
        <v>65</v>
      </c>
      <c r="W106" s="22">
        <v>2</v>
      </c>
      <c r="X106" s="23"/>
    </row>
    <row r="107" spans="1:24" s="1" customFormat="1" ht="26" customHeight="1" x14ac:dyDescent="0.3">
      <c r="A107" s="24" t="s">
        <v>23</v>
      </c>
      <c r="B107" s="24" t="s">
        <v>201</v>
      </c>
      <c r="C107" s="12" t="s">
        <v>202</v>
      </c>
      <c r="D107" s="58"/>
      <c r="E107" s="43" t="str">
        <f>HYPERLINK("https://www.google.ru/search?q=85226-0146&amp;newwindow=1&amp;tbm=isch","Еще фото")</f>
        <v>Еще фото</v>
      </c>
      <c r="F107" s="14"/>
      <c r="G107" s="24" t="s">
        <v>26</v>
      </c>
      <c r="H107" s="24" t="s">
        <v>27</v>
      </c>
      <c r="I107" s="24" t="s">
        <v>26</v>
      </c>
      <c r="J107" s="15" t="s">
        <v>28</v>
      </c>
      <c r="K107" s="16" t="s">
        <v>57</v>
      </c>
      <c r="L107" s="61"/>
      <c r="M107" s="15"/>
      <c r="N107" s="15" t="s">
        <v>99</v>
      </c>
      <c r="O107" s="15"/>
      <c r="P107" s="16" t="s">
        <v>88</v>
      </c>
      <c r="Q107" s="17">
        <v>12999</v>
      </c>
      <c r="R107" s="18">
        <v>45</v>
      </c>
      <c r="S107" s="19">
        <v>8221.8674999999985</v>
      </c>
      <c r="T107" s="20" t="s">
        <v>75</v>
      </c>
      <c r="U107" s="21" t="s">
        <v>200</v>
      </c>
      <c r="V107" s="25" t="s">
        <v>96</v>
      </c>
      <c r="W107" s="22">
        <v>2</v>
      </c>
      <c r="X107" s="23"/>
    </row>
    <row r="108" spans="1:24" s="1" customFormat="1" ht="26" customHeight="1" x14ac:dyDescent="0.3">
      <c r="A108" s="24" t="s">
        <v>23</v>
      </c>
      <c r="B108" s="24" t="s">
        <v>201</v>
      </c>
      <c r="C108" s="12" t="s">
        <v>202</v>
      </c>
      <c r="D108" s="58"/>
      <c r="E108" s="43" t="str">
        <f>HYPERLINK("https://www.google.ru/search?q=85226-0146&amp;newwindow=1&amp;tbm=isch","Еще фото")</f>
        <v>Еще фото</v>
      </c>
      <c r="F108" s="14"/>
      <c r="G108" s="24" t="s">
        <v>26</v>
      </c>
      <c r="H108" s="24" t="s">
        <v>27</v>
      </c>
      <c r="I108" s="24" t="s">
        <v>26</v>
      </c>
      <c r="J108" s="15" t="s">
        <v>28</v>
      </c>
      <c r="K108" s="16" t="s">
        <v>57</v>
      </c>
      <c r="L108" s="61"/>
      <c r="M108" s="15"/>
      <c r="N108" s="15" t="s">
        <v>99</v>
      </c>
      <c r="O108" s="15"/>
      <c r="P108" s="16" t="s">
        <v>88</v>
      </c>
      <c r="Q108" s="17">
        <v>12999</v>
      </c>
      <c r="R108" s="18">
        <v>45</v>
      </c>
      <c r="S108" s="19">
        <v>8221.8674999999985</v>
      </c>
      <c r="T108" s="20" t="s">
        <v>75</v>
      </c>
      <c r="U108" s="21" t="s">
        <v>203</v>
      </c>
      <c r="V108" s="25" t="s">
        <v>90</v>
      </c>
      <c r="W108" s="22">
        <v>2</v>
      </c>
      <c r="X108" s="23"/>
    </row>
    <row r="109" spans="1:24" s="1" customFormat="1" ht="26" customHeight="1" x14ac:dyDescent="0.3">
      <c r="A109" s="24" t="s">
        <v>23</v>
      </c>
      <c r="B109" s="24" t="s">
        <v>201</v>
      </c>
      <c r="C109" s="12" t="s">
        <v>202</v>
      </c>
      <c r="D109" s="59"/>
      <c r="E109" s="43" t="str">
        <f>HYPERLINK("https://www.google.ru/search?q=85226-0146&amp;newwindow=1&amp;tbm=isch","Еще фото")</f>
        <v>Еще фото</v>
      </c>
      <c r="F109" s="14"/>
      <c r="G109" s="24" t="s">
        <v>26</v>
      </c>
      <c r="H109" s="24" t="s">
        <v>27</v>
      </c>
      <c r="I109" s="24" t="s">
        <v>26</v>
      </c>
      <c r="J109" s="15" t="s">
        <v>28</v>
      </c>
      <c r="K109" s="16" t="s">
        <v>57</v>
      </c>
      <c r="L109" s="62"/>
      <c r="M109" s="15"/>
      <c r="N109" s="15" t="s">
        <v>99</v>
      </c>
      <c r="O109" s="15"/>
      <c r="P109" s="16" t="s">
        <v>88</v>
      </c>
      <c r="Q109" s="17">
        <v>12999</v>
      </c>
      <c r="R109" s="18">
        <v>45</v>
      </c>
      <c r="S109" s="19">
        <v>8221.8674999999985</v>
      </c>
      <c r="T109" s="20" t="s">
        <v>75</v>
      </c>
      <c r="U109" s="21" t="s">
        <v>100</v>
      </c>
      <c r="V109" s="25" t="s">
        <v>90</v>
      </c>
      <c r="W109" s="22">
        <v>1</v>
      </c>
      <c r="X109" s="23"/>
    </row>
    <row r="110" spans="1:24" s="1" customFormat="1" ht="35" customHeight="1" x14ac:dyDescent="0.3">
      <c r="A110" s="11" t="s">
        <v>23</v>
      </c>
      <c r="B110" s="11" t="s">
        <v>204</v>
      </c>
      <c r="C110" s="12" t="s">
        <v>205</v>
      </c>
      <c r="D110" s="57"/>
      <c r="E110" s="43" t="str">
        <f>HYPERLINK("https://www.google.ru/search?q=85226-0263&amp;newwindow=1&amp;tbm=isch","Еще фото")</f>
        <v>Еще фото</v>
      </c>
      <c r="F110" s="14"/>
      <c r="G110" s="11" t="s">
        <v>26</v>
      </c>
      <c r="H110" s="11" t="s">
        <v>27</v>
      </c>
      <c r="I110" s="15" t="s">
        <v>26</v>
      </c>
      <c r="J110" s="15" t="s">
        <v>37</v>
      </c>
      <c r="K110" s="16" t="s">
        <v>57</v>
      </c>
      <c r="L110" s="60" t="s">
        <v>137</v>
      </c>
      <c r="M110" s="15"/>
      <c r="N110" s="15" t="s">
        <v>87</v>
      </c>
      <c r="O110" s="15"/>
      <c r="P110" s="16" t="s">
        <v>88</v>
      </c>
      <c r="Q110" s="17">
        <v>8899</v>
      </c>
      <c r="R110" s="18">
        <v>45</v>
      </c>
      <c r="S110" s="19">
        <v>5628.6174999999994</v>
      </c>
      <c r="T110" s="20" t="s">
        <v>75</v>
      </c>
      <c r="U110" s="21" t="s">
        <v>53</v>
      </c>
      <c r="V110" s="25" t="s">
        <v>65</v>
      </c>
      <c r="W110" s="22">
        <v>5</v>
      </c>
      <c r="X110" s="23"/>
    </row>
    <row r="111" spans="1:24" s="1" customFormat="1" ht="35" customHeight="1" x14ac:dyDescent="0.3">
      <c r="A111" s="24" t="s">
        <v>23</v>
      </c>
      <c r="B111" s="24" t="s">
        <v>204</v>
      </c>
      <c r="C111" s="12" t="s">
        <v>205</v>
      </c>
      <c r="D111" s="58"/>
      <c r="E111" s="43" t="str">
        <f>HYPERLINK("https://www.google.ru/search?q=85226-0263&amp;newwindow=1&amp;tbm=isch","Еще фото")</f>
        <v>Еще фото</v>
      </c>
      <c r="F111" s="14"/>
      <c r="G111" s="24" t="s">
        <v>26</v>
      </c>
      <c r="H111" s="24" t="s">
        <v>27</v>
      </c>
      <c r="I111" s="24" t="s">
        <v>26</v>
      </c>
      <c r="J111" s="15" t="s">
        <v>37</v>
      </c>
      <c r="K111" s="16" t="s">
        <v>57</v>
      </c>
      <c r="L111" s="61"/>
      <c r="M111" s="15"/>
      <c r="N111" s="15" t="s">
        <v>87</v>
      </c>
      <c r="O111" s="15"/>
      <c r="P111" s="16" t="s">
        <v>88</v>
      </c>
      <c r="Q111" s="17">
        <v>8899</v>
      </c>
      <c r="R111" s="18">
        <v>45</v>
      </c>
      <c r="S111" s="19">
        <v>5628.6174999999994</v>
      </c>
      <c r="T111" s="20" t="s">
        <v>75</v>
      </c>
      <c r="U111" s="21" t="s">
        <v>109</v>
      </c>
      <c r="V111" s="25" t="s">
        <v>65</v>
      </c>
      <c r="W111" s="22">
        <v>2</v>
      </c>
      <c r="X111" s="23"/>
    </row>
    <row r="112" spans="1:24" s="1" customFormat="1" ht="37.049999999999997" customHeight="1" x14ac:dyDescent="0.3">
      <c r="A112" s="24" t="s">
        <v>23</v>
      </c>
      <c r="B112" s="24" t="s">
        <v>204</v>
      </c>
      <c r="C112" s="12" t="s">
        <v>205</v>
      </c>
      <c r="D112" s="59"/>
      <c r="E112" s="43" t="str">
        <f>HYPERLINK("https://www.google.ru/search?q=85226-0263&amp;newwindow=1&amp;tbm=isch","Еще фото")</f>
        <v>Еще фото</v>
      </c>
      <c r="F112" s="14"/>
      <c r="G112" s="24" t="s">
        <v>26</v>
      </c>
      <c r="H112" s="24" t="s">
        <v>27</v>
      </c>
      <c r="I112" s="24" t="s">
        <v>26</v>
      </c>
      <c r="J112" s="15" t="s">
        <v>37</v>
      </c>
      <c r="K112" s="16" t="s">
        <v>57</v>
      </c>
      <c r="L112" s="62"/>
      <c r="M112" s="15"/>
      <c r="N112" s="15" t="s">
        <v>87</v>
      </c>
      <c r="O112" s="15"/>
      <c r="P112" s="16" t="s">
        <v>88</v>
      </c>
      <c r="Q112" s="17">
        <v>8899</v>
      </c>
      <c r="R112" s="18">
        <v>45</v>
      </c>
      <c r="S112" s="19">
        <v>5628.6174999999994</v>
      </c>
      <c r="T112" s="20" t="s">
        <v>75</v>
      </c>
      <c r="U112" s="21" t="s">
        <v>165</v>
      </c>
      <c r="V112" s="25" t="s">
        <v>96</v>
      </c>
      <c r="W112" s="22">
        <v>6</v>
      </c>
      <c r="X112" s="23"/>
    </row>
    <row r="113" spans="1:24" s="1" customFormat="1" ht="14" customHeight="1" x14ac:dyDescent="0.3">
      <c r="A113" s="11" t="s">
        <v>23</v>
      </c>
      <c r="B113" s="11" t="s">
        <v>206</v>
      </c>
      <c r="C113" s="12" t="s">
        <v>207</v>
      </c>
      <c r="D113" s="57"/>
      <c r="E113" s="43" t="str">
        <f t="shared" ref="E113:E119" si="6">HYPERLINK("https://www.google.ru/search?q=A0086-0070&amp;newwindow=1&amp;tbm=isch","Еще фото")</f>
        <v>Еще фото</v>
      </c>
      <c r="F113" s="14"/>
      <c r="G113" s="11" t="s">
        <v>208</v>
      </c>
      <c r="H113" s="11" t="s">
        <v>27</v>
      </c>
      <c r="I113" s="15" t="s">
        <v>26</v>
      </c>
      <c r="J113" s="15" t="s">
        <v>37</v>
      </c>
      <c r="K113" s="16" t="s">
        <v>29</v>
      </c>
      <c r="L113" s="60"/>
      <c r="M113" s="15"/>
      <c r="N113" s="15" t="s">
        <v>138</v>
      </c>
      <c r="O113" s="15"/>
      <c r="P113" s="16" t="s">
        <v>209</v>
      </c>
      <c r="Q113" s="17">
        <v>10099</v>
      </c>
      <c r="R113" s="18">
        <v>45</v>
      </c>
      <c r="S113" s="19">
        <v>6387.6174999999994</v>
      </c>
      <c r="T113" s="20" t="s">
        <v>75</v>
      </c>
      <c r="U113" s="21" t="s">
        <v>210</v>
      </c>
      <c r="V113" s="22">
        <v>42</v>
      </c>
      <c r="W113" s="22">
        <v>7</v>
      </c>
      <c r="X113" s="23"/>
    </row>
    <row r="114" spans="1:24" s="1" customFormat="1" ht="14" customHeight="1" x14ac:dyDescent="0.3">
      <c r="A114" s="24" t="s">
        <v>23</v>
      </c>
      <c r="B114" s="24" t="s">
        <v>206</v>
      </c>
      <c r="C114" s="12" t="s">
        <v>207</v>
      </c>
      <c r="D114" s="58"/>
      <c r="E114" s="43" t="str">
        <f t="shared" si="6"/>
        <v>Еще фото</v>
      </c>
      <c r="F114" s="14"/>
      <c r="G114" s="24" t="s">
        <v>208</v>
      </c>
      <c r="H114" s="24" t="s">
        <v>27</v>
      </c>
      <c r="I114" s="24" t="s">
        <v>26</v>
      </c>
      <c r="J114" s="15" t="s">
        <v>37</v>
      </c>
      <c r="K114" s="16" t="s">
        <v>29</v>
      </c>
      <c r="L114" s="61"/>
      <c r="M114" s="15"/>
      <c r="N114" s="15" t="s">
        <v>138</v>
      </c>
      <c r="O114" s="15"/>
      <c r="P114" s="16" t="s">
        <v>209</v>
      </c>
      <c r="Q114" s="17">
        <v>10099</v>
      </c>
      <c r="R114" s="18">
        <v>45</v>
      </c>
      <c r="S114" s="19">
        <v>6387.6174999999994</v>
      </c>
      <c r="T114" s="20" t="s">
        <v>75</v>
      </c>
      <c r="U114" s="21" t="s">
        <v>211</v>
      </c>
      <c r="V114" s="25" t="s">
        <v>48</v>
      </c>
      <c r="W114" s="22">
        <v>16</v>
      </c>
      <c r="X114" s="23"/>
    </row>
    <row r="115" spans="1:24" s="1" customFormat="1" ht="14" customHeight="1" x14ac:dyDescent="0.3">
      <c r="A115" s="24" t="s">
        <v>23</v>
      </c>
      <c r="B115" s="24" t="s">
        <v>206</v>
      </c>
      <c r="C115" s="12" t="s">
        <v>207</v>
      </c>
      <c r="D115" s="58"/>
      <c r="E115" s="43" t="str">
        <f t="shared" si="6"/>
        <v>Еще фото</v>
      </c>
      <c r="F115" s="14"/>
      <c r="G115" s="24" t="s">
        <v>208</v>
      </c>
      <c r="H115" s="24" t="s">
        <v>27</v>
      </c>
      <c r="I115" s="24" t="s">
        <v>26</v>
      </c>
      <c r="J115" s="15" t="s">
        <v>37</v>
      </c>
      <c r="K115" s="16" t="s">
        <v>29</v>
      </c>
      <c r="L115" s="61"/>
      <c r="M115" s="15"/>
      <c r="N115" s="15" t="s">
        <v>138</v>
      </c>
      <c r="O115" s="15"/>
      <c r="P115" s="16" t="s">
        <v>209</v>
      </c>
      <c r="Q115" s="17">
        <v>10099</v>
      </c>
      <c r="R115" s="18">
        <v>45</v>
      </c>
      <c r="S115" s="19">
        <v>6387.6174999999994</v>
      </c>
      <c r="T115" s="20" t="s">
        <v>75</v>
      </c>
      <c r="U115" s="21" t="s">
        <v>212</v>
      </c>
      <c r="V115" s="22">
        <v>44</v>
      </c>
      <c r="W115" s="22">
        <v>17</v>
      </c>
      <c r="X115" s="23"/>
    </row>
    <row r="116" spans="1:24" s="1" customFormat="1" ht="14" customHeight="1" x14ac:dyDescent="0.3">
      <c r="A116" s="24" t="s">
        <v>23</v>
      </c>
      <c r="B116" s="24" t="s">
        <v>206</v>
      </c>
      <c r="C116" s="12" t="s">
        <v>207</v>
      </c>
      <c r="D116" s="58"/>
      <c r="E116" s="43" t="str">
        <f t="shared" si="6"/>
        <v>Еще фото</v>
      </c>
      <c r="F116" s="14"/>
      <c r="G116" s="24" t="s">
        <v>208</v>
      </c>
      <c r="H116" s="24" t="s">
        <v>27</v>
      </c>
      <c r="I116" s="24" t="s">
        <v>26</v>
      </c>
      <c r="J116" s="15" t="s">
        <v>37</v>
      </c>
      <c r="K116" s="16" t="s">
        <v>29</v>
      </c>
      <c r="L116" s="61"/>
      <c r="M116" s="15"/>
      <c r="N116" s="15" t="s">
        <v>138</v>
      </c>
      <c r="O116" s="15"/>
      <c r="P116" s="16" t="s">
        <v>209</v>
      </c>
      <c r="Q116" s="17">
        <v>10099</v>
      </c>
      <c r="R116" s="18">
        <v>45</v>
      </c>
      <c r="S116" s="19">
        <v>6387.6174999999994</v>
      </c>
      <c r="T116" s="20" t="s">
        <v>75</v>
      </c>
      <c r="U116" s="21" t="s">
        <v>213</v>
      </c>
      <c r="V116" s="22">
        <v>46</v>
      </c>
      <c r="W116" s="22">
        <v>20</v>
      </c>
      <c r="X116" s="23"/>
    </row>
    <row r="117" spans="1:24" s="1" customFormat="1" ht="14" customHeight="1" x14ac:dyDescent="0.3">
      <c r="A117" s="24" t="s">
        <v>23</v>
      </c>
      <c r="B117" s="24" t="s">
        <v>206</v>
      </c>
      <c r="C117" s="12" t="s">
        <v>207</v>
      </c>
      <c r="D117" s="58"/>
      <c r="E117" s="43" t="str">
        <f t="shared" si="6"/>
        <v>Еще фото</v>
      </c>
      <c r="F117" s="14"/>
      <c r="G117" s="24" t="s">
        <v>208</v>
      </c>
      <c r="H117" s="24" t="s">
        <v>27</v>
      </c>
      <c r="I117" s="24" t="s">
        <v>26</v>
      </c>
      <c r="J117" s="15" t="s">
        <v>37</v>
      </c>
      <c r="K117" s="16" t="s">
        <v>29</v>
      </c>
      <c r="L117" s="61"/>
      <c r="M117" s="15"/>
      <c r="N117" s="15" t="s">
        <v>138</v>
      </c>
      <c r="O117" s="15"/>
      <c r="P117" s="16" t="s">
        <v>209</v>
      </c>
      <c r="Q117" s="17">
        <v>10099</v>
      </c>
      <c r="R117" s="18">
        <v>45</v>
      </c>
      <c r="S117" s="19">
        <v>6387.6174999999994</v>
      </c>
      <c r="T117" s="20" t="s">
        <v>75</v>
      </c>
      <c r="U117" s="21" t="s">
        <v>214</v>
      </c>
      <c r="V117" s="22">
        <v>48</v>
      </c>
      <c r="W117" s="22">
        <v>12</v>
      </c>
      <c r="X117" s="23"/>
    </row>
    <row r="118" spans="1:24" s="1" customFormat="1" ht="14" customHeight="1" x14ac:dyDescent="0.3">
      <c r="A118" s="24" t="s">
        <v>23</v>
      </c>
      <c r="B118" s="24" t="s">
        <v>206</v>
      </c>
      <c r="C118" s="12" t="s">
        <v>207</v>
      </c>
      <c r="D118" s="58"/>
      <c r="E118" s="43" t="str">
        <f t="shared" si="6"/>
        <v>Еще фото</v>
      </c>
      <c r="F118" s="14"/>
      <c r="G118" s="24" t="s">
        <v>208</v>
      </c>
      <c r="H118" s="24" t="s">
        <v>27</v>
      </c>
      <c r="I118" s="24" t="s">
        <v>26</v>
      </c>
      <c r="J118" s="15" t="s">
        <v>37</v>
      </c>
      <c r="K118" s="16" t="s">
        <v>29</v>
      </c>
      <c r="L118" s="61"/>
      <c r="M118" s="15"/>
      <c r="N118" s="15" t="s">
        <v>138</v>
      </c>
      <c r="O118" s="15"/>
      <c r="P118" s="16" t="s">
        <v>209</v>
      </c>
      <c r="Q118" s="17">
        <v>10099</v>
      </c>
      <c r="R118" s="18">
        <v>45</v>
      </c>
      <c r="S118" s="19">
        <v>6387.6174999999994</v>
      </c>
      <c r="T118" s="20" t="s">
        <v>75</v>
      </c>
      <c r="U118" s="21" t="s">
        <v>215</v>
      </c>
      <c r="V118" s="25" t="s">
        <v>96</v>
      </c>
      <c r="W118" s="22">
        <v>12</v>
      </c>
      <c r="X118" s="23"/>
    </row>
    <row r="119" spans="1:24" s="1" customFormat="1" ht="17" customHeight="1" x14ac:dyDescent="0.3">
      <c r="A119" s="24" t="s">
        <v>23</v>
      </c>
      <c r="B119" s="24" t="s">
        <v>206</v>
      </c>
      <c r="C119" s="12" t="s">
        <v>207</v>
      </c>
      <c r="D119" s="59"/>
      <c r="E119" s="43" t="str">
        <f t="shared" si="6"/>
        <v>Еще фото</v>
      </c>
      <c r="F119" s="14"/>
      <c r="G119" s="24" t="s">
        <v>208</v>
      </c>
      <c r="H119" s="24" t="s">
        <v>27</v>
      </c>
      <c r="I119" s="24" t="s">
        <v>26</v>
      </c>
      <c r="J119" s="15" t="s">
        <v>37</v>
      </c>
      <c r="K119" s="16" t="s">
        <v>29</v>
      </c>
      <c r="L119" s="62"/>
      <c r="M119" s="15"/>
      <c r="N119" s="15" t="s">
        <v>138</v>
      </c>
      <c r="O119" s="15"/>
      <c r="P119" s="16" t="s">
        <v>209</v>
      </c>
      <c r="Q119" s="17">
        <v>10099</v>
      </c>
      <c r="R119" s="18">
        <v>45</v>
      </c>
      <c r="S119" s="19">
        <v>6387.6174999999994</v>
      </c>
      <c r="T119" s="20" t="s">
        <v>75</v>
      </c>
      <c r="U119" s="21" t="s">
        <v>216</v>
      </c>
      <c r="V119" s="22">
        <v>50</v>
      </c>
      <c r="W119" s="22">
        <v>12</v>
      </c>
      <c r="X119" s="23"/>
    </row>
    <row r="120" spans="1:24" s="1" customFormat="1" ht="14" customHeight="1" x14ac:dyDescent="0.3">
      <c r="A120" s="11" t="s">
        <v>23</v>
      </c>
      <c r="B120" s="11" t="s">
        <v>217</v>
      </c>
      <c r="C120" s="12" t="s">
        <v>218</v>
      </c>
      <c r="D120" s="57"/>
      <c r="E120" s="43" t="str">
        <f t="shared" ref="E120:E126" si="7">HYPERLINK("https://www.google.ru/search?q=A4750-0156&amp;newwindow=1&amp;tbm=isch","Еще фото")</f>
        <v>Еще фото</v>
      </c>
      <c r="F120" s="14" t="s">
        <v>182</v>
      </c>
      <c r="G120" s="11" t="s">
        <v>26</v>
      </c>
      <c r="H120" s="11" t="s">
        <v>27</v>
      </c>
      <c r="I120" s="15" t="s">
        <v>26</v>
      </c>
      <c r="J120" s="15" t="s">
        <v>37</v>
      </c>
      <c r="K120" s="16" t="s">
        <v>57</v>
      </c>
      <c r="L120" s="60"/>
      <c r="M120" s="15"/>
      <c r="N120" s="15" t="s">
        <v>130</v>
      </c>
      <c r="O120" s="15"/>
      <c r="P120" s="16" t="s">
        <v>219</v>
      </c>
      <c r="Q120" s="17">
        <v>18899</v>
      </c>
      <c r="R120" s="18">
        <v>45</v>
      </c>
      <c r="S120" s="19">
        <v>11953.6175</v>
      </c>
      <c r="T120" s="20" t="s">
        <v>75</v>
      </c>
      <c r="U120" s="21" t="s">
        <v>173</v>
      </c>
      <c r="V120" s="25" t="s">
        <v>63</v>
      </c>
      <c r="W120" s="22">
        <v>10</v>
      </c>
      <c r="X120" s="23"/>
    </row>
    <row r="121" spans="1:24" s="1" customFormat="1" ht="14" customHeight="1" x14ac:dyDescent="0.3">
      <c r="A121" s="24" t="s">
        <v>23</v>
      </c>
      <c r="B121" s="24" t="s">
        <v>217</v>
      </c>
      <c r="C121" s="12" t="s">
        <v>218</v>
      </c>
      <c r="D121" s="58"/>
      <c r="E121" s="43" t="str">
        <f t="shared" si="7"/>
        <v>Еще фото</v>
      </c>
      <c r="F121" s="14" t="s">
        <v>182</v>
      </c>
      <c r="G121" s="24" t="s">
        <v>26</v>
      </c>
      <c r="H121" s="24" t="s">
        <v>27</v>
      </c>
      <c r="I121" s="24" t="s">
        <v>26</v>
      </c>
      <c r="J121" s="15" t="s">
        <v>37</v>
      </c>
      <c r="K121" s="16" t="s">
        <v>57</v>
      </c>
      <c r="L121" s="61"/>
      <c r="M121" s="15"/>
      <c r="N121" s="15" t="s">
        <v>130</v>
      </c>
      <c r="O121" s="15"/>
      <c r="P121" s="16" t="s">
        <v>219</v>
      </c>
      <c r="Q121" s="17">
        <v>18899</v>
      </c>
      <c r="R121" s="18">
        <v>45</v>
      </c>
      <c r="S121" s="19">
        <v>11953.6175</v>
      </c>
      <c r="T121" s="20" t="s">
        <v>75</v>
      </c>
      <c r="U121" s="21" t="s">
        <v>53</v>
      </c>
      <c r="V121" s="25" t="s">
        <v>65</v>
      </c>
      <c r="W121" s="22">
        <v>10</v>
      </c>
      <c r="X121" s="23"/>
    </row>
    <row r="122" spans="1:24" s="1" customFormat="1" ht="14" customHeight="1" x14ac:dyDescent="0.3">
      <c r="A122" s="24" t="s">
        <v>23</v>
      </c>
      <c r="B122" s="24" t="s">
        <v>217</v>
      </c>
      <c r="C122" s="12" t="s">
        <v>218</v>
      </c>
      <c r="D122" s="58"/>
      <c r="E122" s="43" t="str">
        <f t="shared" si="7"/>
        <v>Еще фото</v>
      </c>
      <c r="F122" s="14" t="s">
        <v>182</v>
      </c>
      <c r="G122" s="24" t="s">
        <v>26</v>
      </c>
      <c r="H122" s="24" t="s">
        <v>27</v>
      </c>
      <c r="I122" s="24" t="s">
        <v>26</v>
      </c>
      <c r="J122" s="15" t="s">
        <v>37</v>
      </c>
      <c r="K122" s="16" t="s">
        <v>57</v>
      </c>
      <c r="L122" s="61"/>
      <c r="M122" s="15"/>
      <c r="N122" s="15" t="s">
        <v>130</v>
      </c>
      <c r="O122" s="15"/>
      <c r="P122" s="16" t="s">
        <v>219</v>
      </c>
      <c r="Q122" s="17">
        <v>18899</v>
      </c>
      <c r="R122" s="18">
        <v>45</v>
      </c>
      <c r="S122" s="19">
        <v>11953.6175</v>
      </c>
      <c r="T122" s="20" t="s">
        <v>75</v>
      </c>
      <c r="U122" s="21" t="s">
        <v>109</v>
      </c>
      <c r="V122" s="25" t="s">
        <v>65</v>
      </c>
      <c r="W122" s="22">
        <v>16</v>
      </c>
      <c r="X122" s="23"/>
    </row>
    <row r="123" spans="1:24" s="1" customFormat="1" ht="14" customHeight="1" x14ac:dyDescent="0.3">
      <c r="A123" s="24" t="s">
        <v>23</v>
      </c>
      <c r="B123" s="24" t="s">
        <v>217</v>
      </c>
      <c r="C123" s="12" t="s">
        <v>218</v>
      </c>
      <c r="D123" s="58"/>
      <c r="E123" s="43" t="str">
        <f t="shared" si="7"/>
        <v>Еще фото</v>
      </c>
      <c r="F123" s="14" t="s">
        <v>182</v>
      </c>
      <c r="G123" s="24" t="s">
        <v>26</v>
      </c>
      <c r="H123" s="24" t="s">
        <v>27</v>
      </c>
      <c r="I123" s="24" t="s">
        <v>26</v>
      </c>
      <c r="J123" s="15" t="s">
        <v>37</v>
      </c>
      <c r="K123" s="16" t="s">
        <v>57</v>
      </c>
      <c r="L123" s="61"/>
      <c r="M123" s="15"/>
      <c r="N123" s="15" t="s">
        <v>130</v>
      </c>
      <c r="O123" s="15"/>
      <c r="P123" s="16" t="s">
        <v>219</v>
      </c>
      <c r="Q123" s="17">
        <v>18899</v>
      </c>
      <c r="R123" s="18">
        <v>45</v>
      </c>
      <c r="S123" s="19">
        <v>11953.6175</v>
      </c>
      <c r="T123" s="20" t="s">
        <v>75</v>
      </c>
      <c r="U123" s="21" t="s">
        <v>165</v>
      </c>
      <c r="V123" s="25" t="s">
        <v>96</v>
      </c>
      <c r="W123" s="22">
        <v>25</v>
      </c>
      <c r="X123" s="23"/>
    </row>
    <row r="124" spans="1:24" s="1" customFormat="1" ht="14" customHeight="1" x14ac:dyDescent="0.3">
      <c r="A124" s="24" t="s">
        <v>23</v>
      </c>
      <c r="B124" s="24" t="s">
        <v>217</v>
      </c>
      <c r="C124" s="12" t="s">
        <v>218</v>
      </c>
      <c r="D124" s="58"/>
      <c r="E124" s="43" t="str">
        <f t="shared" si="7"/>
        <v>Еще фото</v>
      </c>
      <c r="F124" s="14" t="s">
        <v>182</v>
      </c>
      <c r="G124" s="24" t="s">
        <v>26</v>
      </c>
      <c r="H124" s="24" t="s">
        <v>27</v>
      </c>
      <c r="I124" s="24" t="s">
        <v>26</v>
      </c>
      <c r="J124" s="15" t="s">
        <v>37</v>
      </c>
      <c r="K124" s="16" t="s">
        <v>57</v>
      </c>
      <c r="L124" s="61"/>
      <c r="M124" s="15"/>
      <c r="N124" s="15" t="s">
        <v>130</v>
      </c>
      <c r="O124" s="15"/>
      <c r="P124" s="16" t="s">
        <v>219</v>
      </c>
      <c r="Q124" s="17">
        <v>18899</v>
      </c>
      <c r="R124" s="18">
        <v>45</v>
      </c>
      <c r="S124" s="19">
        <v>11953.6175</v>
      </c>
      <c r="T124" s="20" t="s">
        <v>75</v>
      </c>
      <c r="U124" s="21" t="s">
        <v>166</v>
      </c>
      <c r="V124" s="25" t="s">
        <v>96</v>
      </c>
      <c r="W124" s="22">
        <v>16</v>
      </c>
      <c r="X124" s="23"/>
    </row>
    <row r="125" spans="1:24" s="1" customFormat="1" ht="14" customHeight="1" x14ac:dyDescent="0.3">
      <c r="A125" s="24" t="s">
        <v>23</v>
      </c>
      <c r="B125" s="24" t="s">
        <v>217</v>
      </c>
      <c r="C125" s="12" t="s">
        <v>218</v>
      </c>
      <c r="D125" s="58"/>
      <c r="E125" s="43" t="str">
        <f t="shared" si="7"/>
        <v>Еще фото</v>
      </c>
      <c r="F125" s="14" t="s">
        <v>182</v>
      </c>
      <c r="G125" s="24" t="s">
        <v>26</v>
      </c>
      <c r="H125" s="24" t="s">
        <v>27</v>
      </c>
      <c r="I125" s="24" t="s">
        <v>26</v>
      </c>
      <c r="J125" s="15" t="s">
        <v>37</v>
      </c>
      <c r="K125" s="16" t="s">
        <v>57</v>
      </c>
      <c r="L125" s="61"/>
      <c r="M125" s="15"/>
      <c r="N125" s="15" t="s">
        <v>130</v>
      </c>
      <c r="O125" s="15"/>
      <c r="P125" s="16" t="s">
        <v>219</v>
      </c>
      <c r="Q125" s="17">
        <v>18899</v>
      </c>
      <c r="R125" s="18">
        <v>45</v>
      </c>
      <c r="S125" s="19">
        <v>11953.6175</v>
      </c>
      <c r="T125" s="20" t="s">
        <v>75</v>
      </c>
      <c r="U125" s="21" t="s">
        <v>89</v>
      </c>
      <c r="V125" s="25" t="s">
        <v>90</v>
      </c>
      <c r="W125" s="22">
        <v>10</v>
      </c>
      <c r="X125" s="23"/>
    </row>
    <row r="126" spans="1:24" s="1" customFormat="1" ht="17" customHeight="1" x14ac:dyDescent="0.3">
      <c r="A126" s="24" t="s">
        <v>23</v>
      </c>
      <c r="B126" s="24" t="s">
        <v>217</v>
      </c>
      <c r="C126" s="12" t="s">
        <v>218</v>
      </c>
      <c r="D126" s="59"/>
      <c r="E126" s="43" t="str">
        <f t="shared" si="7"/>
        <v>Еще фото</v>
      </c>
      <c r="F126" s="14" t="s">
        <v>182</v>
      </c>
      <c r="G126" s="24" t="s">
        <v>26</v>
      </c>
      <c r="H126" s="24" t="s">
        <v>27</v>
      </c>
      <c r="I126" s="24" t="s">
        <v>26</v>
      </c>
      <c r="J126" s="15" t="s">
        <v>37</v>
      </c>
      <c r="K126" s="16" t="s">
        <v>57</v>
      </c>
      <c r="L126" s="62"/>
      <c r="M126" s="15"/>
      <c r="N126" s="15" t="s">
        <v>130</v>
      </c>
      <c r="O126" s="15"/>
      <c r="P126" s="16" t="s">
        <v>219</v>
      </c>
      <c r="Q126" s="17">
        <v>18899</v>
      </c>
      <c r="R126" s="18">
        <v>45</v>
      </c>
      <c r="S126" s="19">
        <v>11953.6175</v>
      </c>
      <c r="T126" s="20" t="s">
        <v>75</v>
      </c>
      <c r="U126" s="21" t="s">
        <v>167</v>
      </c>
      <c r="V126" s="22">
        <v>52</v>
      </c>
      <c r="W126" s="22">
        <v>11</v>
      </c>
      <c r="X126" s="23"/>
    </row>
    <row r="127" spans="1:24" s="1" customFormat="1" ht="52.05" customHeight="1" x14ac:dyDescent="0.3">
      <c r="A127" s="11" t="s">
        <v>23</v>
      </c>
      <c r="B127" s="11" t="s">
        <v>220</v>
      </c>
      <c r="C127" s="12" t="s">
        <v>221</v>
      </c>
      <c r="D127" s="63"/>
      <c r="E127" s="43" t="str">
        <f>HYPERLINK("https://www.google.ru/search?q=A5753-0054&amp;newwindow=1&amp;tbm=isch","Еще фото")</f>
        <v>Еще фото</v>
      </c>
      <c r="F127" s="14"/>
      <c r="G127" s="11" t="s">
        <v>26</v>
      </c>
      <c r="H127" s="11" t="s">
        <v>27</v>
      </c>
      <c r="I127" s="15" t="s">
        <v>26</v>
      </c>
      <c r="J127" s="15" t="s">
        <v>37</v>
      </c>
      <c r="K127" s="16" t="s">
        <v>57</v>
      </c>
      <c r="L127" s="60" t="s">
        <v>103</v>
      </c>
      <c r="M127" s="15"/>
      <c r="N127" s="15" t="s">
        <v>39</v>
      </c>
      <c r="O127" s="15"/>
      <c r="P127" s="16" t="s">
        <v>32</v>
      </c>
      <c r="Q127" s="17">
        <v>11399</v>
      </c>
      <c r="R127" s="18">
        <v>45</v>
      </c>
      <c r="S127" s="19">
        <v>7209.8674999999994</v>
      </c>
      <c r="T127" s="20" t="s">
        <v>75</v>
      </c>
      <c r="U127" s="21" t="s">
        <v>53</v>
      </c>
      <c r="V127" s="25" t="s">
        <v>65</v>
      </c>
      <c r="W127" s="22">
        <v>1</v>
      </c>
      <c r="X127" s="23"/>
    </row>
    <row r="128" spans="1:24" s="1" customFormat="1" ht="61.05" customHeight="1" x14ac:dyDescent="0.3">
      <c r="A128" s="24" t="s">
        <v>23</v>
      </c>
      <c r="B128" s="24" t="s">
        <v>220</v>
      </c>
      <c r="C128" s="12" t="s">
        <v>221</v>
      </c>
      <c r="D128" s="64"/>
      <c r="E128" s="43" t="str">
        <f>HYPERLINK("https://www.google.ru/search?q=A5753-0054&amp;newwindow=1&amp;tbm=isch","Еще фото")</f>
        <v>Еще фото</v>
      </c>
      <c r="F128" s="14"/>
      <c r="G128" s="24" t="s">
        <v>26</v>
      </c>
      <c r="H128" s="24" t="s">
        <v>27</v>
      </c>
      <c r="I128" s="24" t="s">
        <v>26</v>
      </c>
      <c r="J128" s="15" t="s">
        <v>37</v>
      </c>
      <c r="K128" s="16" t="s">
        <v>57</v>
      </c>
      <c r="L128" s="62"/>
      <c r="M128" s="15"/>
      <c r="N128" s="15" t="s">
        <v>39</v>
      </c>
      <c r="O128" s="15"/>
      <c r="P128" s="16" t="s">
        <v>32</v>
      </c>
      <c r="Q128" s="17">
        <v>11399</v>
      </c>
      <c r="R128" s="18">
        <v>45</v>
      </c>
      <c r="S128" s="19">
        <v>7209.8674999999994</v>
      </c>
      <c r="T128" s="20" t="s">
        <v>75</v>
      </c>
      <c r="U128" s="21" t="s">
        <v>167</v>
      </c>
      <c r="V128" s="22">
        <v>52</v>
      </c>
      <c r="W128" s="22">
        <v>1</v>
      </c>
      <c r="X128" s="23"/>
    </row>
    <row r="129" spans="1:24" s="1" customFormat="1" ht="108" customHeight="1" x14ac:dyDescent="0.3">
      <c r="A129" s="11" t="s">
        <v>23</v>
      </c>
      <c r="B129" s="11" t="s">
        <v>222</v>
      </c>
      <c r="C129" s="12" t="s">
        <v>223</v>
      </c>
      <c r="D129" s="13"/>
      <c r="E129" s="43" t="str">
        <f>HYPERLINK("https://www.google.ru/search?q=A5753-0055&amp;newwindow=1&amp;tbm=isch","Еще фото")</f>
        <v>Еще фото</v>
      </c>
      <c r="F129" s="14"/>
      <c r="G129" s="11" t="s">
        <v>26</v>
      </c>
      <c r="H129" s="11" t="s">
        <v>27</v>
      </c>
      <c r="I129" s="15" t="s">
        <v>26</v>
      </c>
      <c r="J129" s="15" t="s">
        <v>37</v>
      </c>
      <c r="K129" s="16" t="s">
        <v>57</v>
      </c>
      <c r="L129" s="15" t="s">
        <v>103</v>
      </c>
      <c r="M129" s="15"/>
      <c r="N129" s="15" t="s">
        <v>83</v>
      </c>
      <c r="O129" s="15"/>
      <c r="P129" s="16" t="s">
        <v>32</v>
      </c>
      <c r="Q129" s="17">
        <v>10299</v>
      </c>
      <c r="R129" s="18">
        <v>45</v>
      </c>
      <c r="S129" s="19">
        <v>6514.1174999999994</v>
      </c>
      <c r="T129" s="20" t="s">
        <v>75</v>
      </c>
      <c r="U129" s="21" t="s">
        <v>165</v>
      </c>
      <c r="V129" s="25" t="s">
        <v>96</v>
      </c>
      <c r="W129" s="22">
        <v>1</v>
      </c>
      <c r="X129" s="23"/>
    </row>
    <row r="130" spans="1:24" s="1" customFormat="1" ht="108" customHeight="1" x14ac:dyDescent="0.3">
      <c r="A130" s="11" t="s">
        <v>23</v>
      </c>
      <c r="B130" s="11" t="s">
        <v>101</v>
      </c>
      <c r="C130" s="12" t="s">
        <v>224</v>
      </c>
      <c r="D130" s="13"/>
      <c r="E130" s="43" t="str">
        <f>HYPERLINK("https://www.google.ru/search?q=A5753-0064&amp;newwindow=1&amp;tbm=isch","Еще фото")</f>
        <v>Еще фото</v>
      </c>
      <c r="F130" s="14"/>
      <c r="G130" s="11" t="s">
        <v>26</v>
      </c>
      <c r="H130" s="11" t="s">
        <v>27</v>
      </c>
      <c r="I130" s="15" t="s">
        <v>26</v>
      </c>
      <c r="J130" s="15" t="s">
        <v>37</v>
      </c>
      <c r="K130" s="16" t="s">
        <v>57</v>
      </c>
      <c r="L130" s="15" t="s">
        <v>103</v>
      </c>
      <c r="M130" s="15"/>
      <c r="N130" s="15" t="s">
        <v>156</v>
      </c>
      <c r="O130" s="15"/>
      <c r="P130" s="16" t="s">
        <v>32</v>
      </c>
      <c r="Q130" s="17">
        <v>9499</v>
      </c>
      <c r="R130" s="18">
        <v>45</v>
      </c>
      <c r="S130" s="19">
        <v>6008.1174999999994</v>
      </c>
      <c r="T130" s="20" t="s">
        <v>75</v>
      </c>
      <c r="U130" s="21" t="s">
        <v>109</v>
      </c>
      <c r="V130" s="25" t="s">
        <v>65</v>
      </c>
      <c r="W130" s="22">
        <v>1</v>
      </c>
      <c r="X130" s="23"/>
    </row>
    <row r="131" spans="1:24" s="1" customFormat="1" ht="108" customHeight="1" x14ac:dyDescent="0.3">
      <c r="A131" s="11" t="s">
        <v>23</v>
      </c>
      <c r="B131" s="11" t="s">
        <v>225</v>
      </c>
      <c r="C131" s="12" t="s">
        <v>226</v>
      </c>
      <c r="D131" s="13"/>
      <c r="E131" s="43" t="str">
        <f>HYPERLINK("https://www.google.ru/search?q=A5753-0092&amp;newwindow=1&amp;tbm=isch","Еще фото")</f>
        <v>Еще фото</v>
      </c>
      <c r="F131" s="14"/>
      <c r="G131" s="11" t="s">
        <v>26</v>
      </c>
      <c r="H131" s="11" t="s">
        <v>27</v>
      </c>
      <c r="I131" s="15" t="s">
        <v>26</v>
      </c>
      <c r="J131" s="15" t="s">
        <v>37</v>
      </c>
      <c r="K131" s="16" t="s">
        <v>57</v>
      </c>
      <c r="L131" s="15"/>
      <c r="M131" s="15"/>
      <c r="N131" s="15" t="s">
        <v>130</v>
      </c>
      <c r="O131" s="15"/>
      <c r="P131" s="16" t="s">
        <v>32</v>
      </c>
      <c r="Q131" s="17">
        <v>8399</v>
      </c>
      <c r="R131" s="18">
        <v>45</v>
      </c>
      <c r="S131" s="19">
        <v>5312.3674999999994</v>
      </c>
      <c r="T131" s="20" t="s">
        <v>75</v>
      </c>
      <c r="U131" s="21" t="s">
        <v>165</v>
      </c>
      <c r="V131" s="25" t="s">
        <v>96</v>
      </c>
      <c r="W131" s="22">
        <v>1</v>
      </c>
      <c r="X131" s="23"/>
    </row>
    <row r="132" spans="1:24" s="1" customFormat="1" ht="11" customHeight="1" x14ac:dyDescent="0.3">
      <c r="A132" s="11" t="s">
        <v>23</v>
      </c>
      <c r="B132" s="11" t="s">
        <v>227</v>
      </c>
      <c r="C132" s="12" t="s">
        <v>228</v>
      </c>
      <c r="D132" s="57"/>
      <c r="E132" s="43" t="str">
        <f t="shared" ref="E132:E140" si="8">HYPERLINK("https://www.google.ru/search?q=A7365-0000&amp;newwindow=1&amp;tbm=isch","Еще фото")</f>
        <v>Еще фото</v>
      </c>
      <c r="F132" s="14"/>
      <c r="G132" s="11" t="s">
        <v>26</v>
      </c>
      <c r="H132" s="11" t="s">
        <v>27</v>
      </c>
      <c r="I132" s="15" t="s">
        <v>26</v>
      </c>
      <c r="J132" s="15" t="s">
        <v>28</v>
      </c>
      <c r="K132" s="16" t="s">
        <v>57</v>
      </c>
      <c r="L132" s="60" t="s">
        <v>229</v>
      </c>
      <c r="M132" s="15"/>
      <c r="N132" s="15" t="s">
        <v>87</v>
      </c>
      <c r="O132" s="15"/>
      <c r="P132" s="16" t="s">
        <v>88</v>
      </c>
      <c r="Q132" s="17">
        <v>13399</v>
      </c>
      <c r="R132" s="18">
        <v>45</v>
      </c>
      <c r="S132" s="19">
        <v>8474.8674999999985</v>
      </c>
      <c r="T132" s="20" t="s">
        <v>75</v>
      </c>
      <c r="U132" s="21" t="s">
        <v>51</v>
      </c>
      <c r="V132" s="25" t="s">
        <v>63</v>
      </c>
      <c r="W132" s="22">
        <v>2</v>
      </c>
      <c r="X132" s="23"/>
    </row>
    <row r="133" spans="1:24" s="1" customFormat="1" ht="11" customHeight="1" x14ac:dyDescent="0.3">
      <c r="A133" s="24" t="s">
        <v>23</v>
      </c>
      <c r="B133" s="24" t="s">
        <v>227</v>
      </c>
      <c r="C133" s="12" t="s">
        <v>228</v>
      </c>
      <c r="D133" s="58"/>
      <c r="E133" s="43" t="str">
        <f t="shared" si="8"/>
        <v>Еще фото</v>
      </c>
      <c r="F133" s="14"/>
      <c r="G133" s="24" t="s">
        <v>26</v>
      </c>
      <c r="H133" s="24" t="s">
        <v>27</v>
      </c>
      <c r="I133" s="24" t="s">
        <v>26</v>
      </c>
      <c r="J133" s="15" t="s">
        <v>28</v>
      </c>
      <c r="K133" s="16" t="s">
        <v>57</v>
      </c>
      <c r="L133" s="61"/>
      <c r="M133" s="15"/>
      <c r="N133" s="15" t="s">
        <v>87</v>
      </c>
      <c r="O133" s="15"/>
      <c r="P133" s="16" t="s">
        <v>88</v>
      </c>
      <c r="Q133" s="17">
        <v>13399</v>
      </c>
      <c r="R133" s="18">
        <v>45</v>
      </c>
      <c r="S133" s="19">
        <v>8474.8674999999985</v>
      </c>
      <c r="T133" s="20" t="s">
        <v>75</v>
      </c>
      <c r="U133" s="21" t="s">
        <v>230</v>
      </c>
      <c r="V133" s="25" t="s">
        <v>63</v>
      </c>
      <c r="W133" s="22">
        <v>1</v>
      </c>
      <c r="X133" s="23"/>
    </row>
    <row r="134" spans="1:24" s="1" customFormat="1" ht="11" customHeight="1" x14ac:dyDescent="0.3">
      <c r="A134" s="24" t="s">
        <v>23</v>
      </c>
      <c r="B134" s="24" t="s">
        <v>227</v>
      </c>
      <c r="C134" s="12" t="s">
        <v>228</v>
      </c>
      <c r="D134" s="58"/>
      <c r="E134" s="43" t="str">
        <f t="shared" si="8"/>
        <v>Еще фото</v>
      </c>
      <c r="F134" s="14"/>
      <c r="G134" s="24" t="s">
        <v>26</v>
      </c>
      <c r="H134" s="24" t="s">
        <v>27</v>
      </c>
      <c r="I134" s="24" t="s">
        <v>26</v>
      </c>
      <c r="J134" s="15" t="s">
        <v>28</v>
      </c>
      <c r="K134" s="16" t="s">
        <v>57</v>
      </c>
      <c r="L134" s="61"/>
      <c r="M134" s="15"/>
      <c r="N134" s="15" t="s">
        <v>87</v>
      </c>
      <c r="O134" s="15"/>
      <c r="P134" s="16" t="s">
        <v>88</v>
      </c>
      <c r="Q134" s="17">
        <v>13399</v>
      </c>
      <c r="R134" s="18">
        <v>45</v>
      </c>
      <c r="S134" s="19">
        <v>8474.8674999999985</v>
      </c>
      <c r="T134" s="20" t="s">
        <v>75</v>
      </c>
      <c r="U134" s="21" t="s">
        <v>173</v>
      </c>
      <c r="V134" s="25" t="s">
        <v>63</v>
      </c>
      <c r="W134" s="22">
        <v>3</v>
      </c>
      <c r="X134" s="23"/>
    </row>
    <row r="135" spans="1:24" s="1" customFormat="1" ht="11" customHeight="1" x14ac:dyDescent="0.3">
      <c r="A135" s="24" t="s">
        <v>23</v>
      </c>
      <c r="B135" s="24" t="s">
        <v>227</v>
      </c>
      <c r="C135" s="12" t="s">
        <v>228</v>
      </c>
      <c r="D135" s="58"/>
      <c r="E135" s="43" t="str">
        <f t="shared" si="8"/>
        <v>Еще фото</v>
      </c>
      <c r="F135" s="14"/>
      <c r="G135" s="24" t="s">
        <v>26</v>
      </c>
      <c r="H135" s="24" t="s">
        <v>27</v>
      </c>
      <c r="I135" s="24" t="s">
        <v>26</v>
      </c>
      <c r="J135" s="15" t="s">
        <v>28</v>
      </c>
      <c r="K135" s="16" t="s">
        <v>57</v>
      </c>
      <c r="L135" s="61"/>
      <c r="M135" s="15"/>
      <c r="N135" s="15" t="s">
        <v>87</v>
      </c>
      <c r="O135" s="15"/>
      <c r="P135" s="16" t="s">
        <v>88</v>
      </c>
      <c r="Q135" s="17">
        <v>13399</v>
      </c>
      <c r="R135" s="18">
        <v>45</v>
      </c>
      <c r="S135" s="19">
        <v>8474.8674999999985</v>
      </c>
      <c r="T135" s="20" t="s">
        <v>75</v>
      </c>
      <c r="U135" s="21" t="s">
        <v>53</v>
      </c>
      <c r="V135" s="25" t="s">
        <v>65</v>
      </c>
      <c r="W135" s="22">
        <v>1</v>
      </c>
      <c r="X135" s="23"/>
    </row>
    <row r="136" spans="1:24" s="1" customFormat="1" ht="11" customHeight="1" x14ac:dyDescent="0.3">
      <c r="A136" s="24" t="s">
        <v>23</v>
      </c>
      <c r="B136" s="24" t="s">
        <v>227</v>
      </c>
      <c r="C136" s="12" t="s">
        <v>228</v>
      </c>
      <c r="D136" s="58"/>
      <c r="E136" s="43" t="str">
        <f t="shared" si="8"/>
        <v>Еще фото</v>
      </c>
      <c r="F136" s="14"/>
      <c r="G136" s="24" t="s">
        <v>26</v>
      </c>
      <c r="H136" s="24" t="s">
        <v>27</v>
      </c>
      <c r="I136" s="24" t="s">
        <v>26</v>
      </c>
      <c r="J136" s="15" t="s">
        <v>28</v>
      </c>
      <c r="K136" s="16" t="s">
        <v>57</v>
      </c>
      <c r="L136" s="61"/>
      <c r="M136" s="15"/>
      <c r="N136" s="15" t="s">
        <v>87</v>
      </c>
      <c r="O136" s="15"/>
      <c r="P136" s="16" t="s">
        <v>88</v>
      </c>
      <c r="Q136" s="17">
        <v>13399</v>
      </c>
      <c r="R136" s="18">
        <v>45</v>
      </c>
      <c r="S136" s="19">
        <v>8474.8674999999985</v>
      </c>
      <c r="T136" s="20" t="s">
        <v>75</v>
      </c>
      <c r="U136" s="21" t="s">
        <v>143</v>
      </c>
      <c r="V136" s="25" t="s">
        <v>65</v>
      </c>
      <c r="W136" s="22">
        <v>2</v>
      </c>
      <c r="X136" s="23"/>
    </row>
    <row r="137" spans="1:24" s="1" customFormat="1" ht="11" customHeight="1" x14ac:dyDescent="0.3">
      <c r="A137" s="24" t="s">
        <v>23</v>
      </c>
      <c r="B137" s="24" t="s">
        <v>227</v>
      </c>
      <c r="C137" s="12" t="s">
        <v>228</v>
      </c>
      <c r="D137" s="58"/>
      <c r="E137" s="43" t="str">
        <f t="shared" si="8"/>
        <v>Еще фото</v>
      </c>
      <c r="F137" s="14"/>
      <c r="G137" s="24" t="s">
        <v>26</v>
      </c>
      <c r="H137" s="24" t="s">
        <v>27</v>
      </c>
      <c r="I137" s="24" t="s">
        <v>26</v>
      </c>
      <c r="J137" s="15" t="s">
        <v>28</v>
      </c>
      <c r="K137" s="16" t="s">
        <v>57</v>
      </c>
      <c r="L137" s="61"/>
      <c r="M137" s="15"/>
      <c r="N137" s="15" t="s">
        <v>87</v>
      </c>
      <c r="O137" s="15"/>
      <c r="P137" s="16" t="s">
        <v>88</v>
      </c>
      <c r="Q137" s="17">
        <v>13399</v>
      </c>
      <c r="R137" s="18">
        <v>45</v>
      </c>
      <c r="S137" s="19">
        <v>8474.8674999999985</v>
      </c>
      <c r="T137" s="20" t="s">
        <v>75</v>
      </c>
      <c r="U137" s="21" t="s">
        <v>188</v>
      </c>
      <c r="V137" s="25" t="s">
        <v>65</v>
      </c>
      <c r="W137" s="22">
        <v>2</v>
      </c>
      <c r="X137" s="23"/>
    </row>
    <row r="138" spans="1:24" s="1" customFormat="1" ht="11" customHeight="1" x14ac:dyDescent="0.3">
      <c r="A138" s="24" t="s">
        <v>23</v>
      </c>
      <c r="B138" s="24" t="s">
        <v>227</v>
      </c>
      <c r="C138" s="12" t="s">
        <v>228</v>
      </c>
      <c r="D138" s="58"/>
      <c r="E138" s="43" t="str">
        <f t="shared" si="8"/>
        <v>Еще фото</v>
      </c>
      <c r="F138" s="14"/>
      <c r="G138" s="24" t="s">
        <v>26</v>
      </c>
      <c r="H138" s="24" t="s">
        <v>27</v>
      </c>
      <c r="I138" s="24" t="s">
        <v>26</v>
      </c>
      <c r="J138" s="15" t="s">
        <v>28</v>
      </c>
      <c r="K138" s="16" t="s">
        <v>57</v>
      </c>
      <c r="L138" s="61"/>
      <c r="M138" s="15"/>
      <c r="N138" s="15" t="s">
        <v>87</v>
      </c>
      <c r="O138" s="15"/>
      <c r="P138" s="16" t="s">
        <v>88</v>
      </c>
      <c r="Q138" s="17">
        <v>13399</v>
      </c>
      <c r="R138" s="18">
        <v>45</v>
      </c>
      <c r="S138" s="19">
        <v>8474.8674999999985</v>
      </c>
      <c r="T138" s="20" t="s">
        <v>75</v>
      </c>
      <c r="U138" s="21" t="s">
        <v>165</v>
      </c>
      <c r="V138" s="25" t="s">
        <v>96</v>
      </c>
      <c r="W138" s="22">
        <v>2</v>
      </c>
      <c r="X138" s="23"/>
    </row>
    <row r="139" spans="1:24" s="1" customFormat="1" ht="11" customHeight="1" x14ac:dyDescent="0.3">
      <c r="A139" s="24" t="s">
        <v>23</v>
      </c>
      <c r="B139" s="24" t="s">
        <v>227</v>
      </c>
      <c r="C139" s="12" t="s">
        <v>228</v>
      </c>
      <c r="D139" s="58"/>
      <c r="E139" s="43" t="str">
        <f t="shared" si="8"/>
        <v>Еще фото</v>
      </c>
      <c r="F139" s="14"/>
      <c r="G139" s="24" t="s">
        <v>26</v>
      </c>
      <c r="H139" s="24" t="s">
        <v>27</v>
      </c>
      <c r="I139" s="24" t="s">
        <v>26</v>
      </c>
      <c r="J139" s="15" t="s">
        <v>28</v>
      </c>
      <c r="K139" s="16" t="s">
        <v>57</v>
      </c>
      <c r="L139" s="61"/>
      <c r="M139" s="15"/>
      <c r="N139" s="15" t="s">
        <v>87</v>
      </c>
      <c r="O139" s="15"/>
      <c r="P139" s="16" t="s">
        <v>88</v>
      </c>
      <c r="Q139" s="17">
        <v>13399</v>
      </c>
      <c r="R139" s="18">
        <v>45</v>
      </c>
      <c r="S139" s="19">
        <v>8474.8674999999985</v>
      </c>
      <c r="T139" s="20" t="s">
        <v>75</v>
      </c>
      <c r="U139" s="21" t="s">
        <v>104</v>
      </c>
      <c r="V139" s="25" t="s">
        <v>96</v>
      </c>
      <c r="W139" s="22">
        <v>2</v>
      </c>
      <c r="X139" s="23"/>
    </row>
    <row r="140" spans="1:24" s="1" customFormat="1" ht="11" customHeight="1" x14ac:dyDescent="0.3">
      <c r="A140" s="24" t="s">
        <v>23</v>
      </c>
      <c r="B140" s="24" t="s">
        <v>227</v>
      </c>
      <c r="C140" s="12" t="s">
        <v>228</v>
      </c>
      <c r="D140" s="59"/>
      <c r="E140" s="43" t="str">
        <f t="shared" si="8"/>
        <v>Еще фото</v>
      </c>
      <c r="F140" s="14"/>
      <c r="G140" s="24" t="s">
        <v>26</v>
      </c>
      <c r="H140" s="24" t="s">
        <v>27</v>
      </c>
      <c r="I140" s="24" t="s">
        <v>26</v>
      </c>
      <c r="J140" s="15" t="s">
        <v>28</v>
      </c>
      <c r="K140" s="16" t="s">
        <v>57</v>
      </c>
      <c r="L140" s="62"/>
      <c r="M140" s="15"/>
      <c r="N140" s="15" t="s">
        <v>87</v>
      </c>
      <c r="O140" s="15"/>
      <c r="P140" s="16" t="s">
        <v>88</v>
      </c>
      <c r="Q140" s="17">
        <v>13399</v>
      </c>
      <c r="R140" s="18">
        <v>45</v>
      </c>
      <c r="S140" s="19">
        <v>8474.8674999999985</v>
      </c>
      <c r="T140" s="20" t="s">
        <v>75</v>
      </c>
      <c r="U140" s="21" t="s">
        <v>89</v>
      </c>
      <c r="V140" s="25" t="s">
        <v>90</v>
      </c>
      <c r="W140" s="22">
        <v>1</v>
      </c>
      <c r="X140" s="23"/>
    </row>
    <row r="141" spans="1:24" s="1" customFormat="1" ht="108" customHeight="1" x14ac:dyDescent="0.3">
      <c r="A141" s="11" t="s">
        <v>23</v>
      </c>
      <c r="B141" s="11" t="s">
        <v>231</v>
      </c>
      <c r="C141" s="12" t="s">
        <v>232</v>
      </c>
      <c r="D141" s="13"/>
      <c r="E141" s="43" t="str">
        <f>HYPERLINK("https://www.google.ru/search?q=A8700-0000&amp;newwindow=1&amp;tbm=isch","Еще фото")</f>
        <v>Еще фото</v>
      </c>
      <c r="F141" s="14"/>
      <c r="G141" s="11" t="s">
        <v>26</v>
      </c>
      <c r="H141" s="11" t="s">
        <v>27</v>
      </c>
      <c r="I141" s="15" t="s">
        <v>26</v>
      </c>
      <c r="J141" s="15" t="s">
        <v>37</v>
      </c>
      <c r="K141" s="16" t="s">
        <v>29</v>
      </c>
      <c r="L141" s="15" t="s">
        <v>233</v>
      </c>
      <c r="M141" s="15"/>
      <c r="N141" s="15" t="s">
        <v>99</v>
      </c>
      <c r="O141" s="15"/>
      <c r="P141" s="16" t="s">
        <v>32</v>
      </c>
      <c r="Q141" s="17">
        <v>18799</v>
      </c>
      <c r="R141" s="18">
        <v>45</v>
      </c>
      <c r="S141" s="19">
        <v>11890.3675</v>
      </c>
      <c r="T141" s="20" t="s">
        <v>75</v>
      </c>
      <c r="U141" s="21" t="s">
        <v>234</v>
      </c>
      <c r="V141" s="25" t="s">
        <v>48</v>
      </c>
      <c r="W141" s="22">
        <v>1</v>
      </c>
      <c r="X141" s="23"/>
    </row>
    <row r="142" spans="1:24" s="1" customFormat="1" ht="35" customHeight="1" x14ac:dyDescent="0.3">
      <c r="A142" s="11" t="s">
        <v>23</v>
      </c>
      <c r="B142" s="11" t="s">
        <v>235</v>
      </c>
      <c r="C142" s="12" t="s">
        <v>236</v>
      </c>
      <c r="D142" s="57"/>
      <c r="E142" s="43" t="str">
        <f>HYPERLINK("https://www.google.ru/search?q=17778-0022&amp;newwindow=1&amp;tbm=isch","Еще фото")</f>
        <v>Еще фото</v>
      </c>
      <c r="F142" s="14"/>
      <c r="G142" s="11" t="s">
        <v>237</v>
      </c>
      <c r="H142" s="11" t="s">
        <v>27</v>
      </c>
      <c r="I142" s="15" t="s">
        <v>237</v>
      </c>
      <c r="J142" s="15" t="s">
        <v>37</v>
      </c>
      <c r="K142" s="16" t="s">
        <v>29</v>
      </c>
      <c r="L142" s="60" t="s">
        <v>238</v>
      </c>
      <c r="M142" s="15"/>
      <c r="N142" s="15" t="s">
        <v>130</v>
      </c>
      <c r="O142" s="15"/>
      <c r="P142" s="16" t="s">
        <v>209</v>
      </c>
      <c r="Q142" s="17">
        <v>13699</v>
      </c>
      <c r="R142" s="18">
        <v>94.61</v>
      </c>
      <c r="S142" s="32">
        <v>848.43549999999993</v>
      </c>
      <c r="T142" s="20" t="s">
        <v>75</v>
      </c>
      <c r="U142" s="21" t="s">
        <v>42</v>
      </c>
      <c r="V142" s="22">
        <v>40</v>
      </c>
      <c r="W142" s="22">
        <v>12</v>
      </c>
      <c r="X142" s="23"/>
    </row>
    <row r="143" spans="1:24" s="1" customFormat="1" ht="35" customHeight="1" x14ac:dyDescent="0.3">
      <c r="A143" s="24" t="s">
        <v>23</v>
      </c>
      <c r="B143" s="24" t="s">
        <v>235</v>
      </c>
      <c r="C143" s="12" t="s">
        <v>236</v>
      </c>
      <c r="D143" s="58"/>
      <c r="E143" s="43" t="str">
        <f>HYPERLINK("https://www.google.ru/search?q=17778-0022&amp;newwindow=1&amp;tbm=isch","Еще фото")</f>
        <v>Еще фото</v>
      </c>
      <c r="F143" s="14"/>
      <c r="G143" s="24" t="s">
        <v>237</v>
      </c>
      <c r="H143" s="24" t="s">
        <v>27</v>
      </c>
      <c r="I143" s="24" t="s">
        <v>237</v>
      </c>
      <c r="J143" s="15" t="s">
        <v>37</v>
      </c>
      <c r="K143" s="16" t="s">
        <v>29</v>
      </c>
      <c r="L143" s="61"/>
      <c r="M143" s="15"/>
      <c r="N143" s="15" t="s">
        <v>130</v>
      </c>
      <c r="O143" s="15"/>
      <c r="P143" s="16" t="s">
        <v>209</v>
      </c>
      <c r="Q143" s="17">
        <v>13699</v>
      </c>
      <c r="R143" s="18">
        <v>94.61</v>
      </c>
      <c r="S143" s="32">
        <v>848.43549999999993</v>
      </c>
      <c r="T143" s="20" t="s">
        <v>75</v>
      </c>
      <c r="U143" s="21" t="s">
        <v>43</v>
      </c>
      <c r="V143" s="25" t="s">
        <v>44</v>
      </c>
      <c r="W143" s="22">
        <v>226</v>
      </c>
      <c r="X143" s="23"/>
    </row>
    <row r="144" spans="1:24" s="1" customFormat="1" ht="37.049999999999997" customHeight="1" x14ac:dyDescent="0.3">
      <c r="A144" s="24" t="s">
        <v>23</v>
      </c>
      <c r="B144" s="24" t="s">
        <v>235</v>
      </c>
      <c r="C144" s="12" t="s">
        <v>236</v>
      </c>
      <c r="D144" s="59"/>
      <c r="E144" s="43" t="str">
        <f>HYPERLINK("https://www.google.ru/search?q=17778-0022&amp;newwindow=1&amp;tbm=isch","Еще фото")</f>
        <v>Еще фото</v>
      </c>
      <c r="F144" s="14"/>
      <c r="G144" s="24" t="s">
        <v>237</v>
      </c>
      <c r="H144" s="24" t="s">
        <v>27</v>
      </c>
      <c r="I144" s="24" t="s">
        <v>237</v>
      </c>
      <c r="J144" s="15" t="s">
        <v>37</v>
      </c>
      <c r="K144" s="16" t="s">
        <v>29</v>
      </c>
      <c r="L144" s="62"/>
      <c r="M144" s="15"/>
      <c r="N144" s="15" t="s">
        <v>130</v>
      </c>
      <c r="O144" s="15"/>
      <c r="P144" s="16" t="s">
        <v>209</v>
      </c>
      <c r="Q144" s="17">
        <v>13699</v>
      </c>
      <c r="R144" s="18">
        <v>94.61</v>
      </c>
      <c r="S144" s="32">
        <v>848.43549999999993</v>
      </c>
      <c r="T144" s="20" t="s">
        <v>75</v>
      </c>
      <c r="U144" s="21" t="s">
        <v>46</v>
      </c>
      <c r="V144" s="22">
        <v>42</v>
      </c>
      <c r="W144" s="22">
        <v>50</v>
      </c>
      <c r="X144" s="23"/>
    </row>
    <row r="145" spans="1:24" s="1" customFormat="1" ht="26" customHeight="1" x14ac:dyDescent="0.3">
      <c r="A145" s="11" t="s">
        <v>23</v>
      </c>
      <c r="B145" s="11" t="s">
        <v>239</v>
      </c>
      <c r="C145" s="12" t="s">
        <v>240</v>
      </c>
      <c r="D145" s="57"/>
      <c r="E145" s="43" t="str">
        <f>HYPERLINK("https://www.google.ru/search?q=19558-0033&amp;newwindow=1&amp;tbm=isch","Еще фото")</f>
        <v>Еще фото</v>
      </c>
      <c r="F145" s="14"/>
      <c r="G145" s="11" t="s">
        <v>237</v>
      </c>
      <c r="H145" s="11" t="s">
        <v>27</v>
      </c>
      <c r="I145" s="15" t="s">
        <v>237</v>
      </c>
      <c r="J145" s="15" t="s">
        <v>37</v>
      </c>
      <c r="K145" s="16" t="s">
        <v>29</v>
      </c>
      <c r="L145" s="60" t="s">
        <v>241</v>
      </c>
      <c r="M145" s="15"/>
      <c r="N145" s="15" t="s">
        <v>130</v>
      </c>
      <c r="O145" s="15"/>
      <c r="P145" s="16" t="s">
        <v>242</v>
      </c>
      <c r="Q145" s="17">
        <v>13699</v>
      </c>
      <c r="R145" s="18">
        <v>94.25</v>
      </c>
      <c r="S145" s="32">
        <v>905.93549999999993</v>
      </c>
      <c r="T145" s="20" t="s">
        <v>41</v>
      </c>
      <c r="U145" s="21" t="s">
        <v>243</v>
      </c>
      <c r="V145" s="22">
        <v>40</v>
      </c>
      <c r="W145" s="22">
        <v>167</v>
      </c>
      <c r="X145" s="23"/>
    </row>
    <row r="146" spans="1:24" s="1" customFormat="1" ht="26" customHeight="1" x14ac:dyDescent="0.3">
      <c r="A146" s="24" t="s">
        <v>23</v>
      </c>
      <c r="B146" s="24" t="s">
        <v>239</v>
      </c>
      <c r="C146" s="12" t="s">
        <v>240</v>
      </c>
      <c r="D146" s="58"/>
      <c r="E146" s="43" t="str">
        <f>HYPERLINK("https://www.google.ru/search?q=19558-0033&amp;newwindow=1&amp;tbm=isch","Еще фото")</f>
        <v>Еще фото</v>
      </c>
      <c r="F146" s="14"/>
      <c r="G146" s="24" t="s">
        <v>237</v>
      </c>
      <c r="H146" s="24" t="s">
        <v>27</v>
      </c>
      <c r="I146" s="24" t="s">
        <v>237</v>
      </c>
      <c r="J146" s="15" t="s">
        <v>37</v>
      </c>
      <c r="K146" s="16" t="s">
        <v>29</v>
      </c>
      <c r="L146" s="61"/>
      <c r="M146" s="15"/>
      <c r="N146" s="15" t="s">
        <v>130</v>
      </c>
      <c r="O146" s="15"/>
      <c r="P146" s="16" t="s">
        <v>242</v>
      </c>
      <c r="Q146" s="17">
        <v>13699</v>
      </c>
      <c r="R146" s="18">
        <v>94.25</v>
      </c>
      <c r="S146" s="32">
        <v>905.93549999999993</v>
      </c>
      <c r="T146" s="20" t="s">
        <v>41</v>
      </c>
      <c r="U146" s="21" t="s">
        <v>244</v>
      </c>
      <c r="V146" s="25" t="s">
        <v>44</v>
      </c>
      <c r="W146" s="22">
        <v>621</v>
      </c>
      <c r="X146" s="23"/>
    </row>
    <row r="147" spans="1:24" s="1" customFormat="1" ht="26" customHeight="1" x14ac:dyDescent="0.3">
      <c r="A147" s="24" t="s">
        <v>23</v>
      </c>
      <c r="B147" s="24" t="s">
        <v>239</v>
      </c>
      <c r="C147" s="12" t="s">
        <v>240</v>
      </c>
      <c r="D147" s="58"/>
      <c r="E147" s="43" t="str">
        <f>HYPERLINK("https://www.google.ru/search?q=19558-0033&amp;newwindow=1&amp;tbm=isch","Еще фото")</f>
        <v>Еще фото</v>
      </c>
      <c r="F147" s="14"/>
      <c r="G147" s="24" t="s">
        <v>237</v>
      </c>
      <c r="H147" s="24" t="s">
        <v>27</v>
      </c>
      <c r="I147" s="24" t="s">
        <v>237</v>
      </c>
      <c r="J147" s="15" t="s">
        <v>37</v>
      </c>
      <c r="K147" s="16" t="s">
        <v>29</v>
      </c>
      <c r="L147" s="61"/>
      <c r="M147" s="15"/>
      <c r="N147" s="15" t="s">
        <v>130</v>
      </c>
      <c r="O147" s="15"/>
      <c r="P147" s="16" t="s">
        <v>242</v>
      </c>
      <c r="Q147" s="17">
        <v>13699</v>
      </c>
      <c r="R147" s="18">
        <v>94.25</v>
      </c>
      <c r="S147" s="32">
        <v>905.93549999999993</v>
      </c>
      <c r="T147" s="20" t="s">
        <v>41</v>
      </c>
      <c r="U147" s="21" t="s">
        <v>126</v>
      </c>
      <c r="V147" s="22">
        <v>42</v>
      </c>
      <c r="W147" s="22">
        <v>596</v>
      </c>
      <c r="X147" s="23"/>
    </row>
    <row r="148" spans="1:24" s="1" customFormat="1" ht="26" customHeight="1" x14ac:dyDescent="0.3">
      <c r="A148" s="24" t="s">
        <v>23</v>
      </c>
      <c r="B148" s="24" t="s">
        <v>239</v>
      </c>
      <c r="C148" s="12" t="s">
        <v>240</v>
      </c>
      <c r="D148" s="59"/>
      <c r="E148" s="43" t="str">
        <f>HYPERLINK("https://www.google.ru/search?q=19558-0033&amp;newwindow=1&amp;tbm=isch","Еще фото")</f>
        <v>Еще фото</v>
      </c>
      <c r="F148" s="14"/>
      <c r="G148" s="24" t="s">
        <v>237</v>
      </c>
      <c r="H148" s="24" t="s">
        <v>27</v>
      </c>
      <c r="I148" s="24" t="s">
        <v>237</v>
      </c>
      <c r="J148" s="15" t="s">
        <v>37</v>
      </c>
      <c r="K148" s="16" t="s">
        <v>29</v>
      </c>
      <c r="L148" s="62"/>
      <c r="M148" s="15"/>
      <c r="N148" s="15" t="s">
        <v>130</v>
      </c>
      <c r="O148" s="15"/>
      <c r="P148" s="16" t="s">
        <v>242</v>
      </c>
      <c r="Q148" s="17">
        <v>13699</v>
      </c>
      <c r="R148" s="18">
        <v>94.25</v>
      </c>
      <c r="S148" s="32">
        <v>905.93549999999993</v>
      </c>
      <c r="T148" s="20" t="s">
        <v>41</v>
      </c>
      <c r="U148" s="21" t="s">
        <v>245</v>
      </c>
      <c r="V148" s="25" t="s">
        <v>48</v>
      </c>
      <c r="W148" s="22">
        <v>1</v>
      </c>
      <c r="X148" s="23"/>
    </row>
    <row r="149" spans="1:24" s="1" customFormat="1" ht="108" customHeight="1" x14ac:dyDescent="0.3">
      <c r="A149" s="11" t="s">
        <v>23</v>
      </c>
      <c r="B149" s="11" t="s">
        <v>246</v>
      </c>
      <c r="C149" s="12" t="s">
        <v>247</v>
      </c>
      <c r="D149" s="13"/>
      <c r="E149" s="43" t="str">
        <f>HYPERLINK("https://www.google.ru/search?q=18882-0027&amp;newwindow=1&amp;tbm=isch","Еще фото")</f>
        <v>Еще фото</v>
      </c>
      <c r="F149" s="14"/>
      <c r="G149" s="11" t="s">
        <v>237</v>
      </c>
      <c r="H149" s="11" t="s">
        <v>27</v>
      </c>
      <c r="I149" s="15" t="s">
        <v>237</v>
      </c>
      <c r="J149" s="15" t="s">
        <v>28</v>
      </c>
      <c r="K149" s="16" t="s">
        <v>29</v>
      </c>
      <c r="L149" s="15" t="s">
        <v>248</v>
      </c>
      <c r="M149" s="15"/>
      <c r="N149" s="15" t="s">
        <v>249</v>
      </c>
      <c r="O149" s="15"/>
      <c r="P149" s="16" t="s">
        <v>250</v>
      </c>
      <c r="Q149" s="17">
        <v>13699</v>
      </c>
      <c r="R149" s="18">
        <v>91.69</v>
      </c>
      <c r="S149" s="19">
        <v>1308.4354999999998</v>
      </c>
      <c r="T149" s="20" t="s">
        <v>75</v>
      </c>
      <c r="U149" s="21" t="s">
        <v>42</v>
      </c>
      <c r="V149" s="22">
        <v>40</v>
      </c>
      <c r="W149" s="22">
        <v>47</v>
      </c>
      <c r="X149" s="23"/>
    </row>
    <row r="150" spans="1:24" s="1" customFormat="1" ht="52.05" customHeight="1" x14ac:dyDescent="0.3">
      <c r="A150" s="11" t="s">
        <v>23</v>
      </c>
      <c r="B150" s="11" t="s">
        <v>251</v>
      </c>
      <c r="C150" s="12" t="s">
        <v>252</v>
      </c>
      <c r="D150" s="63"/>
      <c r="E150" s="43" t="str">
        <f>HYPERLINK("https://www.google.ru/search?q=28342-0002&amp;newwindow=1&amp;tbm=isch","Еще фото")</f>
        <v>Еще фото</v>
      </c>
      <c r="F150" s="14"/>
      <c r="G150" s="11" t="s">
        <v>237</v>
      </c>
      <c r="H150" s="11" t="s">
        <v>27</v>
      </c>
      <c r="I150" s="15" t="s">
        <v>237</v>
      </c>
      <c r="J150" s="15" t="s">
        <v>37</v>
      </c>
      <c r="K150" s="16" t="s">
        <v>29</v>
      </c>
      <c r="L150" s="60" t="s">
        <v>253</v>
      </c>
      <c r="M150" s="15"/>
      <c r="N150" s="15" t="s">
        <v>249</v>
      </c>
      <c r="O150" s="15"/>
      <c r="P150" s="16" t="s">
        <v>254</v>
      </c>
      <c r="Q150" s="17">
        <v>13699</v>
      </c>
      <c r="R150" s="18">
        <v>91.62</v>
      </c>
      <c r="S150" s="19">
        <v>1319.9354999999998</v>
      </c>
      <c r="T150" s="20" t="s">
        <v>75</v>
      </c>
      <c r="U150" s="21" t="s">
        <v>255</v>
      </c>
      <c r="V150" s="22">
        <v>40</v>
      </c>
      <c r="W150" s="22">
        <v>141</v>
      </c>
      <c r="X150" s="23"/>
    </row>
    <row r="151" spans="1:24" s="1" customFormat="1" ht="61.05" customHeight="1" x14ac:dyDescent="0.3">
      <c r="A151" s="24" t="s">
        <v>23</v>
      </c>
      <c r="B151" s="24" t="s">
        <v>251</v>
      </c>
      <c r="C151" s="12" t="s">
        <v>252</v>
      </c>
      <c r="D151" s="64"/>
      <c r="E151" s="43" t="str">
        <f>HYPERLINK("https://www.google.ru/search?q=28342-0002&amp;newwindow=1&amp;tbm=isch","Еще фото")</f>
        <v>Еще фото</v>
      </c>
      <c r="F151" s="14"/>
      <c r="G151" s="24" t="s">
        <v>237</v>
      </c>
      <c r="H151" s="24" t="s">
        <v>27</v>
      </c>
      <c r="I151" s="24" t="s">
        <v>237</v>
      </c>
      <c r="J151" s="15" t="s">
        <v>37</v>
      </c>
      <c r="K151" s="16" t="s">
        <v>29</v>
      </c>
      <c r="L151" s="62"/>
      <c r="M151" s="15"/>
      <c r="N151" s="15" t="s">
        <v>249</v>
      </c>
      <c r="O151" s="15"/>
      <c r="P151" s="16" t="s">
        <v>254</v>
      </c>
      <c r="Q151" s="17">
        <v>13699</v>
      </c>
      <c r="R151" s="18">
        <v>91.62</v>
      </c>
      <c r="S151" s="19">
        <v>1319.9354999999998</v>
      </c>
      <c r="T151" s="20" t="s">
        <v>75</v>
      </c>
      <c r="U151" s="21" t="s">
        <v>45</v>
      </c>
      <c r="V151" s="25" t="s">
        <v>44</v>
      </c>
      <c r="W151" s="22">
        <v>79</v>
      </c>
      <c r="X151" s="23"/>
    </row>
    <row r="152" spans="1:24" s="1" customFormat="1" ht="52.05" customHeight="1" x14ac:dyDescent="0.3">
      <c r="A152" s="11" t="s">
        <v>23</v>
      </c>
      <c r="B152" s="11" t="s">
        <v>256</v>
      </c>
      <c r="C152" s="12" t="s">
        <v>257</v>
      </c>
      <c r="D152" s="63"/>
      <c r="E152" s="43" t="str">
        <f>HYPERLINK("https://www.google.ru/search?q=18881-0015&amp;newwindow=1&amp;tbm=isch","Еще фото")</f>
        <v>Еще фото</v>
      </c>
      <c r="F152" s="14"/>
      <c r="G152" s="11" t="s">
        <v>237</v>
      </c>
      <c r="H152" s="11" t="s">
        <v>27</v>
      </c>
      <c r="I152" s="15" t="s">
        <v>237</v>
      </c>
      <c r="J152" s="15" t="s">
        <v>37</v>
      </c>
      <c r="K152" s="16" t="s">
        <v>29</v>
      </c>
      <c r="L152" s="60" t="s">
        <v>258</v>
      </c>
      <c r="M152" s="15"/>
      <c r="N152" s="15" t="s">
        <v>130</v>
      </c>
      <c r="O152" s="15"/>
      <c r="P152" s="16" t="s">
        <v>242</v>
      </c>
      <c r="Q152" s="17">
        <v>13699</v>
      </c>
      <c r="R152" s="18">
        <v>91.55</v>
      </c>
      <c r="S152" s="19">
        <v>1331.4354999999998</v>
      </c>
      <c r="T152" s="20" t="s">
        <v>75</v>
      </c>
      <c r="U152" s="21" t="s">
        <v>42</v>
      </c>
      <c r="V152" s="22">
        <v>40</v>
      </c>
      <c r="W152" s="22">
        <v>90</v>
      </c>
      <c r="X152" s="23"/>
    </row>
    <row r="153" spans="1:24" s="1" customFormat="1" ht="61.05" customHeight="1" x14ac:dyDescent="0.3">
      <c r="A153" s="24" t="s">
        <v>23</v>
      </c>
      <c r="B153" s="24" t="s">
        <v>256</v>
      </c>
      <c r="C153" s="12" t="s">
        <v>257</v>
      </c>
      <c r="D153" s="64"/>
      <c r="E153" s="43" t="str">
        <f>HYPERLINK("https://www.google.ru/search?q=18881-0015&amp;newwindow=1&amp;tbm=isch","Еще фото")</f>
        <v>Еще фото</v>
      </c>
      <c r="F153" s="14"/>
      <c r="G153" s="24" t="s">
        <v>237</v>
      </c>
      <c r="H153" s="24" t="s">
        <v>27</v>
      </c>
      <c r="I153" s="24" t="s">
        <v>237</v>
      </c>
      <c r="J153" s="15" t="s">
        <v>37</v>
      </c>
      <c r="K153" s="16" t="s">
        <v>29</v>
      </c>
      <c r="L153" s="62"/>
      <c r="M153" s="15"/>
      <c r="N153" s="15" t="s">
        <v>130</v>
      </c>
      <c r="O153" s="15"/>
      <c r="P153" s="16" t="s">
        <v>242</v>
      </c>
      <c r="Q153" s="17">
        <v>13699</v>
      </c>
      <c r="R153" s="18">
        <v>91.55</v>
      </c>
      <c r="S153" s="19">
        <v>1331.4354999999998</v>
      </c>
      <c r="T153" s="20" t="s">
        <v>75</v>
      </c>
      <c r="U153" s="21" t="s">
        <v>43</v>
      </c>
      <c r="V153" s="25" t="s">
        <v>44</v>
      </c>
      <c r="W153" s="22">
        <v>215</v>
      </c>
      <c r="X153" s="23"/>
    </row>
    <row r="154" spans="1:24" s="1" customFormat="1" ht="52.05" customHeight="1" x14ac:dyDescent="0.3">
      <c r="A154" s="11" t="s">
        <v>23</v>
      </c>
      <c r="B154" s="11" t="s">
        <v>259</v>
      </c>
      <c r="C154" s="12" t="s">
        <v>260</v>
      </c>
      <c r="D154" s="63"/>
      <c r="E154" s="43" t="str">
        <f>HYPERLINK("https://www.google.ru/search?q=18884-0055&amp;newwindow=1&amp;tbm=isch","Еще фото")</f>
        <v>Еще фото</v>
      </c>
      <c r="F154" s="14"/>
      <c r="G154" s="11" t="s">
        <v>237</v>
      </c>
      <c r="H154" s="11" t="s">
        <v>27</v>
      </c>
      <c r="I154" s="15" t="s">
        <v>237</v>
      </c>
      <c r="J154" s="15" t="s">
        <v>37</v>
      </c>
      <c r="K154" s="16" t="s">
        <v>29</v>
      </c>
      <c r="L154" s="60" t="s">
        <v>261</v>
      </c>
      <c r="M154" s="15"/>
      <c r="N154" s="15" t="s">
        <v>130</v>
      </c>
      <c r="O154" s="15"/>
      <c r="P154" s="16" t="s">
        <v>262</v>
      </c>
      <c r="Q154" s="17">
        <v>13699</v>
      </c>
      <c r="R154" s="18">
        <v>91.55</v>
      </c>
      <c r="S154" s="19">
        <v>1331.4354999999998</v>
      </c>
      <c r="T154" s="20" t="s">
        <v>75</v>
      </c>
      <c r="U154" s="21" t="s">
        <v>42</v>
      </c>
      <c r="V154" s="22">
        <v>40</v>
      </c>
      <c r="W154" s="22">
        <v>126</v>
      </c>
      <c r="X154" s="23"/>
    </row>
    <row r="155" spans="1:24" s="1" customFormat="1" ht="61.05" customHeight="1" x14ac:dyDescent="0.3">
      <c r="A155" s="24" t="s">
        <v>23</v>
      </c>
      <c r="B155" s="24" t="s">
        <v>259</v>
      </c>
      <c r="C155" s="12" t="s">
        <v>260</v>
      </c>
      <c r="D155" s="64"/>
      <c r="E155" s="43" t="str">
        <f>HYPERLINK("https://www.google.ru/search?q=18884-0055&amp;newwindow=1&amp;tbm=isch","Еще фото")</f>
        <v>Еще фото</v>
      </c>
      <c r="F155" s="14"/>
      <c r="G155" s="24" t="s">
        <v>237</v>
      </c>
      <c r="H155" s="24" t="s">
        <v>27</v>
      </c>
      <c r="I155" s="24" t="s">
        <v>237</v>
      </c>
      <c r="J155" s="15" t="s">
        <v>37</v>
      </c>
      <c r="K155" s="16" t="s">
        <v>29</v>
      </c>
      <c r="L155" s="62"/>
      <c r="M155" s="15"/>
      <c r="N155" s="15" t="s">
        <v>130</v>
      </c>
      <c r="O155" s="15"/>
      <c r="P155" s="16" t="s">
        <v>262</v>
      </c>
      <c r="Q155" s="17">
        <v>13699</v>
      </c>
      <c r="R155" s="18">
        <v>91.55</v>
      </c>
      <c r="S155" s="19">
        <v>1331.4354999999998</v>
      </c>
      <c r="T155" s="20" t="s">
        <v>75</v>
      </c>
      <c r="U155" s="21" t="s">
        <v>43</v>
      </c>
      <c r="V155" s="25" t="s">
        <v>44</v>
      </c>
      <c r="W155" s="22">
        <v>189</v>
      </c>
      <c r="X155" s="23"/>
    </row>
    <row r="156" spans="1:24" s="1" customFormat="1" ht="52.05" customHeight="1" x14ac:dyDescent="0.3">
      <c r="A156" s="11" t="s">
        <v>23</v>
      </c>
      <c r="B156" s="11" t="s">
        <v>263</v>
      </c>
      <c r="C156" s="12" t="s">
        <v>264</v>
      </c>
      <c r="D156" s="63"/>
      <c r="E156" s="43" t="str">
        <f>HYPERLINK("https://www.google.ru/search?q=18884-0059&amp;newwindow=1&amp;tbm=isch","Еще фото")</f>
        <v>Еще фото</v>
      </c>
      <c r="F156" s="14"/>
      <c r="G156" s="11" t="s">
        <v>237</v>
      </c>
      <c r="H156" s="11" t="s">
        <v>27</v>
      </c>
      <c r="I156" s="15" t="s">
        <v>237</v>
      </c>
      <c r="J156" s="15" t="s">
        <v>37</v>
      </c>
      <c r="K156" s="16" t="s">
        <v>29</v>
      </c>
      <c r="L156" s="60" t="s">
        <v>261</v>
      </c>
      <c r="M156" s="15"/>
      <c r="N156" s="15" t="s">
        <v>130</v>
      </c>
      <c r="O156" s="15"/>
      <c r="P156" s="16" t="s">
        <v>262</v>
      </c>
      <c r="Q156" s="17">
        <v>13699</v>
      </c>
      <c r="R156" s="18">
        <v>91.48</v>
      </c>
      <c r="S156" s="19">
        <v>1342.9354999999998</v>
      </c>
      <c r="T156" s="20" t="s">
        <v>75</v>
      </c>
      <c r="U156" s="21" t="s">
        <v>42</v>
      </c>
      <c r="V156" s="22">
        <v>40</v>
      </c>
      <c r="W156" s="22">
        <v>24</v>
      </c>
      <c r="X156" s="23"/>
    </row>
    <row r="157" spans="1:24" s="1" customFormat="1" ht="61.05" customHeight="1" x14ac:dyDescent="0.3">
      <c r="A157" s="24" t="s">
        <v>23</v>
      </c>
      <c r="B157" s="24" t="s">
        <v>263</v>
      </c>
      <c r="C157" s="12" t="s">
        <v>264</v>
      </c>
      <c r="D157" s="64"/>
      <c r="E157" s="43" t="str">
        <f>HYPERLINK("https://www.google.ru/search?q=18884-0059&amp;newwindow=1&amp;tbm=isch","Еще фото")</f>
        <v>Еще фото</v>
      </c>
      <c r="F157" s="14"/>
      <c r="G157" s="24" t="s">
        <v>237</v>
      </c>
      <c r="H157" s="24" t="s">
        <v>27</v>
      </c>
      <c r="I157" s="24" t="s">
        <v>237</v>
      </c>
      <c r="J157" s="15" t="s">
        <v>37</v>
      </c>
      <c r="K157" s="16" t="s">
        <v>29</v>
      </c>
      <c r="L157" s="62"/>
      <c r="M157" s="15"/>
      <c r="N157" s="15" t="s">
        <v>130</v>
      </c>
      <c r="O157" s="15"/>
      <c r="P157" s="16" t="s">
        <v>262</v>
      </c>
      <c r="Q157" s="17">
        <v>13699</v>
      </c>
      <c r="R157" s="18">
        <v>91.48</v>
      </c>
      <c r="S157" s="19">
        <v>1342.9354999999998</v>
      </c>
      <c r="T157" s="20" t="s">
        <v>75</v>
      </c>
      <c r="U157" s="21" t="s">
        <v>43</v>
      </c>
      <c r="V157" s="25" t="s">
        <v>44</v>
      </c>
      <c r="W157" s="22">
        <v>9</v>
      </c>
      <c r="X157" s="23"/>
    </row>
    <row r="158" spans="1:24" s="1" customFormat="1" ht="108" customHeight="1" x14ac:dyDescent="0.3">
      <c r="A158" s="11" t="s">
        <v>23</v>
      </c>
      <c r="B158" s="11" t="s">
        <v>265</v>
      </c>
      <c r="C158" s="12" t="s">
        <v>266</v>
      </c>
      <c r="D158" s="13"/>
      <c r="E158" s="43" t="str">
        <f>HYPERLINK("https://www.google.ru/search?q=19560-0014&amp;newwindow=1&amp;tbm=isch","Еще фото")</f>
        <v>Еще фото</v>
      </c>
      <c r="F158" s="14"/>
      <c r="G158" s="11" t="s">
        <v>237</v>
      </c>
      <c r="H158" s="11" t="s">
        <v>27</v>
      </c>
      <c r="I158" s="15" t="s">
        <v>237</v>
      </c>
      <c r="J158" s="15" t="s">
        <v>37</v>
      </c>
      <c r="K158" s="16" t="s">
        <v>29</v>
      </c>
      <c r="L158" s="15" t="s">
        <v>241</v>
      </c>
      <c r="M158" s="15"/>
      <c r="N158" s="15" t="s">
        <v>249</v>
      </c>
      <c r="O158" s="15"/>
      <c r="P158" s="16" t="s">
        <v>242</v>
      </c>
      <c r="Q158" s="17">
        <v>13699</v>
      </c>
      <c r="R158" s="18">
        <v>91.48</v>
      </c>
      <c r="S158" s="19">
        <v>1342.9354999999998</v>
      </c>
      <c r="T158" s="20" t="s">
        <v>75</v>
      </c>
      <c r="U158" s="21" t="s">
        <v>42</v>
      </c>
      <c r="V158" s="22">
        <v>40</v>
      </c>
      <c r="W158" s="22">
        <v>28</v>
      </c>
      <c r="X158" s="23"/>
    </row>
    <row r="159" spans="1:24" s="1" customFormat="1" ht="52.05" customHeight="1" x14ac:dyDescent="0.3">
      <c r="A159" s="11" t="s">
        <v>23</v>
      </c>
      <c r="B159" s="11" t="s">
        <v>267</v>
      </c>
      <c r="C159" s="12" t="s">
        <v>268</v>
      </c>
      <c r="D159" s="63"/>
      <c r="E159" s="43" t="str">
        <f>HYPERLINK("https://www.google.ru/search?q=21834-0015&amp;newwindow=1&amp;tbm=isch","Еще фото")</f>
        <v>Еще фото</v>
      </c>
      <c r="F159" s="14"/>
      <c r="G159" s="11" t="s">
        <v>237</v>
      </c>
      <c r="H159" s="11" t="s">
        <v>27</v>
      </c>
      <c r="I159" s="15" t="s">
        <v>237</v>
      </c>
      <c r="J159" s="15" t="s">
        <v>37</v>
      </c>
      <c r="K159" s="16" t="s">
        <v>29</v>
      </c>
      <c r="L159" s="60" t="s">
        <v>269</v>
      </c>
      <c r="M159" s="15"/>
      <c r="N159" s="15" t="s">
        <v>249</v>
      </c>
      <c r="O159" s="15"/>
      <c r="P159" s="16" t="s">
        <v>250</v>
      </c>
      <c r="Q159" s="17">
        <v>13699</v>
      </c>
      <c r="R159" s="18">
        <v>91.48</v>
      </c>
      <c r="S159" s="19">
        <v>1342.9354999999998</v>
      </c>
      <c r="T159" s="20" t="s">
        <v>75</v>
      </c>
      <c r="U159" s="21" t="s">
        <v>42</v>
      </c>
      <c r="V159" s="22">
        <v>40</v>
      </c>
      <c r="W159" s="22">
        <v>182</v>
      </c>
      <c r="X159" s="23"/>
    </row>
    <row r="160" spans="1:24" s="1" customFormat="1" ht="61.05" customHeight="1" x14ac:dyDescent="0.3">
      <c r="A160" s="24" t="s">
        <v>23</v>
      </c>
      <c r="B160" s="24" t="s">
        <v>267</v>
      </c>
      <c r="C160" s="12" t="s">
        <v>268</v>
      </c>
      <c r="D160" s="64"/>
      <c r="E160" s="43" t="str">
        <f>HYPERLINK("https://www.google.ru/search?q=21834-0015&amp;newwindow=1&amp;tbm=isch","Еще фото")</f>
        <v>Еще фото</v>
      </c>
      <c r="F160" s="14"/>
      <c r="G160" s="24" t="s">
        <v>237</v>
      </c>
      <c r="H160" s="24" t="s">
        <v>27</v>
      </c>
      <c r="I160" s="24" t="s">
        <v>237</v>
      </c>
      <c r="J160" s="15" t="s">
        <v>37</v>
      </c>
      <c r="K160" s="16" t="s">
        <v>29</v>
      </c>
      <c r="L160" s="62"/>
      <c r="M160" s="15"/>
      <c r="N160" s="15" t="s">
        <v>249</v>
      </c>
      <c r="O160" s="15"/>
      <c r="P160" s="16" t="s">
        <v>250</v>
      </c>
      <c r="Q160" s="17">
        <v>13699</v>
      </c>
      <c r="R160" s="18">
        <v>91.48</v>
      </c>
      <c r="S160" s="19">
        <v>1342.9354999999998</v>
      </c>
      <c r="T160" s="20" t="s">
        <v>75</v>
      </c>
      <c r="U160" s="21" t="s">
        <v>43</v>
      </c>
      <c r="V160" s="25" t="s">
        <v>44</v>
      </c>
      <c r="W160" s="22">
        <v>123</v>
      </c>
      <c r="X160" s="23"/>
    </row>
    <row r="161" spans="1:24" s="1" customFormat="1" ht="108" customHeight="1" x14ac:dyDescent="0.3">
      <c r="A161" s="11" t="s">
        <v>23</v>
      </c>
      <c r="B161" s="11" t="s">
        <v>267</v>
      </c>
      <c r="C161" s="12" t="s">
        <v>270</v>
      </c>
      <c r="D161" s="13"/>
      <c r="E161" s="43" t="str">
        <f>HYPERLINK("https://www.google.ru/search?q=21972-0000&amp;newwindow=1&amp;tbm=isch","Еще фото")</f>
        <v>Еще фото</v>
      </c>
      <c r="F161" s="14"/>
      <c r="G161" s="11" t="s">
        <v>237</v>
      </c>
      <c r="H161" s="11" t="s">
        <v>27</v>
      </c>
      <c r="I161" s="15" t="s">
        <v>237</v>
      </c>
      <c r="J161" s="15" t="s">
        <v>37</v>
      </c>
      <c r="K161" s="16" t="s">
        <v>29</v>
      </c>
      <c r="L161" s="15" t="s">
        <v>271</v>
      </c>
      <c r="M161" s="15"/>
      <c r="N161" s="15" t="s">
        <v>130</v>
      </c>
      <c r="O161" s="15"/>
      <c r="P161" s="16" t="s">
        <v>250</v>
      </c>
      <c r="Q161" s="17">
        <v>13699</v>
      </c>
      <c r="R161" s="18">
        <v>91.48</v>
      </c>
      <c r="S161" s="19">
        <v>1342.9354999999998</v>
      </c>
      <c r="T161" s="20" t="s">
        <v>75</v>
      </c>
      <c r="U161" s="21" t="s">
        <v>42</v>
      </c>
      <c r="V161" s="22">
        <v>40</v>
      </c>
      <c r="W161" s="22">
        <v>45</v>
      </c>
      <c r="X161" s="23"/>
    </row>
    <row r="162" spans="1:24" s="1" customFormat="1" ht="52.05" customHeight="1" x14ac:dyDescent="0.3">
      <c r="A162" s="11" t="s">
        <v>23</v>
      </c>
      <c r="B162" s="11" t="s">
        <v>272</v>
      </c>
      <c r="C162" s="12" t="s">
        <v>273</v>
      </c>
      <c r="D162" s="63"/>
      <c r="E162" s="43" t="str">
        <f>HYPERLINK("https://www.google.ru/search?q=19561-0001&amp;newwindow=1&amp;tbm=isch","Еще фото")</f>
        <v>Еще фото</v>
      </c>
      <c r="F162" s="14"/>
      <c r="G162" s="11" t="s">
        <v>237</v>
      </c>
      <c r="H162" s="11" t="s">
        <v>27</v>
      </c>
      <c r="I162" s="15" t="s">
        <v>237</v>
      </c>
      <c r="J162" s="15" t="s">
        <v>37</v>
      </c>
      <c r="K162" s="16" t="s">
        <v>29</v>
      </c>
      <c r="L162" s="60" t="s">
        <v>261</v>
      </c>
      <c r="M162" s="15"/>
      <c r="N162" s="15" t="s">
        <v>130</v>
      </c>
      <c r="O162" s="15"/>
      <c r="P162" s="16" t="s">
        <v>262</v>
      </c>
      <c r="Q162" s="17">
        <v>13699</v>
      </c>
      <c r="R162" s="18">
        <v>91.4</v>
      </c>
      <c r="S162" s="19">
        <v>1354.4354999999998</v>
      </c>
      <c r="T162" s="20" t="s">
        <v>75</v>
      </c>
      <c r="U162" s="21" t="s">
        <v>42</v>
      </c>
      <c r="V162" s="22">
        <v>40</v>
      </c>
      <c r="W162" s="22">
        <v>13</v>
      </c>
      <c r="X162" s="23"/>
    </row>
    <row r="163" spans="1:24" s="1" customFormat="1" ht="61.05" customHeight="1" x14ac:dyDescent="0.3">
      <c r="A163" s="24" t="s">
        <v>23</v>
      </c>
      <c r="B163" s="24" t="s">
        <v>272</v>
      </c>
      <c r="C163" s="12" t="s">
        <v>273</v>
      </c>
      <c r="D163" s="64"/>
      <c r="E163" s="43" t="str">
        <f>HYPERLINK("https://www.google.ru/search?q=19561-0001&amp;newwindow=1&amp;tbm=isch","Еще фото")</f>
        <v>Еще фото</v>
      </c>
      <c r="F163" s="14"/>
      <c r="G163" s="24" t="s">
        <v>237</v>
      </c>
      <c r="H163" s="24" t="s">
        <v>27</v>
      </c>
      <c r="I163" s="24" t="s">
        <v>237</v>
      </c>
      <c r="J163" s="15" t="s">
        <v>37</v>
      </c>
      <c r="K163" s="16" t="s">
        <v>29</v>
      </c>
      <c r="L163" s="62"/>
      <c r="M163" s="15"/>
      <c r="N163" s="15" t="s">
        <v>130</v>
      </c>
      <c r="O163" s="15"/>
      <c r="P163" s="16" t="s">
        <v>262</v>
      </c>
      <c r="Q163" s="17">
        <v>13699</v>
      </c>
      <c r="R163" s="18">
        <v>91.4</v>
      </c>
      <c r="S163" s="19">
        <v>1354.4354999999998</v>
      </c>
      <c r="T163" s="20" t="s">
        <v>75</v>
      </c>
      <c r="U163" s="21" t="s">
        <v>43</v>
      </c>
      <c r="V163" s="25" t="s">
        <v>44</v>
      </c>
      <c r="W163" s="22">
        <v>21</v>
      </c>
      <c r="X163" s="23"/>
    </row>
    <row r="164" spans="1:24" s="1" customFormat="1" ht="52.05" customHeight="1" x14ac:dyDescent="0.3">
      <c r="A164" s="11" t="s">
        <v>23</v>
      </c>
      <c r="B164" s="11" t="s">
        <v>274</v>
      </c>
      <c r="C164" s="12" t="s">
        <v>275</v>
      </c>
      <c r="D164" s="63"/>
      <c r="E164" s="43" t="str">
        <f>HYPERLINK("https://www.google.ru/search?q=17778-0023&amp;newwindow=1&amp;tbm=isch","Еще фото")</f>
        <v>Еще фото</v>
      </c>
      <c r="F164" s="14"/>
      <c r="G164" s="11" t="s">
        <v>237</v>
      </c>
      <c r="H164" s="11" t="s">
        <v>27</v>
      </c>
      <c r="I164" s="15" t="s">
        <v>237</v>
      </c>
      <c r="J164" s="15" t="s">
        <v>37</v>
      </c>
      <c r="K164" s="16" t="s">
        <v>29</v>
      </c>
      <c r="L164" s="60" t="s">
        <v>238</v>
      </c>
      <c r="M164" s="15"/>
      <c r="N164" s="15" t="s">
        <v>130</v>
      </c>
      <c r="O164" s="15"/>
      <c r="P164" s="16" t="s">
        <v>209</v>
      </c>
      <c r="Q164" s="17">
        <v>13699</v>
      </c>
      <c r="R164" s="18">
        <v>91.18</v>
      </c>
      <c r="S164" s="19">
        <v>1388.9354999999998</v>
      </c>
      <c r="T164" s="20" t="s">
        <v>75</v>
      </c>
      <c r="U164" s="21" t="s">
        <v>43</v>
      </c>
      <c r="V164" s="25" t="s">
        <v>44</v>
      </c>
      <c r="W164" s="22">
        <v>6</v>
      </c>
      <c r="X164" s="23"/>
    </row>
    <row r="165" spans="1:24" s="1" customFormat="1" ht="61.05" customHeight="1" x14ac:dyDescent="0.3">
      <c r="A165" s="24" t="s">
        <v>23</v>
      </c>
      <c r="B165" s="24" t="s">
        <v>274</v>
      </c>
      <c r="C165" s="12" t="s">
        <v>275</v>
      </c>
      <c r="D165" s="64"/>
      <c r="E165" s="43" t="str">
        <f>HYPERLINK("https://www.google.ru/search?q=17778-0023&amp;newwindow=1&amp;tbm=isch","Еще фото")</f>
        <v>Еще фото</v>
      </c>
      <c r="F165" s="14"/>
      <c r="G165" s="24" t="s">
        <v>237</v>
      </c>
      <c r="H165" s="24" t="s">
        <v>27</v>
      </c>
      <c r="I165" s="24" t="s">
        <v>237</v>
      </c>
      <c r="J165" s="15" t="s">
        <v>37</v>
      </c>
      <c r="K165" s="16" t="s">
        <v>29</v>
      </c>
      <c r="L165" s="62"/>
      <c r="M165" s="15"/>
      <c r="N165" s="15" t="s">
        <v>130</v>
      </c>
      <c r="O165" s="15"/>
      <c r="P165" s="16" t="s">
        <v>209</v>
      </c>
      <c r="Q165" s="17">
        <v>13699</v>
      </c>
      <c r="R165" s="18">
        <v>91.18</v>
      </c>
      <c r="S165" s="19">
        <v>1388.9354999999998</v>
      </c>
      <c r="T165" s="20" t="s">
        <v>75</v>
      </c>
      <c r="U165" s="21" t="s">
        <v>46</v>
      </c>
      <c r="V165" s="22">
        <v>42</v>
      </c>
      <c r="W165" s="22">
        <v>3</v>
      </c>
      <c r="X165" s="23"/>
    </row>
    <row r="166" spans="1:24" s="1" customFormat="1" ht="52.05" customHeight="1" x14ac:dyDescent="0.3">
      <c r="A166" s="11" t="s">
        <v>23</v>
      </c>
      <c r="B166" s="11" t="s">
        <v>276</v>
      </c>
      <c r="C166" s="12" t="s">
        <v>277</v>
      </c>
      <c r="D166" s="63"/>
      <c r="E166" s="43" t="str">
        <f>HYPERLINK("https://www.google.ru/search?q=21233-0012&amp;newwindow=1&amp;tbm=isch","Еще фото")</f>
        <v>Еще фото</v>
      </c>
      <c r="F166" s="14"/>
      <c r="G166" s="11" t="s">
        <v>237</v>
      </c>
      <c r="H166" s="11" t="s">
        <v>27</v>
      </c>
      <c r="I166" s="15" t="s">
        <v>237</v>
      </c>
      <c r="J166" s="15" t="s">
        <v>37</v>
      </c>
      <c r="K166" s="16" t="s">
        <v>29</v>
      </c>
      <c r="L166" s="60" t="s">
        <v>278</v>
      </c>
      <c r="M166" s="15"/>
      <c r="N166" s="15" t="s">
        <v>130</v>
      </c>
      <c r="O166" s="15"/>
      <c r="P166" s="16" t="s">
        <v>279</v>
      </c>
      <c r="Q166" s="17">
        <v>13699</v>
      </c>
      <c r="R166" s="18">
        <v>91.18</v>
      </c>
      <c r="S166" s="19">
        <v>1388.9354999999998</v>
      </c>
      <c r="T166" s="20" t="s">
        <v>75</v>
      </c>
      <c r="U166" s="21" t="s">
        <v>42</v>
      </c>
      <c r="V166" s="22">
        <v>40</v>
      </c>
      <c r="W166" s="22">
        <v>37</v>
      </c>
      <c r="X166" s="23"/>
    </row>
    <row r="167" spans="1:24" s="1" customFormat="1" ht="61.05" customHeight="1" x14ac:dyDescent="0.3">
      <c r="A167" s="24" t="s">
        <v>23</v>
      </c>
      <c r="B167" s="24" t="s">
        <v>276</v>
      </c>
      <c r="C167" s="12" t="s">
        <v>277</v>
      </c>
      <c r="D167" s="64"/>
      <c r="E167" s="43" t="str">
        <f>HYPERLINK("https://www.google.ru/search?q=21233-0012&amp;newwindow=1&amp;tbm=isch","Еще фото")</f>
        <v>Еще фото</v>
      </c>
      <c r="F167" s="14"/>
      <c r="G167" s="24" t="s">
        <v>237</v>
      </c>
      <c r="H167" s="24" t="s">
        <v>27</v>
      </c>
      <c r="I167" s="24" t="s">
        <v>237</v>
      </c>
      <c r="J167" s="15" t="s">
        <v>37</v>
      </c>
      <c r="K167" s="16" t="s">
        <v>29</v>
      </c>
      <c r="L167" s="62"/>
      <c r="M167" s="15"/>
      <c r="N167" s="15" t="s">
        <v>130</v>
      </c>
      <c r="O167" s="15"/>
      <c r="P167" s="16" t="s">
        <v>279</v>
      </c>
      <c r="Q167" s="17">
        <v>13699</v>
      </c>
      <c r="R167" s="18">
        <v>91.18</v>
      </c>
      <c r="S167" s="19">
        <v>1388.9354999999998</v>
      </c>
      <c r="T167" s="20" t="s">
        <v>75</v>
      </c>
      <c r="U167" s="21" t="s">
        <v>43</v>
      </c>
      <c r="V167" s="25" t="s">
        <v>44</v>
      </c>
      <c r="W167" s="22">
        <v>42</v>
      </c>
      <c r="X167" s="23"/>
    </row>
    <row r="168" spans="1:24" s="1" customFormat="1" ht="52.05" customHeight="1" x14ac:dyDescent="0.3">
      <c r="A168" s="11" t="s">
        <v>23</v>
      </c>
      <c r="B168" s="11" t="s">
        <v>280</v>
      </c>
      <c r="C168" s="12" t="s">
        <v>281</v>
      </c>
      <c r="D168" s="63"/>
      <c r="E168" s="43" t="str">
        <f>HYPERLINK("https://www.google.ru/search?q=19561-0000&amp;newwindow=1&amp;tbm=isch","Еще фото")</f>
        <v>Еще фото</v>
      </c>
      <c r="F168" s="14"/>
      <c r="G168" s="11" t="s">
        <v>237</v>
      </c>
      <c r="H168" s="11" t="s">
        <v>27</v>
      </c>
      <c r="I168" s="15" t="s">
        <v>237</v>
      </c>
      <c r="J168" s="15" t="s">
        <v>37</v>
      </c>
      <c r="K168" s="16" t="s">
        <v>29</v>
      </c>
      <c r="L168" s="60" t="s">
        <v>261</v>
      </c>
      <c r="M168" s="15"/>
      <c r="N168" s="15" t="s">
        <v>249</v>
      </c>
      <c r="O168" s="15"/>
      <c r="P168" s="16" t="s">
        <v>262</v>
      </c>
      <c r="Q168" s="17">
        <v>13699</v>
      </c>
      <c r="R168" s="18">
        <v>91.04</v>
      </c>
      <c r="S168" s="19">
        <v>1411.9354999999998</v>
      </c>
      <c r="T168" s="20" t="s">
        <v>75</v>
      </c>
      <c r="U168" s="21" t="s">
        <v>42</v>
      </c>
      <c r="V168" s="22">
        <v>40</v>
      </c>
      <c r="W168" s="22">
        <v>9</v>
      </c>
      <c r="X168" s="23"/>
    </row>
    <row r="169" spans="1:24" s="1" customFormat="1" ht="61.05" customHeight="1" x14ac:dyDescent="0.3">
      <c r="A169" s="24" t="s">
        <v>23</v>
      </c>
      <c r="B169" s="24" t="s">
        <v>280</v>
      </c>
      <c r="C169" s="12" t="s">
        <v>281</v>
      </c>
      <c r="D169" s="64"/>
      <c r="E169" s="43" t="str">
        <f>HYPERLINK("https://www.google.ru/search?q=19561-0000&amp;newwindow=1&amp;tbm=isch","Еще фото")</f>
        <v>Еще фото</v>
      </c>
      <c r="F169" s="14"/>
      <c r="G169" s="24" t="s">
        <v>237</v>
      </c>
      <c r="H169" s="24" t="s">
        <v>27</v>
      </c>
      <c r="I169" s="24" t="s">
        <v>237</v>
      </c>
      <c r="J169" s="15" t="s">
        <v>37</v>
      </c>
      <c r="K169" s="16" t="s">
        <v>29</v>
      </c>
      <c r="L169" s="62"/>
      <c r="M169" s="15"/>
      <c r="N169" s="15" t="s">
        <v>249</v>
      </c>
      <c r="O169" s="15"/>
      <c r="P169" s="16" t="s">
        <v>262</v>
      </c>
      <c r="Q169" s="17">
        <v>13699</v>
      </c>
      <c r="R169" s="18">
        <v>91.04</v>
      </c>
      <c r="S169" s="19">
        <v>1411.9354999999998</v>
      </c>
      <c r="T169" s="20" t="s">
        <v>75</v>
      </c>
      <c r="U169" s="21" t="s">
        <v>43</v>
      </c>
      <c r="V169" s="25" t="s">
        <v>44</v>
      </c>
      <c r="W169" s="22">
        <v>2</v>
      </c>
      <c r="X169" s="23"/>
    </row>
    <row r="170" spans="1:24" s="1" customFormat="1" ht="35" customHeight="1" x14ac:dyDescent="0.3">
      <c r="A170" s="11" t="s">
        <v>23</v>
      </c>
      <c r="B170" s="11" t="s">
        <v>282</v>
      </c>
      <c r="C170" s="12" t="s">
        <v>283</v>
      </c>
      <c r="D170" s="57"/>
      <c r="E170" s="43" t="str">
        <f>HYPERLINK("https://www.google.ru/search?q=18884-0024&amp;newwindow=1&amp;tbm=isch","Еще фото")</f>
        <v>Еще фото</v>
      </c>
      <c r="F170" s="14"/>
      <c r="G170" s="11" t="s">
        <v>237</v>
      </c>
      <c r="H170" s="11" t="s">
        <v>27</v>
      </c>
      <c r="I170" s="15" t="s">
        <v>237</v>
      </c>
      <c r="J170" s="15" t="s">
        <v>28</v>
      </c>
      <c r="K170" s="16" t="s">
        <v>29</v>
      </c>
      <c r="L170" s="60" t="s">
        <v>261</v>
      </c>
      <c r="M170" s="15" t="s">
        <v>72</v>
      </c>
      <c r="N170" s="15" t="s">
        <v>130</v>
      </c>
      <c r="O170" s="15"/>
      <c r="P170" s="16" t="s">
        <v>284</v>
      </c>
      <c r="Q170" s="17">
        <v>12999</v>
      </c>
      <c r="R170" s="18">
        <v>91.02</v>
      </c>
      <c r="S170" s="19">
        <v>1342.9354999999998</v>
      </c>
      <c r="T170" s="20" t="s">
        <v>41</v>
      </c>
      <c r="U170" s="21" t="s">
        <v>285</v>
      </c>
      <c r="V170" s="22">
        <v>38</v>
      </c>
      <c r="W170" s="22">
        <v>1</v>
      </c>
      <c r="X170" s="23"/>
    </row>
    <row r="171" spans="1:24" s="1" customFormat="1" ht="35" customHeight="1" x14ac:dyDescent="0.3">
      <c r="A171" s="24" t="s">
        <v>23</v>
      </c>
      <c r="B171" s="24" t="s">
        <v>282</v>
      </c>
      <c r="C171" s="12" t="s">
        <v>283</v>
      </c>
      <c r="D171" s="58"/>
      <c r="E171" s="43" t="str">
        <f>HYPERLINK("https://www.google.ru/search?q=18884-0024&amp;newwindow=1&amp;tbm=isch","Еще фото")</f>
        <v>Еще фото</v>
      </c>
      <c r="F171" s="14"/>
      <c r="G171" s="24" t="s">
        <v>237</v>
      </c>
      <c r="H171" s="24" t="s">
        <v>27</v>
      </c>
      <c r="I171" s="24" t="s">
        <v>237</v>
      </c>
      <c r="J171" s="15" t="s">
        <v>28</v>
      </c>
      <c r="K171" s="16" t="s">
        <v>29</v>
      </c>
      <c r="L171" s="61"/>
      <c r="M171" s="15" t="s">
        <v>72</v>
      </c>
      <c r="N171" s="15" t="s">
        <v>130</v>
      </c>
      <c r="O171" s="15"/>
      <c r="P171" s="16" t="s">
        <v>284</v>
      </c>
      <c r="Q171" s="17">
        <v>12999</v>
      </c>
      <c r="R171" s="18">
        <v>91.02</v>
      </c>
      <c r="S171" s="19">
        <v>1342.9354999999998</v>
      </c>
      <c r="T171" s="20" t="s">
        <v>41</v>
      </c>
      <c r="U171" s="21" t="s">
        <v>42</v>
      </c>
      <c r="V171" s="22">
        <v>40</v>
      </c>
      <c r="W171" s="22">
        <v>99</v>
      </c>
      <c r="X171" s="23"/>
    </row>
    <row r="172" spans="1:24" s="1" customFormat="1" ht="37.049999999999997" customHeight="1" x14ac:dyDescent="0.3">
      <c r="A172" s="24" t="s">
        <v>23</v>
      </c>
      <c r="B172" s="24" t="s">
        <v>282</v>
      </c>
      <c r="C172" s="12" t="s">
        <v>283</v>
      </c>
      <c r="D172" s="59"/>
      <c r="E172" s="43" t="str">
        <f>HYPERLINK("https://www.google.ru/search?q=18884-0024&amp;newwindow=1&amp;tbm=isch","Еще фото")</f>
        <v>Еще фото</v>
      </c>
      <c r="F172" s="14"/>
      <c r="G172" s="24" t="s">
        <v>237</v>
      </c>
      <c r="H172" s="24" t="s">
        <v>27</v>
      </c>
      <c r="I172" s="24" t="s">
        <v>237</v>
      </c>
      <c r="J172" s="15" t="s">
        <v>28</v>
      </c>
      <c r="K172" s="16" t="s">
        <v>29</v>
      </c>
      <c r="L172" s="62"/>
      <c r="M172" s="15" t="s">
        <v>72</v>
      </c>
      <c r="N172" s="15" t="s">
        <v>130</v>
      </c>
      <c r="O172" s="15"/>
      <c r="P172" s="16" t="s">
        <v>284</v>
      </c>
      <c r="Q172" s="17">
        <v>12999</v>
      </c>
      <c r="R172" s="18">
        <v>91.02</v>
      </c>
      <c r="S172" s="19">
        <v>1342.9354999999998</v>
      </c>
      <c r="T172" s="20" t="s">
        <v>41</v>
      </c>
      <c r="U172" s="21" t="s">
        <v>43</v>
      </c>
      <c r="V172" s="25" t="s">
        <v>44</v>
      </c>
      <c r="W172" s="22">
        <v>67</v>
      </c>
      <c r="X172" s="23"/>
    </row>
    <row r="173" spans="1:24" s="1" customFormat="1" ht="108" customHeight="1" x14ac:dyDescent="0.3">
      <c r="A173" s="11" t="s">
        <v>23</v>
      </c>
      <c r="B173" s="11" t="s">
        <v>286</v>
      </c>
      <c r="C173" s="12" t="s">
        <v>287</v>
      </c>
      <c r="D173" s="13"/>
      <c r="E173" s="43" t="str">
        <f>HYPERLINK("https://www.google.ru/search?q=17778-0031&amp;newwindow=1&amp;tbm=isch","Еще фото")</f>
        <v>Еще фото</v>
      </c>
      <c r="F173" s="14"/>
      <c r="G173" s="11" t="s">
        <v>237</v>
      </c>
      <c r="H173" s="11" t="s">
        <v>27</v>
      </c>
      <c r="I173" s="15" t="s">
        <v>237</v>
      </c>
      <c r="J173" s="15" t="s">
        <v>37</v>
      </c>
      <c r="K173" s="16" t="s">
        <v>29</v>
      </c>
      <c r="L173" s="15" t="s">
        <v>238</v>
      </c>
      <c r="M173" s="15"/>
      <c r="N173" s="15" t="s">
        <v>288</v>
      </c>
      <c r="O173" s="15"/>
      <c r="P173" s="16" t="s">
        <v>209</v>
      </c>
      <c r="Q173" s="17">
        <v>13699</v>
      </c>
      <c r="R173" s="18">
        <v>90.96</v>
      </c>
      <c r="S173" s="19">
        <v>1423.4354999999998</v>
      </c>
      <c r="T173" s="20" t="s">
        <v>75</v>
      </c>
      <c r="U173" s="21" t="s">
        <v>43</v>
      </c>
      <c r="V173" s="25" t="s">
        <v>44</v>
      </c>
      <c r="W173" s="22">
        <v>2</v>
      </c>
      <c r="X173" s="23"/>
    </row>
    <row r="174" spans="1:24" s="1" customFormat="1" ht="52.05" customHeight="1" x14ac:dyDescent="0.3">
      <c r="A174" s="11" t="s">
        <v>23</v>
      </c>
      <c r="B174" s="11" t="s">
        <v>289</v>
      </c>
      <c r="C174" s="12" t="s">
        <v>290</v>
      </c>
      <c r="D174" s="63"/>
      <c r="E174" s="43" t="str">
        <f>HYPERLINK("https://www.google.ru/search?q=18881-0000&amp;newwindow=1&amp;tbm=isch","Еще фото")</f>
        <v>Еще фото</v>
      </c>
      <c r="F174" s="14"/>
      <c r="G174" s="11" t="s">
        <v>237</v>
      </c>
      <c r="H174" s="11" t="s">
        <v>27</v>
      </c>
      <c r="I174" s="15" t="s">
        <v>237</v>
      </c>
      <c r="J174" s="15" t="s">
        <v>28</v>
      </c>
      <c r="K174" s="16" t="s">
        <v>29</v>
      </c>
      <c r="L174" s="60" t="s">
        <v>258</v>
      </c>
      <c r="M174" s="15"/>
      <c r="N174" s="15" t="s">
        <v>249</v>
      </c>
      <c r="O174" s="15"/>
      <c r="P174" s="16" t="s">
        <v>250</v>
      </c>
      <c r="Q174" s="17">
        <v>13699</v>
      </c>
      <c r="R174" s="18">
        <v>90.89</v>
      </c>
      <c r="S174" s="19">
        <v>1434.9354999999998</v>
      </c>
      <c r="T174" s="20" t="s">
        <v>75</v>
      </c>
      <c r="U174" s="21" t="s">
        <v>42</v>
      </c>
      <c r="V174" s="22">
        <v>40</v>
      </c>
      <c r="W174" s="22">
        <v>136</v>
      </c>
      <c r="X174" s="23"/>
    </row>
    <row r="175" spans="1:24" s="1" customFormat="1" ht="61.05" customHeight="1" x14ac:dyDescent="0.3">
      <c r="A175" s="24" t="s">
        <v>23</v>
      </c>
      <c r="B175" s="24" t="s">
        <v>289</v>
      </c>
      <c r="C175" s="12" t="s">
        <v>290</v>
      </c>
      <c r="D175" s="64"/>
      <c r="E175" s="43" t="str">
        <f>HYPERLINK("https://www.google.ru/search?q=18881-0000&amp;newwindow=1&amp;tbm=isch","Еще фото")</f>
        <v>Еще фото</v>
      </c>
      <c r="F175" s="14"/>
      <c r="G175" s="24" t="s">
        <v>237</v>
      </c>
      <c r="H175" s="24" t="s">
        <v>27</v>
      </c>
      <c r="I175" s="24" t="s">
        <v>237</v>
      </c>
      <c r="J175" s="15" t="s">
        <v>28</v>
      </c>
      <c r="K175" s="16" t="s">
        <v>29</v>
      </c>
      <c r="L175" s="62"/>
      <c r="M175" s="15"/>
      <c r="N175" s="15" t="s">
        <v>249</v>
      </c>
      <c r="O175" s="15"/>
      <c r="P175" s="16" t="s">
        <v>250</v>
      </c>
      <c r="Q175" s="17">
        <v>13699</v>
      </c>
      <c r="R175" s="18">
        <v>90.89</v>
      </c>
      <c r="S175" s="19">
        <v>1434.9354999999998</v>
      </c>
      <c r="T175" s="20" t="s">
        <v>75</v>
      </c>
      <c r="U175" s="21" t="s">
        <v>43</v>
      </c>
      <c r="V175" s="25" t="s">
        <v>44</v>
      </c>
      <c r="W175" s="22">
        <v>65</v>
      </c>
      <c r="X175" s="23"/>
    </row>
    <row r="176" spans="1:24" s="1" customFormat="1" ht="26" customHeight="1" x14ac:dyDescent="0.3">
      <c r="A176" s="11" t="s">
        <v>23</v>
      </c>
      <c r="B176" s="11" t="s">
        <v>291</v>
      </c>
      <c r="C176" s="12" t="s">
        <v>292</v>
      </c>
      <c r="D176" s="57"/>
      <c r="E176" s="43" t="str">
        <f>HYPERLINK("https://www.google.ru/search?q=18881-0012&amp;newwindow=1&amp;tbm=isch","Еще фото")</f>
        <v>Еще фото</v>
      </c>
      <c r="F176" s="14"/>
      <c r="G176" s="11" t="s">
        <v>237</v>
      </c>
      <c r="H176" s="11" t="s">
        <v>27</v>
      </c>
      <c r="I176" s="15" t="s">
        <v>237</v>
      </c>
      <c r="J176" s="15" t="s">
        <v>28</v>
      </c>
      <c r="K176" s="16" t="s">
        <v>29</v>
      </c>
      <c r="L176" s="60" t="s">
        <v>258</v>
      </c>
      <c r="M176" s="15" t="s">
        <v>72</v>
      </c>
      <c r="N176" s="15" t="s">
        <v>130</v>
      </c>
      <c r="O176" s="15"/>
      <c r="P176" s="16" t="s">
        <v>209</v>
      </c>
      <c r="Q176" s="17">
        <v>12999</v>
      </c>
      <c r="R176" s="18">
        <v>89.55</v>
      </c>
      <c r="S176" s="19">
        <v>1561.4354999999998</v>
      </c>
      <c r="T176" s="20" t="s">
        <v>41</v>
      </c>
      <c r="U176" s="21" t="s">
        <v>42</v>
      </c>
      <c r="V176" s="22">
        <v>40</v>
      </c>
      <c r="W176" s="22">
        <v>16</v>
      </c>
      <c r="X176" s="23"/>
    </row>
    <row r="177" spans="1:24" s="1" customFormat="1" ht="26" customHeight="1" x14ac:dyDescent="0.3">
      <c r="A177" s="24" t="s">
        <v>23</v>
      </c>
      <c r="B177" s="24" t="s">
        <v>291</v>
      </c>
      <c r="C177" s="12" t="s">
        <v>292</v>
      </c>
      <c r="D177" s="58"/>
      <c r="E177" s="43" t="str">
        <f>HYPERLINK("https://www.google.ru/search?q=18881-0012&amp;newwindow=1&amp;tbm=isch","Еще фото")</f>
        <v>Еще фото</v>
      </c>
      <c r="F177" s="14"/>
      <c r="G177" s="24" t="s">
        <v>237</v>
      </c>
      <c r="H177" s="24" t="s">
        <v>27</v>
      </c>
      <c r="I177" s="24" t="s">
        <v>237</v>
      </c>
      <c r="J177" s="15" t="s">
        <v>28</v>
      </c>
      <c r="K177" s="16" t="s">
        <v>29</v>
      </c>
      <c r="L177" s="61"/>
      <c r="M177" s="15" t="s">
        <v>72</v>
      </c>
      <c r="N177" s="15" t="s">
        <v>130</v>
      </c>
      <c r="O177" s="15"/>
      <c r="P177" s="16" t="s">
        <v>209</v>
      </c>
      <c r="Q177" s="17">
        <v>12999</v>
      </c>
      <c r="R177" s="18">
        <v>89.55</v>
      </c>
      <c r="S177" s="19">
        <v>1561.4354999999998</v>
      </c>
      <c r="T177" s="20" t="s">
        <v>41</v>
      </c>
      <c r="U177" s="21" t="s">
        <v>43</v>
      </c>
      <c r="V177" s="25" t="s">
        <v>44</v>
      </c>
      <c r="W177" s="22">
        <v>72</v>
      </c>
      <c r="X177" s="23"/>
    </row>
    <row r="178" spans="1:24" s="1" customFormat="1" ht="26" customHeight="1" x14ac:dyDescent="0.3">
      <c r="A178" s="24" t="s">
        <v>23</v>
      </c>
      <c r="B178" s="24" t="s">
        <v>291</v>
      </c>
      <c r="C178" s="12" t="s">
        <v>292</v>
      </c>
      <c r="D178" s="58"/>
      <c r="E178" s="43" t="str">
        <f>HYPERLINK("https://www.google.ru/search?q=18881-0012&amp;newwindow=1&amp;tbm=isch","Еще фото")</f>
        <v>Еще фото</v>
      </c>
      <c r="F178" s="14"/>
      <c r="G178" s="24" t="s">
        <v>237</v>
      </c>
      <c r="H178" s="24" t="s">
        <v>27</v>
      </c>
      <c r="I178" s="24" t="s">
        <v>237</v>
      </c>
      <c r="J178" s="15" t="s">
        <v>28</v>
      </c>
      <c r="K178" s="16" t="s">
        <v>29</v>
      </c>
      <c r="L178" s="61"/>
      <c r="M178" s="15" t="s">
        <v>72</v>
      </c>
      <c r="N178" s="15" t="s">
        <v>130</v>
      </c>
      <c r="O178" s="15"/>
      <c r="P178" s="16" t="s">
        <v>209</v>
      </c>
      <c r="Q178" s="17">
        <v>12999</v>
      </c>
      <c r="R178" s="18">
        <v>89.55</v>
      </c>
      <c r="S178" s="19">
        <v>1561.4354999999998</v>
      </c>
      <c r="T178" s="20" t="s">
        <v>41</v>
      </c>
      <c r="U178" s="21" t="s">
        <v>45</v>
      </c>
      <c r="V178" s="25" t="s">
        <v>44</v>
      </c>
      <c r="W178" s="22">
        <v>4</v>
      </c>
      <c r="X178" s="23"/>
    </row>
    <row r="179" spans="1:24" s="1" customFormat="1" ht="26" customHeight="1" x14ac:dyDescent="0.3">
      <c r="A179" s="24" t="s">
        <v>23</v>
      </c>
      <c r="B179" s="24" t="s">
        <v>291</v>
      </c>
      <c r="C179" s="12" t="s">
        <v>292</v>
      </c>
      <c r="D179" s="59"/>
      <c r="E179" s="43" t="str">
        <f>HYPERLINK("https://www.google.ru/search?q=18881-0012&amp;newwindow=1&amp;tbm=isch","Еще фото")</f>
        <v>Еще фото</v>
      </c>
      <c r="F179" s="14"/>
      <c r="G179" s="24" t="s">
        <v>237</v>
      </c>
      <c r="H179" s="24" t="s">
        <v>27</v>
      </c>
      <c r="I179" s="24" t="s">
        <v>237</v>
      </c>
      <c r="J179" s="15" t="s">
        <v>28</v>
      </c>
      <c r="K179" s="16" t="s">
        <v>29</v>
      </c>
      <c r="L179" s="62"/>
      <c r="M179" s="15" t="s">
        <v>72</v>
      </c>
      <c r="N179" s="15" t="s">
        <v>130</v>
      </c>
      <c r="O179" s="15"/>
      <c r="P179" s="16" t="s">
        <v>209</v>
      </c>
      <c r="Q179" s="17">
        <v>12999</v>
      </c>
      <c r="R179" s="18">
        <v>89.55</v>
      </c>
      <c r="S179" s="19">
        <v>1561.4354999999998</v>
      </c>
      <c r="T179" s="20" t="s">
        <v>41</v>
      </c>
      <c r="U179" s="21" t="s">
        <v>293</v>
      </c>
      <c r="V179" s="25" t="s">
        <v>44</v>
      </c>
      <c r="W179" s="22">
        <v>6</v>
      </c>
      <c r="X179" s="23"/>
    </row>
    <row r="180" spans="1:24" s="1" customFormat="1" ht="17" customHeight="1" x14ac:dyDescent="0.3">
      <c r="A180" s="11" t="s">
        <v>23</v>
      </c>
      <c r="B180" s="11" t="s">
        <v>294</v>
      </c>
      <c r="C180" s="12" t="s">
        <v>295</v>
      </c>
      <c r="D180" s="57"/>
      <c r="E180" s="43" t="str">
        <f t="shared" ref="E180:E185" si="9">HYPERLINK("https://www.google.ru/search?q=18883-0139&amp;newwindow=1&amp;tbm=isch","Еще фото")</f>
        <v>Еще фото</v>
      </c>
      <c r="F180" s="14"/>
      <c r="G180" s="11" t="s">
        <v>237</v>
      </c>
      <c r="H180" s="11" t="s">
        <v>27</v>
      </c>
      <c r="I180" s="15" t="s">
        <v>237</v>
      </c>
      <c r="J180" s="15" t="s">
        <v>28</v>
      </c>
      <c r="K180" s="16" t="s">
        <v>29</v>
      </c>
      <c r="L180" s="60" t="s">
        <v>296</v>
      </c>
      <c r="M180" s="15" t="s">
        <v>72</v>
      </c>
      <c r="N180" s="15" t="s">
        <v>130</v>
      </c>
      <c r="O180" s="15" t="s">
        <v>121</v>
      </c>
      <c r="P180" s="16" t="s">
        <v>297</v>
      </c>
      <c r="Q180" s="17">
        <v>15699</v>
      </c>
      <c r="R180" s="18">
        <v>84.98</v>
      </c>
      <c r="S180" s="19">
        <v>2711.4354999999996</v>
      </c>
      <c r="T180" s="20" t="s">
        <v>75</v>
      </c>
      <c r="U180" s="21" t="s">
        <v>298</v>
      </c>
      <c r="V180" s="22">
        <v>38</v>
      </c>
      <c r="W180" s="22">
        <v>63</v>
      </c>
      <c r="X180" s="23"/>
    </row>
    <row r="181" spans="1:24" s="1" customFormat="1" ht="17" customHeight="1" x14ac:dyDescent="0.3">
      <c r="A181" s="24" t="s">
        <v>23</v>
      </c>
      <c r="B181" s="24" t="s">
        <v>294</v>
      </c>
      <c r="C181" s="12" t="s">
        <v>295</v>
      </c>
      <c r="D181" s="58"/>
      <c r="E181" s="43" t="str">
        <f t="shared" si="9"/>
        <v>Еще фото</v>
      </c>
      <c r="F181" s="14"/>
      <c r="G181" s="24" t="s">
        <v>237</v>
      </c>
      <c r="H181" s="24" t="s">
        <v>27</v>
      </c>
      <c r="I181" s="24" t="s">
        <v>237</v>
      </c>
      <c r="J181" s="15" t="s">
        <v>28</v>
      </c>
      <c r="K181" s="16" t="s">
        <v>29</v>
      </c>
      <c r="L181" s="61"/>
      <c r="M181" s="15" t="s">
        <v>72</v>
      </c>
      <c r="N181" s="15" t="s">
        <v>130</v>
      </c>
      <c r="O181" s="15" t="s">
        <v>121</v>
      </c>
      <c r="P181" s="16" t="s">
        <v>297</v>
      </c>
      <c r="Q181" s="17">
        <v>15699</v>
      </c>
      <c r="R181" s="18">
        <v>84.98</v>
      </c>
      <c r="S181" s="19">
        <v>2711.4354999999996</v>
      </c>
      <c r="T181" s="20" t="s">
        <v>75</v>
      </c>
      <c r="U181" s="21" t="s">
        <v>299</v>
      </c>
      <c r="V181" s="22">
        <v>38</v>
      </c>
      <c r="W181" s="22">
        <v>67</v>
      </c>
      <c r="X181" s="23"/>
    </row>
    <row r="182" spans="1:24" s="1" customFormat="1" ht="17" customHeight="1" x14ac:dyDescent="0.3">
      <c r="A182" s="24" t="s">
        <v>23</v>
      </c>
      <c r="B182" s="24" t="s">
        <v>294</v>
      </c>
      <c r="C182" s="12" t="s">
        <v>295</v>
      </c>
      <c r="D182" s="58"/>
      <c r="E182" s="43" t="str">
        <f t="shared" si="9"/>
        <v>Еще фото</v>
      </c>
      <c r="F182" s="14"/>
      <c r="G182" s="24" t="s">
        <v>237</v>
      </c>
      <c r="H182" s="24" t="s">
        <v>27</v>
      </c>
      <c r="I182" s="24" t="s">
        <v>237</v>
      </c>
      <c r="J182" s="15" t="s">
        <v>28</v>
      </c>
      <c r="K182" s="16" t="s">
        <v>29</v>
      </c>
      <c r="L182" s="61"/>
      <c r="M182" s="15" t="s">
        <v>72</v>
      </c>
      <c r="N182" s="15" t="s">
        <v>130</v>
      </c>
      <c r="O182" s="15" t="s">
        <v>121</v>
      </c>
      <c r="P182" s="16" t="s">
        <v>297</v>
      </c>
      <c r="Q182" s="17">
        <v>15699</v>
      </c>
      <c r="R182" s="18">
        <v>84.98</v>
      </c>
      <c r="S182" s="19">
        <v>2711.4354999999996</v>
      </c>
      <c r="T182" s="20" t="s">
        <v>75</v>
      </c>
      <c r="U182" s="21" t="s">
        <v>76</v>
      </c>
      <c r="V182" s="22">
        <v>40</v>
      </c>
      <c r="W182" s="22">
        <v>4</v>
      </c>
      <c r="X182" s="23"/>
    </row>
    <row r="183" spans="1:24" s="1" customFormat="1" ht="17" customHeight="1" x14ac:dyDescent="0.3">
      <c r="A183" s="24" t="s">
        <v>23</v>
      </c>
      <c r="B183" s="24" t="s">
        <v>294</v>
      </c>
      <c r="C183" s="12" t="s">
        <v>295</v>
      </c>
      <c r="D183" s="58"/>
      <c r="E183" s="43" t="str">
        <f t="shared" si="9"/>
        <v>Еще фото</v>
      </c>
      <c r="F183" s="14"/>
      <c r="G183" s="24" t="s">
        <v>237</v>
      </c>
      <c r="H183" s="24" t="s">
        <v>27</v>
      </c>
      <c r="I183" s="24" t="s">
        <v>237</v>
      </c>
      <c r="J183" s="15" t="s">
        <v>28</v>
      </c>
      <c r="K183" s="16" t="s">
        <v>29</v>
      </c>
      <c r="L183" s="61"/>
      <c r="M183" s="15" t="s">
        <v>72</v>
      </c>
      <c r="N183" s="15" t="s">
        <v>130</v>
      </c>
      <c r="O183" s="15" t="s">
        <v>121</v>
      </c>
      <c r="P183" s="16" t="s">
        <v>297</v>
      </c>
      <c r="Q183" s="17">
        <v>15699</v>
      </c>
      <c r="R183" s="18">
        <v>84.98</v>
      </c>
      <c r="S183" s="19">
        <v>2711.4354999999996</v>
      </c>
      <c r="T183" s="20" t="s">
        <v>75</v>
      </c>
      <c r="U183" s="21" t="s">
        <v>42</v>
      </c>
      <c r="V183" s="22">
        <v>40</v>
      </c>
      <c r="W183" s="22">
        <v>1</v>
      </c>
      <c r="X183" s="23"/>
    </row>
    <row r="184" spans="1:24" s="1" customFormat="1" ht="17" customHeight="1" x14ac:dyDescent="0.3">
      <c r="A184" s="24" t="s">
        <v>23</v>
      </c>
      <c r="B184" s="24" t="s">
        <v>294</v>
      </c>
      <c r="C184" s="12" t="s">
        <v>295</v>
      </c>
      <c r="D184" s="58"/>
      <c r="E184" s="43" t="str">
        <f t="shared" si="9"/>
        <v>Еще фото</v>
      </c>
      <c r="F184" s="14"/>
      <c r="G184" s="24" t="s">
        <v>237</v>
      </c>
      <c r="H184" s="24" t="s">
        <v>27</v>
      </c>
      <c r="I184" s="24" t="s">
        <v>237</v>
      </c>
      <c r="J184" s="15" t="s">
        <v>28</v>
      </c>
      <c r="K184" s="16" t="s">
        <v>29</v>
      </c>
      <c r="L184" s="61"/>
      <c r="M184" s="15" t="s">
        <v>72</v>
      </c>
      <c r="N184" s="15" t="s">
        <v>130</v>
      </c>
      <c r="O184" s="15" t="s">
        <v>121</v>
      </c>
      <c r="P184" s="16" t="s">
        <v>297</v>
      </c>
      <c r="Q184" s="17">
        <v>15699</v>
      </c>
      <c r="R184" s="18">
        <v>84.98</v>
      </c>
      <c r="S184" s="19">
        <v>2711.4354999999996</v>
      </c>
      <c r="T184" s="20" t="s">
        <v>75</v>
      </c>
      <c r="U184" s="21" t="s">
        <v>255</v>
      </c>
      <c r="V184" s="22">
        <v>40</v>
      </c>
      <c r="W184" s="22">
        <v>56</v>
      </c>
      <c r="X184" s="23"/>
    </row>
    <row r="185" spans="1:24" s="1" customFormat="1" ht="22.05" customHeight="1" x14ac:dyDescent="0.3">
      <c r="A185" s="24" t="s">
        <v>23</v>
      </c>
      <c r="B185" s="24" t="s">
        <v>294</v>
      </c>
      <c r="C185" s="12" t="s">
        <v>295</v>
      </c>
      <c r="D185" s="59"/>
      <c r="E185" s="43" t="str">
        <f t="shared" si="9"/>
        <v>Еще фото</v>
      </c>
      <c r="F185" s="14"/>
      <c r="G185" s="24" t="s">
        <v>237</v>
      </c>
      <c r="H185" s="24" t="s">
        <v>27</v>
      </c>
      <c r="I185" s="24" t="s">
        <v>237</v>
      </c>
      <c r="J185" s="15" t="s">
        <v>28</v>
      </c>
      <c r="K185" s="16" t="s">
        <v>29</v>
      </c>
      <c r="L185" s="62"/>
      <c r="M185" s="15" t="s">
        <v>72</v>
      </c>
      <c r="N185" s="15" t="s">
        <v>130</v>
      </c>
      <c r="O185" s="15" t="s">
        <v>121</v>
      </c>
      <c r="P185" s="16" t="s">
        <v>297</v>
      </c>
      <c r="Q185" s="17">
        <v>15699</v>
      </c>
      <c r="R185" s="18">
        <v>84.98</v>
      </c>
      <c r="S185" s="19">
        <v>2711.4354999999996</v>
      </c>
      <c r="T185" s="20" t="s">
        <v>75</v>
      </c>
      <c r="U185" s="21" t="s">
        <v>45</v>
      </c>
      <c r="V185" s="25" t="s">
        <v>44</v>
      </c>
      <c r="W185" s="22">
        <v>1</v>
      </c>
      <c r="X185" s="23"/>
    </row>
    <row r="186" spans="1:24" s="1" customFormat="1" ht="17" customHeight="1" x14ac:dyDescent="0.3">
      <c r="A186" s="11" t="s">
        <v>23</v>
      </c>
      <c r="B186" s="11" t="s">
        <v>300</v>
      </c>
      <c r="C186" s="12" t="s">
        <v>301</v>
      </c>
      <c r="D186" s="57"/>
      <c r="E186" s="43" t="str">
        <f t="shared" ref="E186:E191" si="10">HYPERLINK("https://www.google.ru/search?q=52797-0315&amp;newwindow=1&amp;tbm=isch","Еще фото")</f>
        <v>Еще фото</v>
      </c>
      <c r="F186" s="14"/>
      <c r="G186" s="11" t="s">
        <v>237</v>
      </c>
      <c r="H186" s="11" t="s">
        <v>27</v>
      </c>
      <c r="I186" s="15" t="s">
        <v>237</v>
      </c>
      <c r="J186" s="15" t="s">
        <v>37</v>
      </c>
      <c r="K186" s="16" t="s">
        <v>29</v>
      </c>
      <c r="L186" s="60" t="s">
        <v>302</v>
      </c>
      <c r="M186" s="15"/>
      <c r="N186" s="15" t="s">
        <v>130</v>
      </c>
      <c r="O186" s="15"/>
      <c r="P186" s="16" t="s">
        <v>303</v>
      </c>
      <c r="Q186" s="17">
        <v>15799</v>
      </c>
      <c r="R186" s="18">
        <v>83.81</v>
      </c>
      <c r="S186" s="19">
        <v>2941.4354999999996</v>
      </c>
      <c r="T186" s="20" t="s">
        <v>75</v>
      </c>
      <c r="U186" s="21" t="s">
        <v>43</v>
      </c>
      <c r="V186" s="25" t="s">
        <v>44</v>
      </c>
      <c r="W186" s="22">
        <v>1</v>
      </c>
      <c r="X186" s="23"/>
    </row>
    <row r="187" spans="1:24" s="1" customFormat="1" ht="17" customHeight="1" x14ac:dyDescent="0.3">
      <c r="A187" s="24" t="s">
        <v>23</v>
      </c>
      <c r="B187" s="24" t="s">
        <v>300</v>
      </c>
      <c r="C187" s="12" t="s">
        <v>301</v>
      </c>
      <c r="D187" s="58"/>
      <c r="E187" s="43" t="str">
        <f t="shared" si="10"/>
        <v>Еще фото</v>
      </c>
      <c r="F187" s="14"/>
      <c r="G187" s="24" t="s">
        <v>237</v>
      </c>
      <c r="H187" s="24" t="s">
        <v>27</v>
      </c>
      <c r="I187" s="24" t="s">
        <v>237</v>
      </c>
      <c r="J187" s="15" t="s">
        <v>37</v>
      </c>
      <c r="K187" s="16" t="s">
        <v>29</v>
      </c>
      <c r="L187" s="61"/>
      <c r="M187" s="15"/>
      <c r="N187" s="15" t="s">
        <v>130</v>
      </c>
      <c r="O187" s="15"/>
      <c r="P187" s="16" t="s">
        <v>303</v>
      </c>
      <c r="Q187" s="17">
        <v>15799</v>
      </c>
      <c r="R187" s="18">
        <v>83.81</v>
      </c>
      <c r="S187" s="19">
        <v>2941.4354999999996</v>
      </c>
      <c r="T187" s="20" t="s">
        <v>75</v>
      </c>
      <c r="U187" s="21" t="s">
        <v>46</v>
      </c>
      <c r="V187" s="22">
        <v>42</v>
      </c>
      <c r="W187" s="22">
        <v>2</v>
      </c>
      <c r="X187" s="23"/>
    </row>
    <row r="188" spans="1:24" s="1" customFormat="1" ht="17" customHeight="1" x14ac:dyDescent="0.3">
      <c r="A188" s="24" t="s">
        <v>23</v>
      </c>
      <c r="B188" s="24" t="s">
        <v>300</v>
      </c>
      <c r="C188" s="12" t="s">
        <v>301</v>
      </c>
      <c r="D188" s="58"/>
      <c r="E188" s="43" t="str">
        <f t="shared" si="10"/>
        <v>Еще фото</v>
      </c>
      <c r="F188" s="14"/>
      <c r="G188" s="24" t="s">
        <v>237</v>
      </c>
      <c r="H188" s="24" t="s">
        <v>27</v>
      </c>
      <c r="I188" s="24" t="s">
        <v>237</v>
      </c>
      <c r="J188" s="15" t="s">
        <v>37</v>
      </c>
      <c r="K188" s="16" t="s">
        <v>29</v>
      </c>
      <c r="L188" s="61"/>
      <c r="M188" s="15"/>
      <c r="N188" s="15" t="s">
        <v>130</v>
      </c>
      <c r="O188" s="15"/>
      <c r="P188" s="16" t="s">
        <v>303</v>
      </c>
      <c r="Q188" s="17">
        <v>15799</v>
      </c>
      <c r="R188" s="18">
        <v>83.81</v>
      </c>
      <c r="S188" s="19">
        <v>2941.4354999999996</v>
      </c>
      <c r="T188" s="20" t="s">
        <v>75</v>
      </c>
      <c r="U188" s="21" t="s">
        <v>47</v>
      </c>
      <c r="V188" s="25" t="s">
        <v>48</v>
      </c>
      <c r="W188" s="22">
        <v>1</v>
      </c>
      <c r="X188" s="23"/>
    </row>
    <row r="189" spans="1:24" s="1" customFormat="1" ht="17" customHeight="1" x14ac:dyDescent="0.3">
      <c r="A189" s="24" t="s">
        <v>23</v>
      </c>
      <c r="B189" s="24" t="s">
        <v>300</v>
      </c>
      <c r="C189" s="12" t="s">
        <v>301</v>
      </c>
      <c r="D189" s="58"/>
      <c r="E189" s="43" t="str">
        <f t="shared" si="10"/>
        <v>Еще фото</v>
      </c>
      <c r="F189" s="14"/>
      <c r="G189" s="24" t="s">
        <v>237</v>
      </c>
      <c r="H189" s="24" t="s">
        <v>27</v>
      </c>
      <c r="I189" s="24" t="s">
        <v>237</v>
      </c>
      <c r="J189" s="15" t="s">
        <v>37</v>
      </c>
      <c r="K189" s="16" t="s">
        <v>29</v>
      </c>
      <c r="L189" s="61"/>
      <c r="M189" s="15"/>
      <c r="N189" s="15" t="s">
        <v>130</v>
      </c>
      <c r="O189" s="15"/>
      <c r="P189" s="16" t="s">
        <v>303</v>
      </c>
      <c r="Q189" s="17">
        <v>15799</v>
      </c>
      <c r="R189" s="18">
        <v>83.81</v>
      </c>
      <c r="S189" s="19">
        <v>2941.4354999999996</v>
      </c>
      <c r="T189" s="20" t="s">
        <v>75</v>
      </c>
      <c r="U189" s="21" t="s">
        <v>49</v>
      </c>
      <c r="V189" s="25" t="s">
        <v>48</v>
      </c>
      <c r="W189" s="22">
        <v>1</v>
      </c>
      <c r="X189" s="23"/>
    </row>
    <row r="190" spans="1:24" s="1" customFormat="1" ht="17" customHeight="1" x14ac:dyDescent="0.3">
      <c r="A190" s="24" t="s">
        <v>23</v>
      </c>
      <c r="B190" s="24" t="s">
        <v>300</v>
      </c>
      <c r="C190" s="12" t="s">
        <v>301</v>
      </c>
      <c r="D190" s="58"/>
      <c r="E190" s="43" t="str">
        <f t="shared" si="10"/>
        <v>Еще фото</v>
      </c>
      <c r="F190" s="14"/>
      <c r="G190" s="24" t="s">
        <v>237</v>
      </c>
      <c r="H190" s="24" t="s">
        <v>27</v>
      </c>
      <c r="I190" s="24" t="s">
        <v>237</v>
      </c>
      <c r="J190" s="15" t="s">
        <v>37</v>
      </c>
      <c r="K190" s="16" t="s">
        <v>29</v>
      </c>
      <c r="L190" s="61"/>
      <c r="M190" s="15"/>
      <c r="N190" s="15" t="s">
        <v>130</v>
      </c>
      <c r="O190" s="15"/>
      <c r="P190" s="16" t="s">
        <v>303</v>
      </c>
      <c r="Q190" s="17">
        <v>15799</v>
      </c>
      <c r="R190" s="18">
        <v>83.81</v>
      </c>
      <c r="S190" s="19">
        <v>2941.4354999999996</v>
      </c>
      <c r="T190" s="20" t="s">
        <v>75</v>
      </c>
      <c r="U190" s="21" t="s">
        <v>51</v>
      </c>
      <c r="V190" s="22">
        <v>44</v>
      </c>
      <c r="W190" s="22">
        <v>2</v>
      </c>
      <c r="X190" s="23"/>
    </row>
    <row r="191" spans="1:24" s="1" customFormat="1" ht="22.05" customHeight="1" x14ac:dyDescent="0.3">
      <c r="A191" s="24" t="s">
        <v>23</v>
      </c>
      <c r="B191" s="24" t="s">
        <v>300</v>
      </c>
      <c r="C191" s="12" t="s">
        <v>301</v>
      </c>
      <c r="D191" s="59"/>
      <c r="E191" s="43" t="str">
        <f t="shared" si="10"/>
        <v>Еще фото</v>
      </c>
      <c r="F191" s="14"/>
      <c r="G191" s="24" t="s">
        <v>237</v>
      </c>
      <c r="H191" s="24" t="s">
        <v>27</v>
      </c>
      <c r="I191" s="24" t="s">
        <v>237</v>
      </c>
      <c r="J191" s="15" t="s">
        <v>37</v>
      </c>
      <c r="K191" s="16" t="s">
        <v>29</v>
      </c>
      <c r="L191" s="62"/>
      <c r="M191" s="15"/>
      <c r="N191" s="15" t="s">
        <v>130</v>
      </c>
      <c r="O191" s="15"/>
      <c r="P191" s="16" t="s">
        <v>303</v>
      </c>
      <c r="Q191" s="17">
        <v>15799</v>
      </c>
      <c r="R191" s="18">
        <v>83.81</v>
      </c>
      <c r="S191" s="19">
        <v>2941.4354999999996</v>
      </c>
      <c r="T191" s="20" t="s">
        <v>75</v>
      </c>
      <c r="U191" s="21" t="s">
        <v>230</v>
      </c>
      <c r="V191" s="22">
        <v>46</v>
      </c>
      <c r="W191" s="22">
        <v>1</v>
      </c>
      <c r="X191" s="23"/>
    </row>
    <row r="192" spans="1:24" s="1" customFormat="1" ht="52.05" customHeight="1" x14ac:dyDescent="0.3">
      <c r="A192" s="11" t="s">
        <v>23</v>
      </c>
      <c r="B192" s="11" t="s">
        <v>256</v>
      </c>
      <c r="C192" s="12" t="s">
        <v>304</v>
      </c>
      <c r="D192" s="63"/>
      <c r="E192" s="43" t="str">
        <f>HYPERLINK("https://www.google.ru/search?q=18881-0015-1&amp;newwindow=1&amp;tbm=isch","Еще фото")</f>
        <v>Еще фото</v>
      </c>
      <c r="F192" s="14"/>
      <c r="G192" s="11" t="s">
        <v>237</v>
      </c>
      <c r="H192" s="11" t="s">
        <v>27</v>
      </c>
      <c r="I192" s="15" t="s">
        <v>237</v>
      </c>
      <c r="J192" s="15" t="s">
        <v>37</v>
      </c>
      <c r="K192" s="16" t="s">
        <v>29</v>
      </c>
      <c r="L192" s="60" t="s">
        <v>258</v>
      </c>
      <c r="M192" s="15"/>
      <c r="N192" s="15" t="s">
        <v>130</v>
      </c>
      <c r="O192" s="15"/>
      <c r="P192" s="16" t="s">
        <v>242</v>
      </c>
      <c r="Q192" s="17">
        <v>5499</v>
      </c>
      <c r="R192" s="18">
        <v>83.49</v>
      </c>
      <c r="S192" s="32">
        <v>1043.9354999999998</v>
      </c>
      <c r="T192" s="20" t="s">
        <v>75</v>
      </c>
      <c r="U192" s="21" t="s">
        <v>42</v>
      </c>
      <c r="V192" s="22">
        <v>40</v>
      </c>
      <c r="W192" s="22">
        <v>26</v>
      </c>
      <c r="X192" s="23"/>
    </row>
    <row r="193" spans="1:24" s="1" customFormat="1" ht="61.05" customHeight="1" x14ac:dyDescent="0.3">
      <c r="A193" s="24" t="s">
        <v>23</v>
      </c>
      <c r="B193" s="24" t="s">
        <v>256</v>
      </c>
      <c r="C193" s="12" t="s">
        <v>304</v>
      </c>
      <c r="D193" s="64"/>
      <c r="E193" s="43" t="str">
        <f>HYPERLINK("https://www.google.ru/search?q=18881-0015-1&amp;newwindow=1&amp;tbm=isch","Еще фото")</f>
        <v>Еще фото</v>
      </c>
      <c r="F193" s="14"/>
      <c r="G193" s="24" t="s">
        <v>237</v>
      </c>
      <c r="H193" s="24" t="s">
        <v>27</v>
      </c>
      <c r="I193" s="24" t="s">
        <v>237</v>
      </c>
      <c r="J193" s="15" t="s">
        <v>37</v>
      </c>
      <c r="K193" s="16" t="s">
        <v>29</v>
      </c>
      <c r="L193" s="62"/>
      <c r="M193" s="15"/>
      <c r="N193" s="15" t="s">
        <v>130</v>
      </c>
      <c r="O193" s="15"/>
      <c r="P193" s="16" t="s">
        <v>242</v>
      </c>
      <c r="Q193" s="17">
        <v>5499</v>
      </c>
      <c r="R193" s="18">
        <v>83.49</v>
      </c>
      <c r="S193" s="32">
        <v>1043.9354999999998</v>
      </c>
      <c r="T193" s="20" t="s">
        <v>75</v>
      </c>
      <c r="U193" s="21" t="s">
        <v>43</v>
      </c>
      <c r="V193" s="25" t="s">
        <v>44</v>
      </c>
      <c r="W193" s="22">
        <v>8</v>
      </c>
      <c r="X193" s="23"/>
    </row>
    <row r="194" spans="1:24" s="1" customFormat="1" ht="26" customHeight="1" x14ac:dyDescent="0.3">
      <c r="A194" s="11" t="s">
        <v>23</v>
      </c>
      <c r="B194" s="11" t="s">
        <v>305</v>
      </c>
      <c r="C194" s="12" t="s">
        <v>306</v>
      </c>
      <c r="D194" s="57"/>
      <c r="E194" s="43" t="str">
        <f>HYPERLINK("https://www.google.ru/search?q=18883-0006&amp;newwindow=1&amp;tbm=isch","Еще фото")</f>
        <v>Еще фото</v>
      </c>
      <c r="F194" s="14"/>
      <c r="G194" s="11" t="s">
        <v>237</v>
      </c>
      <c r="H194" s="11" t="s">
        <v>27</v>
      </c>
      <c r="I194" s="15" t="s">
        <v>237</v>
      </c>
      <c r="J194" s="15" t="s">
        <v>28</v>
      </c>
      <c r="K194" s="16" t="s">
        <v>29</v>
      </c>
      <c r="L194" s="60" t="s">
        <v>307</v>
      </c>
      <c r="M194" s="15" t="s">
        <v>72</v>
      </c>
      <c r="N194" s="15" t="s">
        <v>39</v>
      </c>
      <c r="O194" s="15" t="s">
        <v>308</v>
      </c>
      <c r="P194" s="16" t="s">
        <v>284</v>
      </c>
      <c r="Q194" s="17">
        <v>16399</v>
      </c>
      <c r="R194" s="18">
        <v>79.16</v>
      </c>
      <c r="S194" s="19">
        <v>3930.4354999999996</v>
      </c>
      <c r="T194" s="20" t="s">
        <v>75</v>
      </c>
      <c r="U194" s="21" t="s">
        <v>298</v>
      </c>
      <c r="V194" s="22">
        <v>38</v>
      </c>
      <c r="W194" s="22">
        <v>21</v>
      </c>
      <c r="X194" s="23"/>
    </row>
    <row r="195" spans="1:24" s="1" customFormat="1" ht="26" customHeight="1" x14ac:dyDescent="0.3">
      <c r="A195" s="24" t="s">
        <v>23</v>
      </c>
      <c r="B195" s="24" t="s">
        <v>305</v>
      </c>
      <c r="C195" s="12" t="s">
        <v>306</v>
      </c>
      <c r="D195" s="58"/>
      <c r="E195" s="43" t="str">
        <f>HYPERLINK("https://www.google.ru/search?q=18883-0006&amp;newwindow=1&amp;tbm=isch","Еще фото")</f>
        <v>Еще фото</v>
      </c>
      <c r="F195" s="14"/>
      <c r="G195" s="24" t="s">
        <v>237</v>
      </c>
      <c r="H195" s="24" t="s">
        <v>27</v>
      </c>
      <c r="I195" s="24" t="s">
        <v>237</v>
      </c>
      <c r="J195" s="15" t="s">
        <v>28</v>
      </c>
      <c r="K195" s="16" t="s">
        <v>29</v>
      </c>
      <c r="L195" s="61"/>
      <c r="M195" s="15" t="s">
        <v>72</v>
      </c>
      <c r="N195" s="15" t="s">
        <v>39</v>
      </c>
      <c r="O195" s="15" t="s">
        <v>308</v>
      </c>
      <c r="P195" s="16" t="s">
        <v>284</v>
      </c>
      <c r="Q195" s="17">
        <v>16399</v>
      </c>
      <c r="R195" s="18">
        <v>79.16</v>
      </c>
      <c r="S195" s="19">
        <v>3930.4354999999996</v>
      </c>
      <c r="T195" s="20" t="s">
        <v>75</v>
      </c>
      <c r="U195" s="21" t="s">
        <v>299</v>
      </c>
      <c r="V195" s="22">
        <v>38</v>
      </c>
      <c r="W195" s="22">
        <v>2</v>
      </c>
      <c r="X195" s="23"/>
    </row>
    <row r="196" spans="1:24" s="1" customFormat="1" ht="26" customHeight="1" x14ac:dyDescent="0.3">
      <c r="A196" s="24" t="s">
        <v>23</v>
      </c>
      <c r="B196" s="24" t="s">
        <v>305</v>
      </c>
      <c r="C196" s="12" t="s">
        <v>306</v>
      </c>
      <c r="D196" s="58"/>
      <c r="E196" s="43" t="str">
        <f>HYPERLINK("https://www.google.ru/search?q=18883-0006&amp;newwindow=1&amp;tbm=isch","Еще фото")</f>
        <v>Еще фото</v>
      </c>
      <c r="F196" s="14"/>
      <c r="G196" s="24" t="s">
        <v>237</v>
      </c>
      <c r="H196" s="24" t="s">
        <v>27</v>
      </c>
      <c r="I196" s="24" t="s">
        <v>237</v>
      </c>
      <c r="J196" s="15" t="s">
        <v>28</v>
      </c>
      <c r="K196" s="16" t="s">
        <v>29</v>
      </c>
      <c r="L196" s="61"/>
      <c r="M196" s="15" t="s">
        <v>72</v>
      </c>
      <c r="N196" s="15" t="s">
        <v>39</v>
      </c>
      <c r="O196" s="15" t="s">
        <v>308</v>
      </c>
      <c r="P196" s="16" t="s">
        <v>284</v>
      </c>
      <c r="Q196" s="17">
        <v>16399</v>
      </c>
      <c r="R196" s="18">
        <v>79.16</v>
      </c>
      <c r="S196" s="19">
        <v>3930.4354999999996</v>
      </c>
      <c r="T196" s="20" t="s">
        <v>75</v>
      </c>
      <c r="U196" s="21" t="s">
        <v>76</v>
      </c>
      <c r="V196" s="22">
        <v>40</v>
      </c>
      <c r="W196" s="22">
        <v>10</v>
      </c>
      <c r="X196" s="23"/>
    </row>
    <row r="197" spans="1:24" s="1" customFormat="1" ht="26" customHeight="1" x14ac:dyDescent="0.3">
      <c r="A197" s="24" t="s">
        <v>23</v>
      </c>
      <c r="B197" s="24" t="s">
        <v>305</v>
      </c>
      <c r="C197" s="12" t="s">
        <v>306</v>
      </c>
      <c r="D197" s="59"/>
      <c r="E197" s="43" t="str">
        <f>HYPERLINK("https://www.google.ru/search?q=18883-0006&amp;newwindow=1&amp;tbm=isch","Еще фото")</f>
        <v>Еще фото</v>
      </c>
      <c r="F197" s="14"/>
      <c r="G197" s="24" t="s">
        <v>237</v>
      </c>
      <c r="H197" s="24" t="s">
        <v>27</v>
      </c>
      <c r="I197" s="24" t="s">
        <v>237</v>
      </c>
      <c r="J197" s="15" t="s">
        <v>28</v>
      </c>
      <c r="K197" s="16" t="s">
        <v>29</v>
      </c>
      <c r="L197" s="62"/>
      <c r="M197" s="15" t="s">
        <v>72</v>
      </c>
      <c r="N197" s="15" t="s">
        <v>39</v>
      </c>
      <c r="O197" s="15" t="s">
        <v>308</v>
      </c>
      <c r="P197" s="16" t="s">
        <v>284</v>
      </c>
      <c r="Q197" s="17">
        <v>16399</v>
      </c>
      <c r="R197" s="18">
        <v>79.16</v>
      </c>
      <c r="S197" s="19">
        <v>3930.4354999999996</v>
      </c>
      <c r="T197" s="20" t="s">
        <v>75</v>
      </c>
      <c r="U197" s="21" t="s">
        <v>255</v>
      </c>
      <c r="V197" s="22">
        <v>40</v>
      </c>
      <c r="W197" s="22">
        <v>8</v>
      </c>
      <c r="X197" s="23"/>
    </row>
    <row r="198" spans="1:24" s="1" customFormat="1" ht="11" customHeight="1" x14ac:dyDescent="0.3">
      <c r="A198" s="11" t="s">
        <v>23</v>
      </c>
      <c r="B198" s="11" t="s">
        <v>309</v>
      </c>
      <c r="C198" s="12" t="s">
        <v>310</v>
      </c>
      <c r="D198" s="57"/>
      <c r="E198" s="43" t="str">
        <f t="shared" ref="E198:E207" si="11">HYPERLINK("https://www.google.ru/search?q=18881-0025&amp;newwindow=1&amp;tbm=isch","Еще фото")</f>
        <v>Еще фото</v>
      </c>
      <c r="F198" s="14"/>
      <c r="G198" s="11" t="s">
        <v>237</v>
      </c>
      <c r="H198" s="11" t="s">
        <v>27</v>
      </c>
      <c r="I198" s="15" t="s">
        <v>237</v>
      </c>
      <c r="J198" s="15" t="s">
        <v>28</v>
      </c>
      <c r="K198" s="16" t="s">
        <v>29</v>
      </c>
      <c r="L198" s="60" t="s">
        <v>258</v>
      </c>
      <c r="M198" s="15" t="s">
        <v>72</v>
      </c>
      <c r="N198" s="15" t="s">
        <v>130</v>
      </c>
      <c r="O198" s="15"/>
      <c r="P198" s="16" t="s">
        <v>284</v>
      </c>
      <c r="Q198" s="17">
        <v>12999</v>
      </c>
      <c r="R198" s="18">
        <v>76.94</v>
      </c>
      <c r="S198" s="19">
        <v>3447.4354999999996</v>
      </c>
      <c r="T198" s="20" t="s">
        <v>41</v>
      </c>
      <c r="U198" s="21" t="s">
        <v>285</v>
      </c>
      <c r="V198" s="22">
        <v>38</v>
      </c>
      <c r="W198" s="22">
        <v>3</v>
      </c>
      <c r="X198" s="23"/>
    </row>
    <row r="199" spans="1:24" s="1" customFormat="1" ht="11" customHeight="1" x14ac:dyDescent="0.3">
      <c r="A199" s="24" t="s">
        <v>23</v>
      </c>
      <c r="B199" s="24" t="s">
        <v>309</v>
      </c>
      <c r="C199" s="12" t="s">
        <v>310</v>
      </c>
      <c r="D199" s="58"/>
      <c r="E199" s="43" t="str">
        <f t="shared" si="11"/>
        <v>Еще фото</v>
      </c>
      <c r="F199" s="14"/>
      <c r="G199" s="24" t="s">
        <v>237</v>
      </c>
      <c r="H199" s="24" t="s">
        <v>27</v>
      </c>
      <c r="I199" s="24" t="s">
        <v>237</v>
      </c>
      <c r="J199" s="15" t="s">
        <v>28</v>
      </c>
      <c r="K199" s="16" t="s">
        <v>29</v>
      </c>
      <c r="L199" s="61"/>
      <c r="M199" s="15" t="s">
        <v>72</v>
      </c>
      <c r="N199" s="15" t="s">
        <v>130</v>
      </c>
      <c r="O199" s="15"/>
      <c r="P199" s="16" t="s">
        <v>284</v>
      </c>
      <c r="Q199" s="17">
        <v>12999</v>
      </c>
      <c r="R199" s="18">
        <v>76.94</v>
      </c>
      <c r="S199" s="19">
        <v>3447.4354999999996</v>
      </c>
      <c r="T199" s="20" t="s">
        <v>41</v>
      </c>
      <c r="U199" s="21" t="s">
        <v>42</v>
      </c>
      <c r="V199" s="22">
        <v>40</v>
      </c>
      <c r="W199" s="22">
        <v>1</v>
      </c>
      <c r="X199" s="23"/>
    </row>
    <row r="200" spans="1:24" s="1" customFormat="1" ht="11" customHeight="1" x14ac:dyDescent="0.3">
      <c r="A200" s="24" t="s">
        <v>23</v>
      </c>
      <c r="B200" s="24" t="s">
        <v>309</v>
      </c>
      <c r="C200" s="12" t="s">
        <v>310</v>
      </c>
      <c r="D200" s="58"/>
      <c r="E200" s="43" t="str">
        <f t="shared" si="11"/>
        <v>Еще фото</v>
      </c>
      <c r="F200" s="14"/>
      <c r="G200" s="24" t="s">
        <v>237</v>
      </c>
      <c r="H200" s="24" t="s">
        <v>27</v>
      </c>
      <c r="I200" s="24" t="s">
        <v>237</v>
      </c>
      <c r="J200" s="15" t="s">
        <v>28</v>
      </c>
      <c r="K200" s="16" t="s">
        <v>29</v>
      </c>
      <c r="L200" s="61"/>
      <c r="M200" s="15" t="s">
        <v>72</v>
      </c>
      <c r="N200" s="15" t="s">
        <v>130</v>
      </c>
      <c r="O200" s="15"/>
      <c r="P200" s="16" t="s">
        <v>284</v>
      </c>
      <c r="Q200" s="17">
        <v>12999</v>
      </c>
      <c r="R200" s="18">
        <v>76.94</v>
      </c>
      <c r="S200" s="19">
        <v>3447.4354999999996</v>
      </c>
      <c r="T200" s="20" t="s">
        <v>41</v>
      </c>
      <c r="U200" s="21" t="s">
        <v>255</v>
      </c>
      <c r="V200" s="22">
        <v>40</v>
      </c>
      <c r="W200" s="22">
        <v>23</v>
      </c>
      <c r="X200" s="23"/>
    </row>
    <row r="201" spans="1:24" s="1" customFormat="1" ht="11" customHeight="1" x14ac:dyDescent="0.3">
      <c r="A201" s="24" t="s">
        <v>23</v>
      </c>
      <c r="B201" s="24" t="s">
        <v>309</v>
      </c>
      <c r="C201" s="12" t="s">
        <v>310</v>
      </c>
      <c r="D201" s="58"/>
      <c r="E201" s="43" t="str">
        <f t="shared" si="11"/>
        <v>Еще фото</v>
      </c>
      <c r="F201" s="14"/>
      <c r="G201" s="24" t="s">
        <v>237</v>
      </c>
      <c r="H201" s="24" t="s">
        <v>27</v>
      </c>
      <c r="I201" s="24" t="s">
        <v>237</v>
      </c>
      <c r="J201" s="15" t="s">
        <v>28</v>
      </c>
      <c r="K201" s="16" t="s">
        <v>29</v>
      </c>
      <c r="L201" s="61"/>
      <c r="M201" s="15" t="s">
        <v>72</v>
      </c>
      <c r="N201" s="15" t="s">
        <v>130</v>
      </c>
      <c r="O201" s="15"/>
      <c r="P201" s="16" t="s">
        <v>284</v>
      </c>
      <c r="Q201" s="17">
        <v>12999</v>
      </c>
      <c r="R201" s="18">
        <v>76.94</v>
      </c>
      <c r="S201" s="19">
        <v>3447.4354999999996</v>
      </c>
      <c r="T201" s="20" t="s">
        <v>41</v>
      </c>
      <c r="U201" s="21" t="s">
        <v>311</v>
      </c>
      <c r="V201" s="25" t="s">
        <v>44</v>
      </c>
      <c r="W201" s="22">
        <v>6</v>
      </c>
      <c r="X201" s="23"/>
    </row>
    <row r="202" spans="1:24" s="1" customFormat="1" ht="11" customHeight="1" x14ac:dyDescent="0.3">
      <c r="A202" s="24" t="s">
        <v>23</v>
      </c>
      <c r="B202" s="24" t="s">
        <v>309</v>
      </c>
      <c r="C202" s="12" t="s">
        <v>310</v>
      </c>
      <c r="D202" s="58"/>
      <c r="E202" s="43" t="str">
        <f t="shared" si="11"/>
        <v>Еще фото</v>
      </c>
      <c r="F202" s="14"/>
      <c r="G202" s="24" t="s">
        <v>237</v>
      </c>
      <c r="H202" s="24" t="s">
        <v>27</v>
      </c>
      <c r="I202" s="24" t="s">
        <v>237</v>
      </c>
      <c r="J202" s="15" t="s">
        <v>28</v>
      </c>
      <c r="K202" s="16" t="s">
        <v>29</v>
      </c>
      <c r="L202" s="61"/>
      <c r="M202" s="15" t="s">
        <v>72</v>
      </c>
      <c r="N202" s="15" t="s">
        <v>130</v>
      </c>
      <c r="O202" s="15"/>
      <c r="P202" s="16" t="s">
        <v>284</v>
      </c>
      <c r="Q202" s="17">
        <v>12999</v>
      </c>
      <c r="R202" s="18">
        <v>76.94</v>
      </c>
      <c r="S202" s="19">
        <v>3447.4354999999996</v>
      </c>
      <c r="T202" s="20" t="s">
        <v>41</v>
      </c>
      <c r="U202" s="21" t="s">
        <v>45</v>
      </c>
      <c r="V202" s="25" t="s">
        <v>44</v>
      </c>
      <c r="W202" s="22">
        <v>13</v>
      </c>
      <c r="X202" s="23"/>
    </row>
    <row r="203" spans="1:24" s="1" customFormat="1" ht="11" customHeight="1" x14ac:dyDescent="0.3">
      <c r="A203" s="24" t="s">
        <v>23</v>
      </c>
      <c r="B203" s="24" t="s">
        <v>309</v>
      </c>
      <c r="C203" s="12" t="s">
        <v>310</v>
      </c>
      <c r="D203" s="58"/>
      <c r="E203" s="43" t="str">
        <f t="shared" si="11"/>
        <v>Еще фото</v>
      </c>
      <c r="F203" s="14"/>
      <c r="G203" s="24" t="s">
        <v>237</v>
      </c>
      <c r="H203" s="24" t="s">
        <v>27</v>
      </c>
      <c r="I203" s="24" t="s">
        <v>237</v>
      </c>
      <c r="J203" s="15" t="s">
        <v>28</v>
      </c>
      <c r="K203" s="16" t="s">
        <v>29</v>
      </c>
      <c r="L203" s="61"/>
      <c r="M203" s="15" t="s">
        <v>72</v>
      </c>
      <c r="N203" s="15" t="s">
        <v>130</v>
      </c>
      <c r="O203" s="15"/>
      <c r="P203" s="16" t="s">
        <v>284</v>
      </c>
      <c r="Q203" s="17">
        <v>12999</v>
      </c>
      <c r="R203" s="18">
        <v>76.94</v>
      </c>
      <c r="S203" s="19">
        <v>3447.4354999999996</v>
      </c>
      <c r="T203" s="20" t="s">
        <v>41</v>
      </c>
      <c r="U203" s="21" t="s">
        <v>293</v>
      </c>
      <c r="V203" s="25" t="s">
        <v>44</v>
      </c>
      <c r="W203" s="22">
        <v>15</v>
      </c>
      <c r="X203" s="23"/>
    </row>
    <row r="204" spans="1:24" s="1" customFormat="1" ht="11" customHeight="1" x14ac:dyDescent="0.3">
      <c r="A204" s="24" t="s">
        <v>23</v>
      </c>
      <c r="B204" s="24" t="s">
        <v>309</v>
      </c>
      <c r="C204" s="12" t="s">
        <v>310</v>
      </c>
      <c r="D204" s="58"/>
      <c r="E204" s="43" t="str">
        <f t="shared" si="11"/>
        <v>Еще фото</v>
      </c>
      <c r="F204" s="14"/>
      <c r="G204" s="24" t="s">
        <v>237</v>
      </c>
      <c r="H204" s="24" t="s">
        <v>27</v>
      </c>
      <c r="I204" s="24" t="s">
        <v>237</v>
      </c>
      <c r="J204" s="15" t="s">
        <v>28</v>
      </c>
      <c r="K204" s="16" t="s">
        <v>29</v>
      </c>
      <c r="L204" s="61"/>
      <c r="M204" s="15" t="s">
        <v>72</v>
      </c>
      <c r="N204" s="15" t="s">
        <v>130</v>
      </c>
      <c r="O204" s="15"/>
      <c r="P204" s="16" t="s">
        <v>284</v>
      </c>
      <c r="Q204" s="17">
        <v>12999</v>
      </c>
      <c r="R204" s="18">
        <v>76.94</v>
      </c>
      <c r="S204" s="19">
        <v>3447.4354999999996</v>
      </c>
      <c r="T204" s="20" t="s">
        <v>41</v>
      </c>
      <c r="U204" s="21" t="s">
        <v>312</v>
      </c>
      <c r="V204" s="22">
        <v>42</v>
      </c>
      <c r="W204" s="22">
        <v>7</v>
      </c>
      <c r="X204" s="23"/>
    </row>
    <row r="205" spans="1:24" s="1" customFormat="1" ht="11" customHeight="1" x14ac:dyDescent="0.3">
      <c r="A205" s="24" t="s">
        <v>23</v>
      </c>
      <c r="B205" s="24" t="s">
        <v>309</v>
      </c>
      <c r="C205" s="12" t="s">
        <v>310</v>
      </c>
      <c r="D205" s="58"/>
      <c r="E205" s="43" t="str">
        <f t="shared" si="11"/>
        <v>Еще фото</v>
      </c>
      <c r="F205" s="14"/>
      <c r="G205" s="24" t="s">
        <v>237</v>
      </c>
      <c r="H205" s="24" t="s">
        <v>27</v>
      </c>
      <c r="I205" s="24" t="s">
        <v>237</v>
      </c>
      <c r="J205" s="15" t="s">
        <v>28</v>
      </c>
      <c r="K205" s="16" t="s">
        <v>29</v>
      </c>
      <c r="L205" s="61"/>
      <c r="M205" s="15" t="s">
        <v>72</v>
      </c>
      <c r="N205" s="15" t="s">
        <v>130</v>
      </c>
      <c r="O205" s="15"/>
      <c r="P205" s="16" t="s">
        <v>284</v>
      </c>
      <c r="Q205" s="17">
        <v>12999</v>
      </c>
      <c r="R205" s="18">
        <v>76.94</v>
      </c>
      <c r="S205" s="19">
        <v>3447.4354999999996</v>
      </c>
      <c r="T205" s="20" t="s">
        <v>41</v>
      </c>
      <c r="U205" s="21" t="s">
        <v>49</v>
      </c>
      <c r="V205" s="25" t="s">
        <v>48</v>
      </c>
      <c r="W205" s="22">
        <v>1</v>
      </c>
      <c r="X205" s="23"/>
    </row>
    <row r="206" spans="1:24" s="1" customFormat="1" ht="11" customHeight="1" x14ac:dyDescent="0.3">
      <c r="A206" s="24" t="s">
        <v>23</v>
      </c>
      <c r="B206" s="24" t="s">
        <v>309</v>
      </c>
      <c r="C206" s="12" t="s">
        <v>310</v>
      </c>
      <c r="D206" s="58"/>
      <c r="E206" s="43" t="str">
        <f t="shared" si="11"/>
        <v>Еще фото</v>
      </c>
      <c r="F206" s="14"/>
      <c r="G206" s="24" t="s">
        <v>237</v>
      </c>
      <c r="H206" s="24" t="s">
        <v>27</v>
      </c>
      <c r="I206" s="24" t="s">
        <v>237</v>
      </c>
      <c r="J206" s="15" t="s">
        <v>28</v>
      </c>
      <c r="K206" s="16" t="s">
        <v>29</v>
      </c>
      <c r="L206" s="61"/>
      <c r="M206" s="15" t="s">
        <v>72</v>
      </c>
      <c r="N206" s="15" t="s">
        <v>130</v>
      </c>
      <c r="O206" s="15"/>
      <c r="P206" s="16" t="s">
        <v>284</v>
      </c>
      <c r="Q206" s="17">
        <v>12999</v>
      </c>
      <c r="R206" s="18">
        <v>76.94</v>
      </c>
      <c r="S206" s="19">
        <v>3447.4354999999996</v>
      </c>
      <c r="T206" s="20" t="s">
        <v>41</v>
      </c>
      <c r="U206" s="21" t="s">
        <v>313</v>
      </c>
      <c r="V206" s="22">
        <v>44</v>
      </c>
      <c r="W206" s="22">
        <v>1</v>
      </c>
      <c r="X206" s="23"/>
    </row>
    <row r="207" spans="1:24" s="1" customFormat="1" ht="11" customHeight="1" x14ac:dyDescent="0.3">
      <c r="A207" s="15" t="s">
        <v>23</v>
      </c>
      <c r="B207" s="15" t="s">
        <v>309</v>
      </c>
      <c r="C207" s="12" t="s">
        <v>310</v>
      </c>
      <c r="D207" s="59"/>
      <c r="E207" s="43" t="str">
        <f t="shared" si="11"/>
        <v>Еще фото</v>
      </c>
      <c r="F207" s="26"/>
      <c r="G207" s="15" t="s">
        <v>237</v>
      </c>
      <c r="H207" s="15" t="s">
        <v>27</v>
      </c>
      <c r="I207" s="15" t="s">
        <v>237</v>
      </c>
      <c r="J207" s="15" t="s">
        <v>28</v>
      </c>
      <c r="K207" s="15" t="s">
        <v>29</v>
      </c>
      <c r="L207" s="62"/>
      <c r="M207" s="15" t="s">
        <v>72</v>
      </c>
      <c r="N207" s="15" t="s">
        <v>130</v>
      </c>
      <c r="O207" s="15"/>
      <c r="P207" s="15" t="s">
        <v>284</v>
      </c>
      <c r="Q207" s="27">
        <v>12999</v>
      </c>
      <c r="R207" s="28">
        <v>76.94</v>
      </c>
      <c r="S207" s="29">
        <v>3447.4354999999996</v>
      </c>
      <c r="T207" s="20" t="s">
        <v>41</v>
      </c>
      <c r="U207" s="21" t="s">
        <v>314</v>
      </c>
      <c r="V207" s="22">
        <v>46</v>
      </c>
      <c r="W207" s="22">
        <v>1</v>
      </c>
      <c r="X207" s="23"/>
    </row>
    <row r="208" spans="1:24" s="1" customFormat="1" ht="52.05" customHeight="1" x14ac:dyDescent="0.3">
      <c r="A208" s="11" t="s">
        <v>23</v>
      </c>
      <c r="B208" s="11" t="s">
        <v>315</v>
      </c>
      <c r="C208" s="12" t="s">
        <v>316</v>
      </c>
      <c r="D208" s="63"/>
      <c r="E208" s="43" t="str">
        <f>HYPERLINK("https://www.google.ru/search?q=18883-0105&amp;newwindow=1&amp;tbm=isch","Еще фото")</f>
        <v>Еще фото</v>
      </c>
      <c r="F208" s="14"/>
      <c r="G208" s="11" t="s">
        <v>237</v>
      </c>
      <c r="H208" s="11" t="s">
        <v>27</v>
      </c>
      <c r="I208" s="15" t="s">
        <v>237</v>
      </c>
      <c r="J208" s="15" t="s">
        <v>28</v>
      </c>
      <c r="K208" s="16" t="s">
        <v>29</v>
      </c>
      <c r="L208" s="60" t="s">
        <v>317</v>
      </c>
      <c r="M208" s="15" t="s">
        <v>72</v>
      </c>
      <c r="N208" s="15" t="s">
        <v>130</v>
      </c>
      <c r="O208" s="15" t="s">
        <v>113</v>
      </c>
      <c r="P208" s="16" t="s">
        <v>318</v>
      </c>
      <c r="Q208" s="17">
        <v>13599</v>
      </c>
      <c r="R208" s="18">
        <v>75.459999999999994</v>
      </c>
      <c r="S208" s="19">
        <v>3838.4354999999996</v>
      </c>
      <c r="T208" s="20" t="s">
        <v>75</v>
      </c>
      <c r="U208" s="21" t="s">
        <v>298</v>
      </c>
      <c r="V208" s="22">
        <v>38</v>
      </c>
      <c r="W208" s="22">
        <v>3</v>
      </c>
      <c r="X208" s="23"/>
    </row>
    <row r="209" spans="1:24" s="1" customFormat="1" ht="61.05" customHeight="1" x14ac:dyDescent="0.3">
      <c r="A209" s="24" t="s">
        <v>23</v>
      </c>
      <c r="B209" s="24" t="s">
        <v>315</v>
      </c>
      <c r="C209" s="12" t="s">
        <v>316</v>
      </c>
      <c r="D209" s="64"/>
      <c r="E209" s="43" t="str">
        <f>HYPERLINK("https://www.google.ru/search?q=18883-0105&amp;newwindow=1&amp;tbm=isch","Еще фото")</f>
        <v>Еще фото</v>
      </c>
      <c r="F209" s="14"/>
      <c r="G209" s="24" t="s">
        <v>237</v>
      </c>
      <c r="H209" s="24" t="s">
        <v>27</v>
      </c>
      <c r="I209" s="24" t="s">
        <v>237</v>
      </c>
      <c r="J209" s="15" t="s">
        <v>28</v>
      </c>
      <c r="K209" s="16" t="s">
        <v>29</v>
      </c>
      <c r="L209" s="62"/>
      <c r="M209" s="15" t="s">
        <v>72</v>
      </c>
      <c r="N209" s="15" t="s">
        <v>130</v>
      </c>
      <c r="O209" s="15" t="s">
        <v>113</v>
      </c>
      <c r="P209" s="16" t="s">
        <v>318</v>
      </c>
      <c r="Q209" s="17">
        <v>13599</v>
      </c>
      <c r="R209" s="18">
        <v>75.459999999999994</v>
      </c>
      <c r="S209" s="19">
        <v>3838.4354999999996</v>
      </c>
      <c r="T209" s="20" t="s">
        <v>75</v>
      </c>
      <c r="U209" s="21" t="s">
        <v>299</v>
      </c>
      <c r="V209" s="22">
        <v>38</v>
      </c>
      <c r="W209" s="22">
        <v>10</v>
      </c>
      <c r="X209" s="23"/>
    </row>
    <row r="210" spans="1:24" s="1" customFormat="1" ht="26" customHeight="1" x14ac:dyDescent="0.3">
      <c r="A210" s="11" t="s">
        <v>23</v>
      </c>
      <c r="B210" s="11" t="s">
        <v>319</v>
      </c>
      <c r="C210" s="12" t="s">
        <v>320</v>
      </c>
      <c r="D210" s="57"/>
      <c r="E210" s="43" t="str">
        <f>HYPERLINK("https://www.google.ru/search?q=A4706-0001&amp;newwindow=1&amp;tbm=isch","Еще фото")</f>
        <v>Еще фото</v>
      </c>
      <c r="F210" s="14"/>
      <c r="G210" s="11" t="s">
        <v>237</v>
      </c>
      <c r="H210" s="11" t="s">
        <v>27</v>
      </c>
      <c r="I210" s="15" t="s">
        <v>237</v>
      </c>
      <c r="J210" s="15" t="s">
        <v>28</v>
      </c>
      <c r="K210" s="16" t="s">
        <v>29</v>
      </c>
      <c r="L210" s="60" t="s">
        <v>321</v>
      </c>
      <c r="M210" s="15"/>
      <c r="N210" s="15" t="s">
        <v>130</v>
      </c>
      <c r="O210" s="15"/>
      <c r="P210" s="16" t="s">
        <v>322</v>
      </c>
      <c r="Q210" s="17">
        <v>22099</v>
      </c>
      <c r="R210" s="18">
        <v>73.31</v>
      </c>
      <c r="S210" s="19">
        <v>6782.4354999999996</v>
      </c>
      <c r="T210" s="20" t="s">
        <v>75</v>
      </c>
      <c r="U210" s="21" t="s">
        <v>43</v>
      </c>
      <c r="V210" s="25" t="s">
        <v>44</v>
      </c>
      <c r="W210" s="22">
        <v>4</v>
      </c>
      <c r="X210" s="23"/>
    </row>
    <row r="211" spans="1:24" s="1" customFormat="1" ht="26" customHeight="1" x14ac:dyDescent="0.3">
      <c r="A211" s="24" t="s">
        <v>23</v>
      </c>
      <c r="B211" s="24" t="s">
        <v>319</v>
      </c>
      <c r="C211" s="12" t="s">
        <v>320</v>
      </c>
      <c r="D211" s="58"/>
      <c r="E211" s="43" t="str">
        <f>HYPERLINK("https://www.google.ru/search?q=A4706-0001&amp;newwindow=1&amp;tbm=isch","Еще фото")</f>
        <v>Еще фото</v>
      </c>
      <c r="F211" s="14"/>
      <c r="G211" s="24" t="s">
        <v>237</v>
      </c>
      <c r="H211" s="24" t="s">
        <v>27</v>
      </c>
      <c r="I211" s="24" t="s">
        <v>237</v>
      </c>
      <c r="J211" s="15" t="s">
        <v>28</v>
      </c>
      <c r="K211" s="16" t="s">
        <v>29</v>
      </c>
      <c r="L211" s="61"/>
      <c r="M211" s="15"/>
      <c r="N211" s="15" t="s">
        <v>130</v>
      </c>
      <c r="O211" s="15"/>
      <c r="P211" s="16" t="s">
        <v>322</v>
      </c>
      <c r="Q211" s="17">
        <v>22099</v>
      </c>
      <c r="R211" s="18">
        <v>73.31</v>
      </c>
      <c r="S211" s="19">
        <v>6782.4354999999996</v>
      </c>
      <c r="T211" s="20" t="s">
        <v>75</v>
      </c>
      <c r="U211" s="21" t="s">
        <v>158</v>
      </c>
      <c r="V211" s="22">
        <v>42</v>
      </c>
      <c r="W211" s="22">
        <v>1</v>
      </c>
      <c r="X211" s="23"/>
    </row>
    <row r="212" spans="1:24" s="1" customFormat="1" ht="26" customHeight="1" x14ac:dyDescent="0.3">
      <c r="A212" s="24" t="s">
        <v>23</v>
      </c>
      <c r="B212" s="24" t="s">
        <v>319</v>
      </c>
      <c r="C212" s="12" t="s">
        <v>320</v>
      </c>
      <c r="D212" s="58"/>
      <c r="E212" s="43" t="str">
        <f>HYPERLINK("https://www.google.ru/search?q=A4706-0001&amp;newwindow=1&amp;tbm=isch","Еще фото")</f>
        <v>Еще фото</v>
      </c>
      <c r="F212" s="14"/>
      <c r="G212" s="24" t="s">
        <v>237</v>
      </c>
      <c r="H212" s="24" t="s">
        <v>27</v>
      </c>
      <c r="I212" s="24" t="s">
        <v>237</v>
      </c>
      <c r="J212" s="15" t="s">
        <v>28</v>
      </c>
      <c r="K212" s="16" t="s">
        <v>29</v>
      </c>
      <c r="L212" s="61"/>
      <c r="M212" s="15"/>
      <c r="N212" s="15" t="s">
        <v>130</v>
      </c>
      <c r="O212" s="15"/>
      <c r="P212" s="16" t="s">
        <v>322</v>
      </c>
      <c r="Q212" s="17">
        <v>22099</v>
      </c>
      <c r="R212" s="18">
        <v>73.31</v>
      </c>
      <c r="S212" s="19">
        <v>6782.4354999999996</v>
      </c>
      <c r="T212" s="20" t="s">
        <v>75</v>
      </c>
      <c r="U212" s="21" t="s">
        <v>51</v>
      </c>
      <c r="V212" s="22">
        <v>44</v>
      </c>
      <c r="W212" s="22">
        <v>2</v>
      </c>
      <c r="X212" s="23"/>
    </row>
    <row r="213" spans="1:24" s="1" customFormat="1" ht="26" customHeight="1" x14ac:dyDescent="0.3">
      <c r="A213" s="24" t="s">
        <v>23</v>
      </c>
      <c r="B213" s="24" t="s">
        <v>319</v>
      </c>
      <c r="C213" s="12" t="s">
        <v>320</v>
      </c>
      <c r="D213" s="59"/>
      <c r="E213" s="43" t="str">
        <f>HYPERLINK("https://www.google.ru/search?q=A4706-0001&amp;newwindow=1&amp;tbm=isch","Еще фото")</f>
        <v>Еще фото</v>
      </c>
      <c r="F213" s="14"/>
      <c r="G213" s="24" t="s">
        <v>237</v>
      </c>
      <c r="H213" s="24" t="s">
        <v>27</v>
      </c>
      <c r="I213" s="24" t="s">
        <v>237</v>
      </c>
      <c r="J213" s="15" t="s">
        <v>28</v>
      </c>
      <c r="K213" s="16" t="s">
        <v>29</v>
      </c>
      <c r="L213" s="62"/>
      <c r="M213" s="15"/>
      <c r="N213" s="15" t="s">
        <v>130</v>
      </c>
      <c r="O213" s="15"/>
      <c r="P213" s="16" t="s">
        <v>322</v>
      </c>
      <c r="Q213" s="17">
        <v>22099</v>
      </c>
      <c r="R213" s="18">
        <v>73.31</v>
      </c>
      <c r="S213" s="19">
        <v>6782.4354999999996</v>
      </c>
      <c r="T213" s="20" t="s">
        <v>75</v>
      </c>
      <c r="U213" s="21" t="s">
        <v>173</v>
      </c>
      <c r="V213" s="22">
        <v>46</v>
      </c>
      <c r="W213" s="22">
        <v>1</v>
      </c>
      <c r="X213" s="23"/>
    </row>
    <row r="214" spans="1:24" s="1" customFormat="1" ht="52.05" customHeight="1" x14ac:dyDescent="0.3">
      <c r="A214" s="11" t="s">
        <v>23</v>
      </c>
      <c r="B214" s="11" t="s">
        <v>323</v>
      </c>
      <c r="C214" s="12" t="s">
        <v>324</v>
      </c>
      <c r="D214" s="63"/>
      <c r="E214" s="43" t="str">
        <f>HYPERLINK("https://www.google.ru/search?q=18882-0354&amp;newwindow=1&amp;tbm=isch","Еще фото")</f>
        <v>Еще фото</v>
      </c>
      <c r="F214" s="14"/>
      <c r="G214" s="11" t="s">
        <v>237</v>
      </c>
      <c r="H214" s="11" t="s">
        <v>27</v>
      </c>
      <c r="I214" s="15" t="s">
        <v>237</v>
      </c>
      <c r="J214" s="15" t="s">
        <v>37</v>
      </c>
      <c r="K214" s="16" t="s">
        <v>29</v>
      </c>
      <c r="L214" s="60" t="s">
        <v>325</v>
      </c>
      <c r="M214" s="15" t="s">
        <v>72</v>
      </c>
      <c r="N214" s="15" t="s">
        <v>87</v>
      </c>
      <c r="O214" s="15" t="s">
        <v>121</v>
      </c>
      <c r="P214" s="16" t="s">
        <v>318</v>
      </c>
      <c r="Q214" s="17">
        <v>12999</v>
      </c>
      <c r="R214" s="18">
        <v>72.09</v>
      </c>
      <c r="S214" s="19">
        <v>4171.9354999999996</v>
      </c>
      <c r="T214" s="20" t="s">
        <v>75</v>
      </c>
      <c r="U214" s="21" t="s">
        <v>299</v>
      </c>
      <c r="V214" s="22">
        <v>38</v>
      </c>
      <c r="W214" s="22">
        <v>11</v>
      </c>
      <c r="X214" s="23"/>
    </row>
    <row r="215" spans="1:24" s="1" customFormat="1" ht="61.05" customHeight="1" x14ac:dyDescent="0.3">
      <c r="A215" s="24" t="s">
        <v>23</v>
      </c>
      <c r="B215" s="24" t="s">
        <v>323</v>
      </c>
      <c r="C215" s="12" t="s">
        <v>324</v>
      </c>
      <c r="D215" s="64"/>
      <c r="E215" s="43" t="str">
        <f>HYPERLINK("https://www.google.ru/search?q=18882-0354&amp;newwindow=1&amp;tbm=isch","Еще фото")</f>
        <v>Еще фото</v>
      </c>
      <c r="F215" s="14"/>
      <c r="G215" s="24" t="s">
        <v>237</v>
      </c>
      <c r="H215" s="24" t="s">
        <v>27</v>
      </c>
      <c r="I215" s="24" t="s">
        <v>237</v>
      </c>
      <c r="J215" s="15" t="s">
        <v>37</v>
      </c>
      <c r="K215" s="16" t="s">
        <v>29</v>
      </c>
      <c r="L215" s="62"/>
      <c r="M215" s="15" t="s">
        <v>72</v>
      </c>
      <c r="N215" s="15" t="s">
        <v>87</v>
      </c>
      <c r="O215" s="15" t="s">
        <v>121</v>
      </c>
      <c r="P215" s="16" t="s">
        <v>318</v>
      </c>
      <c r="Q215" s="17">
        <v>12999</v>
      </c>
      <c r="R215" s="18">
        <v>72.09</v>
      </c>
      <c r="S215" s="19">
        <v>4171.9354999999996</v>
      </c>
      <c r="T215" s="20" t="s">
        <v>75</v>
      </c>
      <c r="U215" s="21" t="s">
        <v>255</v>
      </c>
      <c r="V215" s="22">
        <v>40</v>
      </c>
      <c r="W215" s="22">
        <v>4</v>
      </c>
      <c r="X215" s="23"/>
    </row>
    <row r="216" spans="1:24" s="1" customFormat="1" ht="108" customHeight="1" x14ac:dyDescent="0.3">
      <c r="A216" s="11" t="s">
        <v>23</v>
      </c>
      <c r="B216" s="11" t="s">
        <v>326</v>
      </c>
      <c r="C216" s="12" t="s">
        <v>327</v>
      </c>
      <c r="D216" s="13"/>
      <c r="E216" s="43" t="str">
        <f>HYPERLINK("https://www.google.ru/search?q=18882-0484&amp;newwindow=1&amp;tbm=isch","Еще фото")</f>
        <v>Еще фото</v>
      </c>
      <c r="F216" s="14"/>
      <c r="G216" s="11" t="s">
        <v>237</v>
      </c>
      <c r="H216" s="11" t="s">
        <v>27</v>
      </c>
      <c r="I216" s="15" t="s">
        <v>237</v>
      </c>
      <c r="J216" s="15" t="s">
        <v>28</v>
      </c>
      <c r="K216" s="16" t="s">
        <v>29</v>
      </c>
      <c r="L216" s="15" t="s">
        <v>328</v>
      </c>
      <c r="M216" s="15" t="s">
        <v>72</v>
      </c>
      <c r="N216" s="15" t="s">
        <v>138</v>
      </c>
      <c r="O216" s="15"/>
      <c r="P216" s="16" t="s">
        <v>329</v>
      </c>
      <c r="Q216" s="17">
        <v>14900</v>
      </c>
      <c r="R216" s="18">
        <v>71.89</v>
      </c>
      <c r="S216" s="19">
        <v>4815.9355000000005</v>
      </c>
      <c r="T216" s="20" t="s">
        <v>75</v>
      </c>
      <c r="U216" s="21" t="s">
        <v>45</v>
      </c>
      <c r="V216" s="25" t="s">
        <v>44</v>
      </c>
      <c r="W216" s="22">
        <v>13</v>
      </c>
      <c r="X216" s="23"/>
    </row>
    <row r="217" spans="1:24" s="1" customFormat="1" ht="26" customHeight="1" x14ac:dyDescent="0.3">
      <c r="A217" s="11" t="s">
        <v>23</v>
      </c>
      <c r="B217" s="11" t="s">
        <v>330</v>
      </c>
      <c r="C217" s="12" t="s">
        <v>331</v>
      </c>
      <c r="D217" s="57"/>
      <c r="E217" s="43" t="str">
        <f>HYPERLINK("https://www.google.ru/search?q=52797-0267&amp;newwindow=1&amp;tbm=isch","Еще фото")</f>
        <v>Еще фото</v>
      </c>
      <c r="F217" s="14"/>
      <c r="G217" s="11" t="s">
        <v>237</v>
      </c>
      <c r="H217" s="11" t="s">
        <v>27</v>
      </c>
      <c r="I217" s="15" t="s">
        <v>237</v>
      </c>
      <c r="J217" s="15" t="s">
        <v>28</v>
      </c>
      <c r="K217" s="16" t="s">
        <v>29</v>
      </c>
      <c r="L217" s="60" t="s">
        <v>332</v>
      </c>
      <c r="M217" s="15" t="s">
        <v>72</v>
      </c>
      <c r="N217" s="15" t="s">
        <v>130</v>
      </c>
      <c r="O217" s="15" t="s">
        <v>121</v>
      </c>
      <c r="P217" s="16" t="s">
        <v>333</v>
      </c>
      <c r="Q217" s="17">
        <v>14699</v>
      </c>
      <c r="R217" s="18">
        <v>71.650000000000006</v>
      </c>
      <c r="S217" s="19">
        <v>4792.9355000000005</v>
      </c>
      <c r="T217" s="20" t="s">
        <v>75</v>
      </c>
      <c r="U217" s="21" t="s">
        <v>299</v>
      </c>
      <c r="V217" s="22">
        <v>38</v>
      </c>
      <c r="W217" s="22">
        <v>4</v>
      </c>
      <c r="X217" s="23"/>
    </row>
    <row r="218" spans="1:24" s="1" customFormat="1" ht="26" customHeight="1" x14ac:dyDescent="0.3">
      <c r="A218" s="24" t="s">
        <v>23</v>
      </c>
      <c r="B218" s="24" t="s">
        <v>330</v>
      </c>
      <c r="C218" s="12" t="s">
        <v>331</v>
      </c>
      <c r="D218" s="58"/>
      <c r="E218" s="43" t="str">
        <f>HYPERLINK("https://www.google.ru/search?q=52797-0267&amp;newwindow=1&amp;tbm=isch","Еще фото")</f>
        <v>Еще фото</v>
      </c>
      <c r="F218" s="14"/>
      <c r="G218" s="24" t="s">
        <v>237</v>
      </c>
      <c r="H218" s="24" t="s">
        <v>27</v>
      </c>
      <c r="I218" s="24" t="s">
        <v>237</v>
      </c>
      <c r="J218" s="15" t="s">
        <v>28</v>
      </c>
      <c r="K218" s="16" t="s">
        <v>29</v>
      </c>
      <c r="L218" s="61"/>
      <c r="M218" s="15" t="s">
        <v>72</v>
      </c>
      <c r="N218" s="15" t="s">
        <v>130</v>
      </c>
      <c r="O218" s="15" t="s">
        <v>121</v>
      </c>
      <c r="P218" s="16" t="s">
        <v>333</v>
      </c>
      <c r="Q218" s="17">
        <v>14699</v>
      </c>
      <c r="R218" s="18">
        <v>71.650000000000006</v>
      </c>
      <c r="S218" s="19">
        <v>4792.9355000000005</v>
      </c>
      <c r="T218" s="20" t="s">
        <v>75</v>
      </c>
      <c r="U218" s="21" t="s">
        <v>42</v>
      </c>
      <c r="V218" s="22">
        <v>40</v>
      </c>
      <c r="W218" s="22">
        <v>5</v>
      </c>
      <c r="X218" s="23"/>
    </row>
    <row r="219" spans="1:24" s="1" customFormat="1" ht="26" customHeight="1" x14ac:dyDescent="0.3">
      <c r="A219" s="24" t="s">
        <v>23</v>
      </c>
      <c r="B219" s="24" t="s">
        <v>330</v>
      </c>
      <c r="C219" s="12" t="s">
        <v>331</v>
      </c>
      <c r="D219" s="58"/>
      <c r="E219" s="43" t="str">
        <f>HYPERLINK("https://www.google.ru/search?q=52797-0267&amp;newwindow=1&amp;tbm=isch","Еще фото")</f>
        <v>Еще фото</v>
      </c>
      <c r="F219" s="14"/>
      <c r="G219" s="24" t="s">
        <v>237</v>
      </c>
      <c r="H219" s="24" t="s">
        <v>27</v>
      </c>
      <c r="I219" s="24" t="s">
        <v>237</v>
      </c>
      <c r="J219" s="15" t="s">
        <v>28</v>
      </c>
      <c r="K219" s="16" t="s">
        <v>29</v>
      </c>
      <c r="L219" s="61"/>
      <c r="M219" s="15" t="s">
        <v>72</v>
      </c>
      <c r="N219" s="15" t="s">
        <v>130</v>
      </c>
      <c r="O219" s="15" t="s">
        <v>121</v>
      </c>
      <c r="P219" s="16" t="s">
        <v>333</v>
      </c>
      <c r="Q219" s="17">
        <v>14699</v>
      </c>
      <c r="R219" s="18">
        <v>71.650000000000006</v>
      </c>
      <c r="S219" s="19">
        <v>4792.9355000000005</v>
      </c>
      <c r="T219" s="20" t="s">
        <v>75</v>
      </c>
      <c r="U219" s="21" t="s">
        <v>255</v>
      </c>
      <c r="V219" s="22">
        <v>40</v>
      </c>
      <c r="W219" s="22">
        <v>34</v>
      </c>
      <c r="X219" s="23"/>
    </row>
    <row r="220" spans="1:24" s="1" customFormat="1" ht="26" customHeight="1" x14ac:dyDescent="0.3">
      <c r="A220" s="24" t="s">
        <v>23</v>
      </c>
      <c r="B220" s="24" t="s">
        <v>330</v>
      </c>
      <c r="C220" s="12" t="s">
        <v>331</v>
      </c>
      <c r="D220" s="59"/>
      <c r="E220" s="43" t="str">
        <f>HYPERLINK("https://www.google.ru/search?q=52797-0267&amp;newwindow=1&amp;tbm=isch","Еще фото")</f>
        <v>Еще фото</v>
      </c>
      <c r="F220" s="14"/>
      <c r="G220" s="24" t="s">
        <v>237</v>
      </c>
      <c r="H220" s="24" t="s">
        <v>27</v>
      </c>
      <c r="I220" s="24" t="s">
        <v>237</v>
      </c>
      <c r="J220" s="15" t="s">
        <v>28</v>
      </c>
      <c r="K220" s="16" t="s">
        <v>29</v>
      </c>
      <c r="L220" s="62"/>
      <c r="M220" s="15" t="s">
        <v>72</v>
      </c>
      <c r="N220" s="15" t="s">
        <v>130</v>
      </c>
      <c r="O220" s="15" t="s">
        <v>121</v>
      </c>
      <c r="P220" s="16" t="s">
        <v>333</v>
      </c>
      <c r="Q220" s="17">
        <v>14699</v>
      </c>
      <c r="R220" s="18">
        <v>71.650000000000006</v>
      </c>
      <c r="S220" s="19">
        <v>4792.9355000000005</v>
      </c>
      <c r="T220" s="20" t="s">
        <v>75</v>
      </c>
      <c r="U220" s="21" t="s">
        <v>45</v>
      </c>
      <c r="V220" s="25" t="s">
        <v>44</v>
      </c>
      <c r="W220" s="22">
        <v>3</v>
      </c>
      <c r="X220" s="23"/>
    </row>
    <row r="221" spans="1:24" s="1" customFormat="1" ht="14" customHeight="1" x14ac:dyDescent="0.3">
      <c r="A221" s="11" t="s">
        <v>23</v>
      </c>
      <c r="B221" s="11" t="s">
        <v>334</v>
      </c>
      <c r="C221" s="12" t="s">
        <v>335</v>
      </c>
      <c r="D221" s="57"/>
      <c r="E221" s="43" t="str">
        <f t="shared" ref="E221:E227" si="12">HYPERLINK("https://www.google.ru/search?q=18882-0468&amp;newwindow=1&amp;tbm=isch","Еще фото")</f>
        <v>Еще фото</v>
      </c>
      <c r="F221" s="14"/>
      <c r="G221" s="11" t="s">
        <v>237</v>
      </c>
      <c r="H221" s="11" t="s">
        <v>27</v>
      </c>
      <c r="I221" s="15" t="s">
        <v>237</v>
      </c>
      <c r="J221" s="15" t="s">
        <v>28</v>
      </c>
      <c r="K221" s="16" t="s">
        <v>29</v>
      </c>
      <c r="L221" s="60" t="s">
        <v>336</v>
      </c>
      <c r="M221" s="15" t="s">
        <v>72</v>
      </c>
      <c r="N221" s="15" t="s">
        <v>138</v>
      </c>
      <c r="O221" s="15" t="s">
        <v>121</v>
      </c>
      <c r="P221" s="16" t="s">
        <v>297</v>
      </c>
      <c r="Q221" s="17">
        <v>15699</v>
      </c>
      <c r="R221" s="18">
        <v>71.349999999999994</v>
      </c>
      <c r="S221" s="19">
        <v>5172.4355000000005</v>
      </c>
      <c r="T221" s="20" t="s">
        <v>75</v>
      </c>
      <c r="U221" s="21" t="s">
        <v>299</v>
      </c>
      <c r="V221" s="22">
        <v>38</v>
      </c>
      <c r="W221" s="22">
        <v>16</v>
      </c>
      <c r="X221" s="23"/>
    </row>
    <row r="222" spans="1:24" s="1" customFormat="1" ht="14" customHeight="1" x14ac:dyDescent="0.3">
      <c r="A222" s="24" t="s">
        <v>23</v>
      </c>
      <c r="B222" s="24" t="s">
        <v>334</v>
      </c>
      <c r="C222" s="12" t="s">
        <v>335</v>
      </c>
      <c r="D222" s="58"/>
      <c r="E222" s="43" t="str">
        <f t="shared" si="12"/>
        <v>Еще фото</v>
      </c>
      <c r="F222" s="14"/>
      <c r="G222" s="24" t="s">
        <v>237</v>
      </c>
      <c r="H222" s="24" t="s">
        <v>27</v>
      </c>
      <c r="I222" s="24" t="s">
        <v>237</v>
      </c>
      <c r="J222" s="15" t="s">
        <v>28</v>
      </c>
      <c r="K222" s="16" t="s">
        <v>29</v>
      </c>
      <c r="L222" s="61"/>
      <c r="M222" s="15" t="s">
        <v>72</v>
      </c>
      <c r="N222" s="15" t="s">
        <v>138</v>
      </c>
      <c r="O222" s="15" t="s">
        <v>121</v>
      </c>
      <c r="P222" s="16" t="s">
        <v>297</v>
      </c>
      <c r="Q222" s="17">
        <v>15699</v>
      </c>
      <c r="R222" s="18">
        <v>71.349999999999994</v>
      </c>
      <c r="S222" s="19">
        <v>5172.4355000000005</v>
      </c>
      <c r="T222" s="20" t="s">
        <v>75</v>
      </c>
      <c r="U222" s="21" t="s">
        <v>76</v>
      </c>
      <c r="V222" s="22">
        <v>40</v>
      </c>
      <c r="W222" s="22">
        <v>6</v>
      </c>
      <c r="X222" s="23"/>
    </row>
    <row r="223" spans="1:24" s="1" customFormat="1" ht="14" customHeight="1" x14ac:dyDescent="0.3">
      <c r="A223" s="24" t="s">
        <v>23</v>
      </c>
      <c r="B223" s="24" t="s">
        <v>334</v>
      </c>
      <c r="C223" s="12" t="s">
        <v>335</v>
      </c>
      <c r="D223" s="58"/>
      <c r="E223" s="43" t="str">
        <f t="shared" si="12"/>
        <v>Еще фото</v>
      </c>
      <c r="F223" s="14"/>
      <c r="G223" s="24" t="s">
        <v>237</v>
      </c>
      <c r="H223" s="24" t="s">
        <v>27</v>
      </c>
      <c r="I223" s="24" t="s">
        <v>237</v>
      </c>
      <c r="J223" s="15" t="s">
        <v>28</v>
      </c>
      <c r="K223" s="16" t="s">
        <v>29</v>
      </c>
      <c r="L223" s="61"/>
      <c r="M223" s="15" t="s">
        <v>72</v>
      </c>
      <c r="N223" s="15" t="s">
        <v>138</v>
      </c>
      <c r="O223" s="15" t="s">
        <v>121</v>
      </c>
      <c r="P223" s="16" t="s">
        <v>297</v>
      </c>
      <c r="Q223" s="17">
        <v>15699</v>
      </c>
      <c r="R223" s="18">
        <v>71.349999999999994</v>
      </c>
      <c r="S223" s="19">
        <v>5172.4355000000005</v>
      </c>
      <c r="T223" s="20" t="s">
        <v>75</v>
      </c>
      <c r="U223" s="21" t="s">
        <v>42</v>
      </c>
      <c r="V223" s="22">
        <v>40</v>
      </c>
      <c r="W223" s="22">
        <v>14</v>
      </c>
      <c r="X223" s="23"/>
    </row>
    <row r="224" spans="1:24" s="1" customFormat="1" ht="14" customHeight="1" x14ac:dyDescent="0.3">
      <c r="A224" s="24" t="s">
        <v>23</v>
      </c>
      <c r="B224" s="24" t="s">
        <v>334</v>
      </c>
      <c r="C224" s="12" t="s">
        <v>335</v>
      </c>
      <c r="D224" s="58"/>
      <c r="E224" s="43" t="str">
        <f t="shared" si="12"/>
        <v>Еще фото</v>
      </c>
      <c r="F224" s="14"/>
      <c r="G224" s="24" t="s">
        <v>237</v>
      </c>
      <c r="H224" s="24" t="s">
        <v>27</v>
      </c>
      <c r="I224" s="24" t="s">
        <v>237</v>
      </c>
      <c r="J224" s="15" t="s">
        <v>28</v>
      </c>
      <c r="K224" s="16" t="s">
        <v>29</v>
      </c>
      <c r="L224" s="61"/>
      <c r="M224" s="15" t="s">
        <v>72</v>
      </c>
      <c r="N224" s="15" t="s">
        <v>138</v>
      </c>
      <c r="O224" s="15" t="s">
        <v>121</v>
      </c>
      <c r="P224" s="16" t="s">
        <v>297</v>
      </c>
      <c r="Q224" s="17">
        <v>15699</v>
      </c>
      <c r="R224" s="18">
        <v>71.349999999999994</v>
      </c>
      <c r="S224" s="19">
        <v>5172.4355000000005</v>
      </c>
      <c r="T224" s="20" t="s">
        <v>75</v>
      </c>
      <c r="U224" s="21" t="s">
        <v>255</v>
      </c>
      <c r="V224" s="22">
        <v>40</v>
      </c>
      <c r="W224" s="22">
        <v>23</v>
      </c>
      <c r="X224" s="23"/>
    </row>
    <row r="225" spans="1:24" s="1" customFormat="1" ht="14" customHeight="1" x14ac:dyDescent="0.3">
      <c r="A225" s="24" t="s">
        <v>23</v>
      </c>
      <c r="B225" s="24" t="s">
        <v>334</v>
      </c>
      <c r="C225" s="12" t="s">
        <v>335</v>
      </c>
      <c r="D225" s="58"/>
      <c r="E225" s="43" t="str">
        <f t="shared" si="12"/>
        <v>Еще фото</v>
      </c>
      <c r="F225" s="14"/>
      <c r="G225" s="24" t="s">
        <v>237</v>
      </c>
      <c r="H225" s="24" t="s">
        <v>27</v>
      </c>
      <c r="I225" s="24" t="s">
        <v>237</v>
      </c>
      <c r="J225" s="15" t="s">
        <v>28</v>
      </c>
      <c r="K225" s="16" t="s">
        <v>29</v>
      </c>
      <c r="L225" s="61"/>
      <c r="M225" s="15" t="s">
        <v>72</v>
      </c>
      <c r="N225" s="15" t="s">
        <v>138</v>
      </c>
      <c r="O225" s="15" t="s">
        <v>121</v>
      </c>
      <c r="P225" s="16" t="s">
        <v>297</v>
      </c>
      <c r="Q225" s="17">
        <v>15699</v>
      </c>
      <c r="R225" s="18">
        <v>71.349999999999994</v>
      </c>
      <c r="S225" s="19">
        <v>5172.4355000000005</v>
      </c>
      <c r="T225" s="20" t="s">
        <v>75</v>
      </c>
      <c r="U225" s="21" t="s">
        <v>311</v>
      </c>
      <c r="V225" s="25" t="s">
        <v>44</v>
      </c>
      <c r="W225" s="22">
        <v>2</v>
      </c>
      <c r="X225" s="23"/>
    </row>
    <row r="226" spans="1:24" s="1" customFormat="1" ht="14" customHeight="1" x14ac:dyDescent="0.3">
      <c r="A226" s="24" t="s">
        <v>23</v>
      </c>
      <c r="B226" s="24" t="s">
        <v>334</v>
      </c>
      <c r="C226" s="12" t="s">
        <v>335</v>
      </c>
      <c r="D226" s="58"/>
      <c r="E226" s="43" t="str">
        <f t="shared" si="12"/>
        <v>Еще фото</v>
      </c>
      <c r="F226" s="14"/>
      <c r="G226" s="24" t="s">
        <v>237</v>
      </c>
      <c r="H226" s="24" t="s">
        <v>27</v>
      </c>
      <c r="I226" s="24" t="s">
        <v>237</v>
      </c>
      <c r="J226" s="15" t="s">
        <v>28</v>
      </c>
      <c r="K226" s="16" t="s">
        <v>29</v>
      </c>
      <c r="L226" s="61"/>
      <c r="M226" s="15" t="s">
        <v>72</v>
      </c>
      <c r="N226" s="15" t="s">
        <v>138</v>
      </c>
      <c r="O226" s="15" t="s">
        <v>121</v>
      </c>
      <c r="P226" s="16" t="s">
        <v>297</v>
      </c>
      <c r="Q226" s="17">
        <v>15699</v>
      </c>
      <c r="R226" s="18">
        <v>71.349999999999994</v>
      </c>
      <c r="S226" s="19">
        <v>5172.4355000000005</v>
      </c>
      <c r="T226" s="20" t="s">
        <v>75</v>
      </c>
      <c r="U226" s="21" t="s">
        <v>337</v>
      </c>
      <c r="V226" s="25" t="s">
        <v>48</v>
      </c>
      <c r="W226" s="22">
        <v>5</v>
      </c>
      <c r="X226" s="23"/>
    </row>
    <row r="227" spans="1:24" s="1" customFormat="1" ht="17" customHeight="1" x14ac:dyDescent="0.3">
      <c r="A227" s="24" t="s">
        <v>23</v>
      </c>
      <c r="B227" s="24" t="s">
        <v>334</v>
      </c>
      <c r="C227" s="12" t="s">
        <v>335</v>
      </c>
      <c r="D227" s="59"/>
      <c r="E227" s="43" t="str">
        <f t="shared" si="12"/>
        <v>Еще фото</v>
      </c>
      <c r="F227" s="14"/>
      <c r="G227" s="24" t="s">
        <v>237</v>
      </c>
      <c r="H227" s="24" t="s">
        <v>27</v>
      </c>
      <c r="I227" s="24" t="s">
        <v>237</v>
      </c>
      <c r="J227" s="15" t="s">
        <v>28</v>
      </c>
      <c r="K227" s="16" t="s">
        <v>29</v>
      </c>
      <c r="L227" s="62"/>
      <c r="M227" s="15" t="s">
        <v>72</v>
      </c>
      <c r="N227" s="15" t="s">
        <v>138</v>
      </c>
      <c r="O227" s="15" t="s">
        <v>121</v>
      </c>
      <c r="P227" s="16" t="s">
        <v>297</v>
      </c>
      <c r="Q227" s="17">
        <v>15699</v>
      </c>
      <c r="R227" s="18">
        <v>71.349999999999994</v>
      </c>
      <c r="S227" s="19">
        <v>5172.4355000000005</v>
      </c>
      <c r="T227" s="20" t="s">
        <v>75</v>
      </c>
      <c r="U227" s="21" t="s">
        <v>313</v>
      </c>
      <c r="V227" s="22">
        <v>44</v>
      </c>
      <c r="W227" s="22">
        <v>4</v>
      </c>
      <c r="X227" s="23"/>
    </row>
    <row r="228" spans="1:24" s="1" customFormat="1" ht="26" customHeight="1" x14ac:dyDescent="0.3">
      <c r="A228" s="11" t="s">
        <v>23</v>
      </c>
      <c r="B228" s="11" t="s">
        <v>338</v>
      </c>
      <c r="C228" s="12" t="s">
        <v>339</v>
      </c>
      <c r="D228" s="57"/>
      <c r="E228" s="43" t="str">
        <f>HYPERLINK("https://www.google.ru/search?q=22791-0194&amp;newwindow=1&amp;tbm=isch","Еще фото")</f>
        <v>Еще фото</v>
      </c>
      <c r="F228" s="14"/>
      <c r="G228" s="11" t="s">
        <v>237</v>
      </c>
      <c r="H228" s="11" t="s">
        <v>27</v>
      </c>
      <c r="I228" s="15" t="s">
        <v>237</v>
      </c>
      <c r="J228" s="15" t="s">
        <v>28</v>
      </c>
      <c r="K228" s="16" t="s">
        <v>29</v>
      </c>
      <c r="L228" s="60" t="s">
        <v>340</v>
      </c>
      <c r="M228" s="15" t="s">
        <v>72</v>
      </c>
      <c r="N228" s="15" t="s">
        <v>130</v>
      </c>
      <c r="O228" s="15" t="s">
        <v>121</v>
      </c>
      <c r="P228" s="16" t="s">
        <v>341</v>
      </c>
      <c r="Q228" s="17">
        <v>14699</v>
      </c>
      <c r="R228" s="18">
        <v>71.239999999999995</v>
      </c>
      <c r="S228" s="19">
        <v>4861.9355000000005</v>
      </c>
      <c r="T228" s="20" t="s">
        <v>75</v>
      </c>
      <c r="U228" s="21" t="s">
        <v>299</v>
      </c>
      <c r="V228" s="22">
        <v>38</v>
      </c>
      <c r="W228" s="22">
        <v>3</v>
      </c>
      <c r="X228" s="23"/>
    </row>
    <row r="229" spans="1:24" s="1" customFormat="1" ht="26" customHeight="1" x14ac:dyDescent="0.3">
      <c r="A229" s="24" t="s">
        <v>23</v>
      </c>
      <c r="B229" s="24" t="s">
        <v>338</v>
      </c>
      <c r="C229" s="12" t="s">
        <v>339</v>
      </c>
      <c r="D229" s="58"/>
      <c r="E229" s="43" t="str">
        <f>HYPERLINK("https://www.google.ru/search?q=22791-0194&amp;newwindow=1&amp;tbm=isch","Еще фото")</f>
        <v>Еще фото</v>
      </c>
      <c r="F229" s="14"/>
      <c r="G229" s="24" t="s">
        <v>237</v>
      </c>
      <c r="H229" s="24" t="s">
        <v>27</v>
      </c>
      <c r="I229" s="24" t="s">
        <v>237</v>
      </c>
      <c r="J229" s="15" t="s">
        <v>28</v>
      </c>
      <c r="K229" s="16" t="s">
        <v>29</v>
      </c>
      <c r="L229" s="61"/>
      <c r="M229" s="15" t="s">
        <v>72</v>
      </c>
      <c r="N229" s="15" t="s">
        <v>130</v>
      </c>
      <c r="O229" s="15" t="s">
        <v>121</v>
      </c>
      <c r="P229" s="16" t="s">
        <v>341</v>
      </c>
      <c r="Q229" s="17">
        <v>14699</v>
      </c>
      <c r="R229" s="18">
        <v>71.239999999999995</v>
      </c>
      <c r="S229" s="19">
        <v>4861.9355000000005</v>
      </c>
      <c r="T229" s="20" t="s">
        <v>75</v>
      </c>
      <c r="U229" s="21" t="s">
        <v>76</v>
      </c>
      <c r="V229" s="22">
        <v>40</v>
      </c>
      <c r="W229" s="22">
        <v>3</v>
      </c>
      <c r="X229" s="23"/>
    </row>
    <row r="230" spans="1:24" s="1" customFormat="1" ht="26" customHeight="1" x14ac:dyDescent="0.3">
      <c r="A230" s="24" t="s">
        <v>23</v>
      </c>
      <c r="B230" s="24" t="s">
        <v>338</v>
      </c>
      <c r="C230" s="12" t="s">
        <v>339</v>
      </c>
      <c r="D230" s="58"/>
      <c r="E230" s="43" t="str">
        <f>HYPERLINK("https://www.google.ru/search?q=22791-0194&amp;newwindow=1&amp;tbm=isch","Еще фото")</f>
        <v>Еще фото</v>
      </c>
      <c r="F230" s="14"/>
      <c r="G230" s="24" t="s">
        <v>237</v>
      </c>
      <c r="H230" s="24" t="s">
        <v>27</v>
      </c>
      <c r="I230" s="24" t="s">
        <v>237</v>
      </c>
      <c r="J230" s="15" t="s">
        <v>28</v>
      </c>
      <c r="K230" s="16" t="s">
        <v>29</v>
      </c>
      <c r="L230" s="61"/>
      <c r="M230" s="15" t="s">
        <v>72</v>
      </c>
      <c r="N230" s="15" t="s">
        <v>130</v>
      </c>
      <c r="O230" s="15" t="s">
        <v>121</v>
      </c>
      <c r="P230" s="16" t="s">
        <v>341</v>
      </c>
      <c r="Q230" s="17">
        <v>14699</v>
      </c>
      <c r="R230" s="18">
        <v>71.239999999999995</v>
      </c>
      <c r="S230" s="19">
        <v>4861.9355000000005</v>
      </c>
      <c r="T230" s="20" t="s">
        <v>75</v>
      </c>
      <c r="U230" s="21" t="s">
        <v>42</v>
      </c>
      <c r="V230" s="22">
        <v>40</v>
      </c>
      <c r="W230" s="22">
        <v>1</v>
      </c>
      <c r="X230" s="23"/>
    </row>
    <row r="231" spans="1:24" s="1" customFormat="1" ht="26" customHeight="1" x14ac:dyDescent="0.3">
      <c r="A231" s="24" t="s">
        <v>23</v>
      </c>
      <c r="B231" s="24" t="s">
        <v>338</v>
      </c>
      <c r="C231" s="12" t="s">
        <v>339</v>
      </c>
      <c r="D231" s="59"/>
      <c r="E231" s="43" t="str">
        <f>HYPERLINK("https://www.google.ru/search?q=22791-0194&amp;newwindow=1&amp;tbm=isch","Еще фото")</f>
        <v>Еще фото</v>
      </c>
      <c r="F231" s="14"/>
      <c r="G231" s="24" t="s">
        <v>237</v>
      </c>
      <c r="H231" s="24" t="s">
        <v>27</v>
      </c>
      <c r="I231" s="24" t="s">
        <v>237</v>
      </c>
      <c r="J231" s="15" t="s">
        <v>28</v>
      </c>
      <c r="K231" s="16" t="s">
        <v>29</v>
      </c>
      <c r="L231" s="62"/>
      <c r="M231" s="15" t="s">
        <v>72</v>
      </c>
      <c r="N231" s="15" t="s">
        <v>130</v>
      </c>
      <c r="O231" s="15" t="s">
        <v>121</v>
      </c>
      <c r="P231" s="16" t="s">
        <v>341</v>
      </c>
      <c r="Q231" s="17">
        <v>14699</v>
      </c>
      <c r="R231" s="18">
        <v>71.239999999999995</v>
      </c>
      <c r="S231" s="19">
        <v>4861.9355000000005</v>
      </c>
      <c r="T231" s="20" t="s">
        <v>75</v>
      </c>
      <c r="U231" s="21" t="s">
        <v>255</v>
      </c>
      <c r="V231" s="22">
        <v>40</v>
      </c>
      <c r="W231" s="22">
        <v>11</v>
      </c>
      <c r="X231" s="23"/>
    </row>
    <row r="232" spans="1:24" s="1" customFormat="1" ht="35" customHeight="1" x14ac:dyDescent="0.3">
      <c r="A232" s="11" t="s">
        <v>23</v>
      </c>
      <c r="B232" s="11" t="s">
        <v>342</v>
      </c>
      <c r="C232" s="12" t="s">
        <v>343</v>
      </c>
      <c r="D232" s="57"/>
      <c r="E232" s="43" t="str">
        <f>HYPERLINK("https://www.google.ru/search?q=18881-0352&amp;newwindow=1&amp;tbm=isch","Еще фото")</f>
        <v>Еще фото</v>
      </c>
      <c r="F232" s="14"/>
      <c r="G232" s="11" t="s">
        <v>237</v>
      </c>
      <c r="H232" s="11" t="s">
        <v>27</v>
      </c>
      <c r="I232" s="15" t="s">
        <v>237</v>
      </c>
      <c r="J232" s="15" t="s">
        <v>28</v>
      </c>
      <c r="K232" s="16" t="s">
        <v>29</v>
      </c>
      <c r="L232" s="60" t="s">
        <v>344</v>
      </c>
      <c r="M232" s="15" t="s">
        <v>72</v>
      </c>
      <c r="N232" s="15" t="s">
        <v>130</v>
      </c>
      <c r="O232" s="15" t="s">
        <v>113</v>
      </c>
      <c r="P232" s="16" t="s">
        <v>345</v>
      </c>
      <c r="Q232" s="17">
        <v>11599</v>
      </c>
      <c r="R232" s="18">
        <v>71.22</v>
      </c>
      <c r="S232" s="19">
        <v>3838.4354999999996</v>
      </c>
      <c r="T232" s="20" t="s">
        <v>75</v>
      </c>
      <c r="U232" s="21" t="s">
        <v>255</v>
      </c>
      <c r="V232" s="22">
        <v>40</v>
      </c>
      <c r="W232" s="22">
        <v>1</v>
      </c>
      <c r="X232" s="23"/>
    </row>
    <row r="233" spans="1:24" s="1" customFormat="1" ht="35" customHeight="1" x14ac:dyDescent="0.3">
      <c r="A233" s="24" t="s">
        <v>23</v>
      </c>
      <c r="B233" s="24" t="s">
        <v>342</v>
      </c>
      <c r="C233" s="12" t="s">
        <v>343</v>
      </c>
      <c r="D233" s="58"/>
      <c r="E233" s="43" t="str">
        <f>HYPERLINK("https://www.google.ru/search?q=18881-0352&amp;newwindow=1&amp;tbm=isch","Еще фото")</f>
        <v>Еще фото</v>
      </c>
      <c r="F233" s="14"/>
      <c r="G233" s="24" t="s">
        <v>237</v>
      </c>
      <c r="H233" s="24" t="s">
        <v>27</v>
      </c>
      <c r="I233" s="24" t="s">
        <v>237</v>
      </c>
      <c r="J233" s="15" t="s">
        <v>28</v>
      </c>
      <c r="K233" s="16" t="s">
        <v>29</v>
      </c>
      <c r="L233" s="61"/>
      <c r="M233" s="15" t="s">
        <v>72</v>
      </c>
      <c r="N233" s="15" t="s">
        <v>130</v>
      </c>
      <c r="O233" s="15" t="s">
        <v>113</v>
      </c>
      <c r="P233" s="16" t="s">
        <v>345</v>
      </c>
      <c r="Q233" s="17">
        <v>11599</v>
      </c>
      <c r="R233" s="18">
        <v>71.22</v>
      </c>
      <c r="S233" s="19">
        <v>3838.4354999999996</v>
      </c>
      <c r="T233" s="20" t="s">
        <v>75</v>
      </c>
      <c r="U233" s="21" t="s">
        <v>43</v>
      </c>
      <c r="V233" s="25" t="s">
        <v>44</v>
      </c>
      <c r="W233" s="22">
        <v>1</v>
      </c>
      <c r="X233" s="23"/>
    </row>
    <row r="234" spans="1:24" s="1" customFormat="1" ht="37.049999999999997" customHeight="1" x14ac:dyDescent="0.3">
      <c r="A234" s="24" t="s">
        <v>23</v>
      </c>
      <c r="B234" s="24" t="s">
        <v>342</v>
      </c>
      <c r="C234" s="12" t="s">
        <v>343</v>
      </c>
      <c r="D234" s="59"/>
      <c r="E234" s="43" t="str">
        <f>HYPERLINK("https://www.google.ru/search?q=18881-0352&amp;newwindow=1&amp;tbm=isch","Еще фото")</f>
        <v>Еще фото</v>
      </c>
      <c r="F234" s="14"/>
      <c r="G234" s="24" t="s">
        <v>237</v>
      </c>
      <c r="H234" s="24" t="s">
        <v>27</v>
      </c>
      <c r="I234" s="24" t="s">
        <v>237</v>
      </c>
      <c r="J234" s="15" t="s">
        <v>28</v>
      </c>
      <c r="K234" s="16" t="s">
        <v>29</v>
      </c>
      <c r="L234" s="62"/>
      <c r="M234" s="15" t="s">
        <v>72</v>
      </c>
      <c r="N234" s="15" t="s">
        <v>130</v>
      </c>
      <c r="O234" s="15" t="s">
        <v>113</v>
      </c>
      <c r="P234" s="16" t="s">
        <v>345</v>
      </c>
      <c r="Q234" s="17">
        <v>11599</v>
      </c>
      <c r="R234" s="18">
        <v>71.22</v>
      </c>
      <c r="S234" s="19">
        <v>3838.4354999999996</v>
      </c>
      <c r="T234" s="20" t="s">
        <v>75</v>
      </c>
      <c r="U234" s="21" t="s">
        <v>45</v>
      </c>
      <c r="V234" s="25" t="s">
        <v>44</v>
      </c>
      <c r="W234" s="22">
        <v>7</v>
      </c>
      <c r="X234" s="23"/>
    </row>
    <row r="235" spans="1:24" s="1" customFormat="1" ht="13.05" customHeight="1" x14ac:dyDescent="0.3">
      <c r="A235" s="11" t="s">
        <v>23</v>
      </c>
      <c r="B235" s="11" t="s">
        <v>346</v>
      </c>
      <c r="C235" s="12" t="s">
        <v>347</v>
      </c>
      <c r="D235" s="57"/>
      <c r="E235" s="43" t="str">
        <f t="shared" ref="E235:E242" si="13">HYPERLINK("https://www.google.ru/search?q=18882-0421&amp;newwindow=1&amp;tbm=isch","Еще фото")</f>
        <v>Еще фото</v>
      </c>
      <c r="F235" s="14"/>
      <c r="G235" s="11" t="s">
        <v>237</v>
      </c>
      <c r="H235" s="11" t="s">
        <v>27</v>
      </c>
      <c r="I235" s="15" t="s">
        <v>237</v>
      </c>
      <c r="J235" s="15" t="s">
        <v>28</v>
      </c>
      <c r="K235" s="16" t="s">
        <v>29</v>
      </c>
      <c r="L235" s="60" t="s">
        <v>348</v>
      </c>
      <c r="M235" s="15" t="s">
        <v>72</v>
      </c>
      <c r="N235" s="15" t="s">
        <v>130</v>
      </c>
      <c r="O235" s="15" t="s">
        <v>113</v>
      </c>
      <c r="P235" s="16" t="s">
        <v>297</v>
      </c>
      <c r="Q235" s="17">
        <v>14699</v>
      </c>
      <c r="R235" s="18">
        <v>66.75</v>
      </c>
      <c r="S235" s="19">
        <v>5620.9355000000005</v>
      </c>
      <c r="T235" s="20" t="s">
        <v>75</v>
      </c>
      <c r="U235" s="33" t="s">
        <v>298</v>
      </c>
      <c r="V235" s="22">
        <v>38</v>
      </c>
      <c r="W235" s="22">
        <v>2</v>
      </c>
      <c r="X235" s="23"/>
    </row>
    <row r="236" spans="1:24" s="1" customFormat="1" ht="13.05" customHeight="1" x14ac:dyDescent="0.3">
      <c r="A236" s="24" t="s">
        <v>23</v>
      </c>
      <c r="B236" s="24" t="s">
        <v>346</v>
      </c>
      <c r="C236" s="12" t="s">
        <v>347</v>
      </c>
      <c r="D236" s="58"/>
      <c r="E236" s="43" t="str">
        <f t="shared" si="13"/>
        <v>Еще фото</v>
      </c>
      <c r="F236" s="14"/>
      <c r="G236" s="24" t="s">
        <v>237</v>
      </c>
      <c r="H236" s="24" t="s">
        <v>27</v>
      </c>
      <c r="I236" s="24" t="s">
        <v>237</v>
      </c>
      <c r="J236" s="15" t="s">
        <v>28</v>
      </c>
      <c r="K236" s="16" t="s">
        <v>29</v>
      </c>
      <c r="L236" s="61"/>
      <c r="M236" s="15" t="s">
        <v>72</v>
      </c>
      <c r="N236" s="15" t="s">
        <v>130</v>
      </c>
      <c r="O236" s="15" t="s">
        <v>113</v>
      </c>
      <c r="P236" s="16" t="s">
        <v>297</v>
      </c>
      <c r="Q236" s="17">
        <v>14699</v>
      </c>
      <c r="R236" s="18">
        <v>66.75</v>
      </c>
      <c r="S236" s="19">
        <v>5620.9355000000005</v>
      </c>
      <c r="T236" s="20" t="s">
        <v>75</v>
      </c>
      <c r="U236" s="21" t="s">
        <v>299</v>
      </c>
      <c r="V236" s="22">
        <v>38</v>
      </c>
      <c r="W236" s="22">
        <v>8</v>
      </c>
      <c r="X236" s="23"/>
    </row>
    <row r="237" spans="1:24" s="1" customFormat="1" ht="13.05" customHeight="1" x14ac:dyDescent="0.3">
      <c r="A237" s="24" t="s">
        <v>23</v>
      </c>
      <c r="B237" s="24" t="s">
        <v>346</v>
      </c>
      <c r="C237" s="12" t="s">
        <v>347</v>
      </c>
      <c r="D237" s="58"/>
      <c r="E237" s="43" t="str">
        <f t="shared" si="13"/>
        <v>Еще фото</v>
      </c>
      <c r="F237" s="14"/>
      <c r="G237" s="24" t="s">
        <v>237</v>
      </c>
      <c r="H237" s="24" t="s">
        <v>27</v>
      </c>
      <c r="I237" s="24" t="s">
        <v>237</v>
      </c>
      <c r="J237" s="15" t="s">
        <v>28</v>
      </c>
      <c r="K237" s="16" t="s">
        <v>29</v>
      </c>
      <c r="L237" s="61"/>
      <c r="M237" s="15" t="s">
        <v>72</v>
      </c>
      <c r="N237" s="15" t="s">
        <v>130</v>
      </c>
      <c r="O237" s="15" t="s">
        <v>113</v>
      </c>
      <c r="P237" s="16" t="s">
        <v>297</v>
      </c>
      <c r="Q237" s="17">
        <v>14699</v>
      </c>
      <c r="R237" s="18">
        <v>66.75</v>
      </c>
      <c r="S237" s="19">
        <v>5620.9355000000005</v>
      </c>
      <c r="T237" s="20" t="s">
        <v>75</v>
      </c>
      <c r="U237" s="21" t="s">
        <v>76</v>
      </c>
      <c r="V237" s="22">
        <v>40</v>
      </c>
      <c r="W237" s="22">
        <v>1</v>
      </c>
      <c r="X237" s="23"/>
    </row>
    <row r="238" spans="1:24" s="1" customFormat="1" ht="13.05" customHeight="1" x14ac:dyDescent="0.3">
      <c r="A238" s="24" t="s">
        <v>23</v>
      </c>
      <c r="B238" s="24" t="s">
        <v>346</v>
      </c>
      <c r="C238" s="12" t="s">
        <v>347</v>
      </c>
      <c r="D238" s="58"/>
      <c r="E238" s="43" t="str">
        <f t="shared" si="13"/>
        <v>Еще фото</v>
      </c>
      <c r="F238" s="14"/>
      <c r="G238" s="24" t="s">
        <v>237</v>
      </c>
      <c r="H238" s="24" t="s">
        <v>27</v>
      </c>
      <c r="I238" s="24" t="s">
        <v>237</v>
      </c>
      <c r="J238" s="15" t="s">
        <v>28</v>
      </c>
      <c r="K238" s="16" t="s">
        <v>29</v>
      </c>
      <c r="L238" s="61"/>
      <c r="M238" s="15" t="s">
        <v>72</v>
      </c>
      <c r="N238" s="15" t="s">
        <v>130</v>
      </c>
      <c r="O238" s="15" t="s">
        <v>113</v>
      </c>
      <c r="P238" s="16" t="s">
        <v>297</v>
      </c>
      <c r="Q238" s="17">
        <v>14699</v>
      </c>
      <c r="R238" s="18">
        <v>66.75</v>
      </c>
      <c r="S238" s="19">
        <v>5620.9355000000005</v>
      </c>
      <c r="T238" s="20" t="s">
        <v>75</v>
      </c>
      <c r="U238" s="21" t="s">
        <v>42</v>
      </c>
      <c r="V238" s="22">
        <v>40</v>
      </c>
      <c r="W238" s="22">
        <v>9</v>
      </c>
      <c r="X238" s="23"/>
    </row>
    <row r="239" spans="1:24" s="1" customFormat="1" ht="13.05" customHeight="1" x14ac:dyDescent="0.3">
      <c r="A239" s="24" t="s">
        <v>23</v>
      </c>
      <c r="B239" s="24" t="s">
        <v>346</v>
      </c>
      <c r="C239" s="12" t="s">
        <v>347</v>
      </c>
      <c r="D239" s="58"/>
      <c r="E239" s="43" t="str">
        <f t="shared" si="13"/>
        <v>Еще фото</v>
      </c>
      <c r="F239" s="14"/>
      <c r="G239" s="24" t="s">
        <v>237</v>
      </c>
      <c r="H239" s="24" t="s">
        <v>27</v>
      </c>
      <c r="I239" s="24" t="s">
        <v>237</v>
      </c>
      <c r="J239" s="15" t="s">
        <v>28</v>
      </c>
      <c r="K239" s="16" t="s">
        <v>29</v>
      </c>
      <c r="L239" s="61"/>
      <c r="M239" s="15" t="s">
        <v>72</v>
      </c>
      <c r="N239" s="15" t="s">
        <v>130</v>
      </c>
      <c r="O239" s="15" t="s">
        <v>113</v>
      </c>
      <c r="P239" s="16" t="s">
        <v>297</v>
      </c>
      <c r="Q239" s="17">
        <v>14699</v>
      </c>
      <c r="R239" s="18">
        <v>66.75</v>
      </c>
      <c r="S239" s="19">
        <v>5620.9355000000005</v>
      </c>
      <c r="T239" s="20" t="s">
        <v>75</v>
      </c>
      <c r="U239" s="21" t="s">
        <v>255</v>
      </c>
      <c r="V239" s="22">
        <v>40</v>
      </c>
      <c r="W239" s="22">
        <v>9</v>
      </c>
      <c r="X239" s="23"/>
    </row>
    <row r="240" spans="1:24" s="1" customFormat="1" ht="13.05" customHeight="1" x14ac:dyDescent="0.3">
      <c r="A240" s="24" t="s">
        <v>23</v>
      </c>
      <c r="B240" s="24" t="s">
        <v>346</v>
      </c>
      <c r="C240" s="12" t="s">
        <v>347</v>
      </c>
      <c r="D240" s="58"/>
      <c r="E240" s="43" t="str">
        <f t="shared" si="13"/>
        <v>Еще фото</v>
      </c>
      <c r="F240" s="14"/>
      <c r="G240" s="24" t="s">
        <v>237</v>
      </c>
      <c r="H240" s="24" t="s">
        <v>27</v>
      </c>
      <c r="I240" s="24" t="s">
        <v>237</v>
      </c>
      <c r="J240" s="15" t="s">
        <v>28</v>
      </c>
      <c r="K240" s="16" t="s">
        <v>29</v>
      </c>
      <c r="L240" s="61"/>
      <c r="M240" s="15" t="s">
        <v>72</v>
      </c>
      <c r="N240" s="15" t="s">
        <v>130</v>
      </c>
      <c r="O240" s="15" t="s">
        <v>113</v>
      </c>
      <c r="P240" s="16" t="s">
        <v>297</v>
      </c>
      <c r="Q240" s="17">
        <v>14699</v>
      </c>
      <c r="R240" s="18">
        <v>66.75</v>
      </c>
      <c r="S240" s="19">
        <v>5620.9355000000005</v>
      </c>
      <c r="T240" s="20" t="s">
        <v>75</v>
      </c>
      <c r="U240" s="21" t="s">
        <v>45</v>
      </c>
      <c r="V240" s="25" t="s">
        <v>44</v>
      </c>
      <c r="W240" s="22">
        <v>4</v>
      </c>
      <c r="X240" s="23"/>
    </row>
    <row r="241" spans="1:24" s="1" customFormat="1" ht="13.05" customHeight="1" x14ac:dyDescent="0.3">
      <c r="A241" s="24" t="s">
        <v>23</v>
      </c>
      <c r="B241" s="24" t="s">
        <v>346</v>
      </c>
      <c r="C241" s="12" t="s">
        <v>347</v>
      </c>
      <c r="D241" s="58"/>
      <c r="E241" s="43" t="str">
        <f t="shared" si="13"/>
        <v>Еще фото</v>
      </c>
      <c r="F241" s="14"/>
      <c r="G241" s="24" t="s">
        <v>237</v>
      </c>
      <c r="H241" s="24" t="s">
        <v>27</v>
      </c>
      <c r="I241" s="24" t="s">
        <v>237</v>
      </c>
      <c r="J241" s="15" t="s">
        <v>28</v>
      </c>
      <c r="K241" s="16" t="s">
        <v>29</v>
      </c>
      <c r="L241" s="61"/>
      <c r="M241" s="15" t="s">
        <v>72</v>
      </c>
      <c r="N241" s="15" t="s">
        <v>130</v>
      </c>
      <c r="O241" s="15" t="s">
        <v>113</v>
      </c>
      <c r="P241" s="16" t="s">
        <v>297</v>
      </c>
      <c r="Q241" s="17">
        <v>14699</v>
      </c>
      <c r="R241" s="18">
        <v>66.75</v>
      </c>
      <c r="S241" s="19">
        <v>5620.9355000000005</v>
      </c>
      <c r="T241" s="20" t="s">
        <v>75</v>
      </c>
      <c r="U241" s="21" t="s">
        <v>158</v>
      </c>
      <c r="V241" s="22">
        <v>42</v>
      </c>
      <c r="W241" s="22">
        <v>1</v>
      </c>
      <c r="X241" s="23"/>
    </row>
    <row r="242" spans="1:24" s="1" customFormat="1" ht="18" customHeight="1" x14ac:dyDescent="0.3">
      <c r="A242" s="24" t="s">
        <v>23</v>
      </c>
      <c r="B242" s="24" t="s">
        <v>346</v>
      </c>
      <c r="C242" s="12" t="s">
        <v>347</v>
      </c>
      <c r="D242" s="59"/>
      <c r="E242" s="43" t="str">
        <f t="shared" si="13"/>
        <v>Еще фото</v>
      </c>
      <c r="F242" s="14"/>
      <c r="G242" s="24" t="s">
        <v>237</v>
      </c>
      <c r="H242" s="24" t="s">
        <v>27</v>
      </c>
      <c r="I242" s="24" t="s">
        <v>237</v>
      </c>
      <c r="J242" s="15" t="s">
        <v>28</v>
      </c>
      <c r="K242" s="16" t="s">
        <v>29</v>
      </c>
      <c r="L242" s="62"/>
      <c r="M242" s="15" t="s">
        <v>72</v>
      </c>
      <c r="N242" s="15" t="s">
        <v>130</v>
      </c>
      <c r="O242" s="15" t="s">
        <v>113</v>
      </c>
      <c r="P242" s="16" t="s">
        <v>297</v>
      </c>
      <c r="Q242" s="17">
        <v>14699</v>
      </c>
      <c r="R242" s="18">
        <v>66.75</v>
      </c>
      <c r="S242" s="19">
        <v>5620.9355000000005</v>
      </c>
      <c r="T242" s="20" t="s">
        <v>75</v>
      </c>
      <c r="U242" s="21" t="s">
        <v>337</v>
      </c>
      <c r="V242" s="25" t="s">
        <v>48</v>
      </c>
      <c r="W242" s="22">
        <v>1</v>
      </c>
      <c r="X242" s="23"/>
    </row>
    <row r="243" spans="1:24" s="1" customFormat="1" ht="108" customHeight="1" x14ac:dyDescent="0.3">
      <c r="A243" s="11" t="s">
        <v>23</v>
      </c>
      <c r="B243" s="11" t="s">
        <v>330</v>
      </c>
      <c r="C243" s="12" t="s">
        <v>349</v>
      </c>
      <c r="D243" s="13"/>
      <c r="E243" s="43" t="str">
        <f>HYPERLINK("https://www.google.ru/search?q=52797-0024&amp;newwindow=1&amp;tbm=isch","Еще фото")</f>
        <v>Еще фото</v>
      </c>
      <c r="F243" s="14"/>
      <c r="G243" s="11" t="s">
        <v>237</v>
      </c>
      <c r="H243" s="11" t="s">
        <v>27</v>
      </c>
      <c r="I243" s="15" t="s">
        <v>237</v>
      </c>
      <c r="J243" s="15" t="s">
        <v>28</v>
      </c>
      <c r="K243" s="16" t="s">
        <v>29</v>
      </c>
      <c r="L243" s="15" t="s">
        <v>302</v>
      </c>
      <c r="M243" s="15"/>
      <c r="N243" s="15" t="s">
        <v>249</v>
      </c>
      <c r="O243" s="15"/>
      <c r="P243" s="16" t="s">
        <v>350</v>
      </c>
      <c r="Q243" s="17">
        <v>13699</v>
      </c>
      <c r="R243" s="18">
        <v>66.44</v>
      </c>
      <c r="S243" s="19">
        <v>5287.4355000000005</v>
      </c>
      <c r="T243" s="20" t="s">
        <v>75</v>
      </c>
      <c r="U243" s="21" t="s">
        <v>43</v>
      </c>
      <c r="V243" s="25" t="s">
        <v>44</v>
      </c>
      <c r="W243" s="22">
        <v>13</v>
      </c>
      <c r="X243" s="23"/>
    </row>
    <row r="244" spans="1:24" s="1" customFormat="1" ht="21" customHeight="1" x14ac:dyDescent="0.3">
      <c r="A244" s="11" t="s">
        <v>23</v>
      </c>
      <c r="B244" s="11" t="s">
        <v>351</v>
      </c>
      <c r="C244" s="30" t="s">
        <v>352</v>
      </c>
      <c r="D244" s="57"/>
      <c r="E244" s="43" t="str">
        <f>HYPERLINK("https://www.google.ru/search?q=52797-0176&amp;newwindow=1&amp;tbm=isch","Еще фото")</f>
        <v>Еще фото</v>
      </c>
      <c r="F244" s="14"/>
      <c r="G244" s="11" t="s">
        <v>237</v>
      </c>
      <c r="H244" s="11" t="s">
        <v>27</v>
      </c>
      <c r="I244" s="15" t="s">
        <v>237</v>
      </c>
      <c r="J244" s="15" t="s">
        <v>28</v>
      </c>
      <c r="K244" s="16" t="s">
        <v>29</v>
      </c>
      <c r="L244" s="60" t="s">
        <v>353</v>
      </c>
      <c r="M244" s="15" t="s">
        <v>72</v>
      </c>
      <c r="N244" s="15" t="s">
        <v>130</v>
      </c>
      <c r="O244" s="15" t="s">
        <v>121</v>
      </c>
      <c r="P244" s="16" t="s">
        <v>354</v>
      </c>
      <c r="Q244" s="17">
        <v>16399</v>
      </c>
      <c r="R244" s="18">
        <v>66.290000000000006</v>
      </c>
      <c r="S244" s="19">
        <v>6356.9354999999996</v>
      </c>
      <c r="T244" s="20" t="s">
        <v>75</v>
      </c>
      <c r="U244" s="21" t="s">
        <v>299</v>
      </c>
      <c r="V244" s="22">
        <v>38</v>
      </c>
      <c r="W244" s="22">
        <v>9</v>
      </c>
      <c r="X244" s="23"/>
    </row>
    <row r="245" spans="1:24" s="1" customFormat="1" ht="21" customHeight="1" x14ac:dyDescent="0.3">
      <c r="A245" s="24" t="s">
        <v>23</v>
      </c>
      <c r="B245" s="24" t="s">
        <v>351</v>
      </c>
      <c r="C245" s="31" t="s">
        <v>352</v>
      </c>
      <c r="D245" s="58"/>
      <c r="E245" s="43" t="str">
        <f>HYPERLINK("https://www.google.ru/search?q=52797-0176&amp;newwindow=1&amp;tbm=isch","Еще фото")</f>
        <v>Еще фото</v>
      </c>
      <c r="F245" s="14"/>
      <c r="G245" s="24" t="s">
        <v>237</v>
      </c>
      <c r="H245" s="24" t="s">
        <v>27</v>
      </c>
      <c r="I245" s="24" t="s">
        <v>237</v>
      </c>
      <c r="J245" s="15" t="s">
        <v>28</v>
      </c>
      <c r="K245" s="16" t="s">
        <v>29</v>
      </c>
      <c r="L245" s="61"/>
      <c r="M245" s="15" t="s">
        <v>72</v>
      </c>
      <c r="N245" s="15" t="s">
        <v>130</v>
      </c>
      <c r="O245" s="15" t="s">
        <v>121</v>
      </c>
      <c r="P245" s="16" t="s">
        <v>354</v>
      </c>
      <c r="Q245" s="17">
        <v>16399</v>
      </c>
      <c r="R245" s="18">
        <v>66.290000000000006</v>
      </c>
      <c r="S245" s="19">
        <v>6356.9354999999996</v>
      </c>
      <c r="T245" s="20" t="s">
        <v>75</v>
      </c>
      <c r="U245" s="21" t="s">
        <v>42</v>
      </c>
      <c r="V245" s="22">
        <v>40</v>
      </c>
      <c r="W245" s="22">
        <v>25</v>
      </c>
      <c r="X245" s="23"/>
    </row>
    <row r="246" spans="1:24" s="1" customFormat="1" ht="21" customHeight="1" x14ac:dyDescent="0.3">
      <c r="A246" s="24" t="s">
        <v>23</v>
      </c>
      <c r="B246" s="24" t="s">
        <v>351</v>
      </c>
      <c r="C246" s="31" t="s">
        <v>352</v>
      </c>
      <c r="D246" s="58"/>
      <c r="E246" s="43" t="str">
        <f>HYPERLINK("https://www.google.ru/search?q=52797-0176&amp;newwindow=1&amp;tbm=isch","Еще фото")</f>
        <v>Еще фото</v>
      </c>
      <c r="F246" s="14"/>
      <c r="G246" s="24" t="s">
        <v>237</v>
      </c>
      <c r="H246" s="24" t="s">
        <v>27</v>
      </c>
      <c r="I246" s="24" t="s">
        <v>237</v>
      </c>
      <c r="J246" s="15" t="s">
        <v>28</v>
      </c>
      <c r="K246" s="16" t="s">
        <v>29</v>
      </c>
      <c r="L246" s="61"/>
      <c r="M246" s="15" t="s">
        <v>72</v>
      </c>
      <c r="N246" s="15" t="s">
        <v>130</v>
      </c>
      <c r="O246" s="15" t="s">
        <v>121</v>
      </c>
      <c r="P246" s="16" t="s">
        <v>354</v>
      </c>
      <c r="Q246" s="17">
        <v>16399</v>
      </c>
      <c r="R246" s="18">
        <v>66.290000000000006</v>
      </c>
      <c r="S246" s="19">
        <v>6356.9354999999996</v>
      </c>
      <c r="T246" s="20" t="s">
        <v>75</v>
      </c>
      <c r="U246" s="21" t="s">
        <v>255</v>
      </c>
      <c r="V246" s="22">
        <v>40</v>
      </c>
      <c r="W246" s="22">
        <v>22</v>
      </c>
      <c r="X246" s="23"/>
    </row>
    <row r="247" spans="1:24" s="1" customFormat="1" ht="21" customHeight="1" x14ac:dyDescent="0.3">
      <c r="A247" s="24" t="s">
        <v>23</v>
      </c>
      <c r="B247" s="24" t="s">
        <v>351</v>
      </c>
      <c r="C247" s="31" t="s">
        <v>352</v>
      </c>
      <c r="D247" s="58"/>
      <c r="E247" s="43" t="str">
        <f>HYPERLINK("https://www.google.ru/search?q=52797-0176&amp;newwindow=1&amp;tbm=isch","Еще фото")</f>
        <v>Еще фото</v>
      </c>
      <c r="F247" s="14"/>
      <c r="G247" s="24" t="s">
        <v>237</v>
      </c>
      <c r="H247" s="24" t="s">
        <v>27</v>
      </c>
      <c r="I247" s="24" t="s">
        <v>237</v>
      </c>
      <c r="J247" s="15" t="s">
        <v>28</v>
      </c>
      <c r="K247" s="16" t="s">
        <v>29</v>
      </c>
      <c r="L247" s="61"/>
      <c r="M247" s="15" t="s">
        <v>72</v>
      </c>
      <c r="N247" s="15" t="s">
        <v>130</v>
      </c>
      <c r="O247" s="15" t="s">
        <v>121</v>
      </c>
      <c r="P247" s="16" t="s">
        <v>354</v>
      </c>
      <c r="Q247" s="17">
        <v>16399</v>
      </c>
      <c r="R247" s="18">
        <v>66.290000000000006</v>
      </c>
      <c r="S247" s="19">
        <v>6356.9354999999996</v>
      </c>
      <c r="T247" s="20" t="s">
        <v>75</v>
      </c>
      <c r="U247" s="21" t="s">
        <v>43</v>
      </c>
      <c r="V247" s="25" t="s">
        <v>44</v>
      </c>
      <c r="W247" s="22">
        <v>5</v>
      </c>
      <c r="X247" s="23"/>
    </row>
    <row r="248" spans="1:24" s="1" customFormat="1" ht="32" customHeight="1" x14ac:dyDescent="0.3">
      <c r="A248" s="24" t="s">
        <v>23</v>
      </c>
      <c r="B248" s="24" t="s">
        <v>351</v>
      </c>
      <c r="C248" s="31" t="s">
        <v>352</v>
      </c>
      <c r="D248" s="59"/>
      <c r="E248" s="43" t="str">
        <f>HYPERLINK("https://www.google.ru/search?q=52797-0176&amp;newwindow=1&amp;tbm=isch","Еще фото")</f>
        <v>Еще фото</v>
      </c>
      <c r="F248" s="14"/>
      <c r="G248" s="24" t="s">
        <v>237</v>
      </c>
      <c r="H248" s="24" t="s">
        <v>27</v>
      </c>
      <c r="I248" s="24" t="s">
        <v>237</v>
      </c>
      <c r="J248" s="15" t="s">
        <v>28</v>
      </c>
      <c r="K248" s="16" t="s">
        <v>29</v>
      </c>
      <c r="L248" s="62"/>
      <c r="M248" s="15" t="s">
        <v>72</v>
      </c>
      <c r="N248" s="15" t="s">
        <v>130</v>
      </c>
      <c r="O248" s="15" t="s">
        <v>121</v>
      </c>
      <c r="P248" s="16" t="s">
        <v>354</v>
      </c>
      <c r="Q248" s="17">
        <v>16399</v>
      </c>
      <c r="R248" s="18">
        <v>66.290000000000006</v>
      </c>
      <c r="S248" s="19">
        <v>6356.9354999999996</v>
      </c>
      <c r="T248" s="20" t="s">
        <v>75</v>
      </c>
      <c r="U248" s="21" t="s">
        <v>45</v>
      </c>
      <c r="V248" s="25" t="s">
        <v>44</v>
      </c>
      <c r="W248" s="22">
        <v>9</v>
      </c>
      <c r="X248" s="23"/>
    </row>
    <row r="249" spans="1:24" s="1" customFormat="1" ht="11" customHeight="1" x14ac:dyDescent="0.3">
      <c r="A249" s="11" t="s">
        <v>23</v>
      </c>
      <c r="B249" s="11" t="s">
        <v>355</v>
      </c>
      <c r="C249" s="12" t="s">
        <v>356</v>
      </c>
      <c r="D249" s="57"/>
      <c r="E249" s="43" t="str">
        <f t="shared" ref="E249:E263" si="14">HYPERLINK("https://www.google.ru/search?q=05510-1275&amp;newwindow=1&amp;tbm=isch","Еще фото")</f>
        <v>Еще фото</v>
      </c>
      <c r="F249" s="14"/>
      <c r="G249" s="11" t="s">
        <v>237</v>
      </c>
      <c r="H249" s="11" t="s">
        <v>27</v>
      </c>
      <c r="I249" s="15" t="s">
        <v>237</v>
      </c>
      <c r="J249" s="15" t="s">
        <v>37</v>
      </c>
      <c r="K249" s="16" t="s">
        <v>57</v>
      </c>
      <c r="L249" s="60" t="s">
        <v>357</v>
      </c>
      <c r="M249" s="15"/>
      <c r="N249" s="15" t="s">
        <v>138</v>
      </c>
      <c r="O249" s="15"/>
      <c r="P249" s="16" t="s">
        <v>358</v>
      </c>
      <c r="Q249" s="17">
        <v>18899</v>
      </c>
      <c r="R249" s="18">
        <v>64.3</v>
      </c>
      <c r="S249" s="19">
        <v>7759.9354999999996</v>
      </c>
      <c r="T249" s="20" t="s">
        <v>75</v>
      </c>
      <c r="U249" s="21" t="s">
        <v>51</v>
      </c>
      <c r="V249" s="22">
        <v>44</v>
      </c>
      <c r="W249" s="22">
        <v>1</v>
      </c>
      <c r="X249" s="23"/>
    </row>
    <row r="250" spans="1:24" s="1" customFormat="1" ht="11" customHeight="1" x14ac:dyDescent="0.3">
      <c r="A250" s="24" t="s">
        <v>23</v>
      </c>
      <c r="B250" s="24" t="s">
        <v>355</v>
      </c>
      <c r="C250" s="12" t="s">
        <v>356</v>
      </c>
      <c r="D250" s="58"/>
      <c r="E250" s="43" t="str">
        <f t="shared" si="14"/>
        <v>Еще фото</v>
      </c>
      <c r="F250" s="14"/>
      <c r="G250" s="24" t="s">
        <v>237</v>
      </c>
      <c r="H250" s="24" t="s">
        <v>27</v>
      </c>
      <c r="I250" s="24" t="s">
        <v>237</v>
      </c>
      <c r="J250" s="15" t="s">
        <v>37</v>
      </c>
      <c r="K250" s="16" t="s">
        <v>57</v>
      </c>
      <c r="L250" s="61"/>
      <c r="M250" s="15"/>
      <c r="N250" s="15" t="s">
        <v>138</v>
      </c>
      <c r="O250" s="15"/>
      <c r="P250" s="16" t="s">
        <v>358</v>
      </c>
      <c r="Q250" s="17">
        <v>18899</v>
      </c>
      <c r="R250" s="18">
        <v>64.3</v>
      </c>
      <c r="S250" s="19">
        <v>7759.9354999999996</v>
      </c>
      <c r="T250" s="20" t="s">
        <v>75</v>
      </c>
      <c r="U250" s="21" t="s">
        <v>230</v>
      </c>
      <c r="V250" s="25" t="s">
        <v>63</v>
      </c>
      <c r="W250" s="22">
        <v>1</v>
      </c>
      <c r="X250" s="23"/>
    </row>
    <row r="251" spans="1:24" s="1" customFormat="1" ht="11" customHeight="1" x14ac:dyDescent="0.3">
      <c r="A251" s="24" t="s">
        <v>23</v>
      </c>
      <c r="B251" s="24" t="s">
        <v>355</v>
      </c>
      <c r="C251" s="12" t="s">
        <v>356</v>
      </c>
      <c r="D251" s="58"/>
      <c r="E251" s="43" t="str">
        <f t="shared" si="14"/>
        <v>Еще фото</v>
      </c>
      <c r="F251" s="14"/>
      <c r="G251" s="24" t="s">
        <v>237</v>
      </c>
      <c r="H251" s="24" t="s">
        <v>27</v>
      </c>
      <c r="I251" s="24" t="s">
        <v>237</v>
      </c>
      <c r="J251" s="15" t="s">
        <v>37</v>
      </c>
      <c r="K251" s="16" t="s">
        <v>57</v>
      </c>
      <c r="L251" s="61"/>
      <c r="M251" s="15"/>
      <c r="N251" s="15" t="s">
        <v>138</v>
      </c>
      <c r="O251" s="15"/>
      <c r="P251" s="16" t="s">
        <v>358</v>
      </c>
      <c r="Q251" s="17">
        <v>18899</v>
      </c>
      <c r="R251" s="18">
        <v>64.3</v>
      </c>
      <c r="S251" s="19">
        <v>7759.9354999999996</v>
      </c>
      <c r="T251" s="20" t="s">
        <v>75</v>
      </c>
      <c r="U251" s="21" t="s">
        <v>173</v>
      </c>
      <c r="V251" s="25" t="s">
        <v>63</v>
      </c>
      <c r="W251" s="22">
        <v>7</v>
      </c>
      <c r="X251" s="23"/>
    </row>
    <row r="252" spans="1:24" s="1" customFormat="1" ht="11" customHeight="1" x14ac:dyDescent="0.3">
      <c r="A252" s="24" t="s">
        <v>23</v>
      </c>
      <c r="B252" s="24" t="s">
        <v>355</v>
      </c>
      <c r="C252" s="12" t="s">
        <v>356</v>
      </c>
      <c r="D252" s="58"/>
      <c r="E252" s="43" t="str">
        <f t="shared" si="14"/>
        <v>Еще фото</v>
      </c>
      <c r="F252" s="14"/>
      <c r="G252" s="24" t="s">
        <v>237</v>
      </c>
      <c r="H252" s="24" t="s">
        <v>27</v>
      </c>
      <c r="I252" s="24" t="s">
        <v>237</v>
      </c>
      <c r="J252" s="15" t="s">
        <v>37</v>
      </c>
      <c r="K252" s="16" t="s">
        <v>57</v>
      </c>
      <c r="L252" s="61"/>
      <c r="M252" s="15"/>
      <c r="N252" s="15" t="s">
        <v>138</v>
      </c>
      <c r="O252" s="15"/>
      <c r="P252" s="16" t="s">
        <v>358</v>
      </c>
      <c r="Q252" s="17">
        <v>18899</v>
      </c>
      <c r="R252" s="18">
        <v>64.3</v>
      </c>
      <c r="S252" s="19">
        <v>7759.9354999999996</v>
      </c>
      <c r="T252" s="20" t="s">
        <v>75</v>
      </c>
      <c r="U252" s="21" t="s">
        <v>53</v>
      </c>
      <c r="V252" s="22">
        <v>46</v>
      </c>
      <c r="W252" s="22">
        <v>1</v>
      </c>
      <c r="X252" s="23"/>
    </row>
    <row r="253" spans="1:24" s="1" customFormat="1" ht="11" customHeight="1" x14ac:dyDescent="0.3">
      <c r="A253" s="24" t="s">
        <v>23</v>
      </c>
      <c r="B253" s="24" t="s">
        <v>355</v>
      </c>
      <c r="C253" s="12" t="s">
        <v>356</v>
      </c>
      <c r="D253" s="58"/>
      <c r="E253" s="43" t="str">
        <f t="shared" si="14"/>
        <v>Еще фото</v>
      </c>
      <c r="F253" s="14"/>
      <c r="G253" s="24" t="s">
        <v>237</v>
      </c>
      <c r="H253" s="24" t="s">
        <v>27</v>
      </c>
      <c r="I253" s="24" t="s">
        <v>237</v>
      </c>
      <c r="J253" s="15" t="s">
        <v>37</v>
      </c>
      <c r="K253" s="16" t="s">
        <v>57</v>
      </c>
      <c r="L253" s="61"/>
      <c r="M253" s="15"/>
      <c r="N253" s="15" t="s">
        <v>138</v>
      </c>
      <c r="O253" s="15"/>
      <c r="P253" s="16" t="s">
        <v>358</v>
      </c>
      <c r="Q253" s="17">
        <v>18899</v>
      </c>
      <c r="R253" s="18">
        <v>64.3</v>
      </c>
      <c r="S253" s="19">
        <v>7759.9354999999996</v>
      </c>
      <c r="T253" s="20" t="s">
        <v>75</v>
      </c>
      <c r="U253" s="21" t="s">
        <v>188</v>
      </c>
      <c r="V253" s="25" t="s">
        <v>65</v>
      </c>
      <c r="W253" s="22">
        <v>2</v>
      </c>
      <c r="X253" s="23"/>
    </row>
    <row r="254" spans="1:24" s="1" customFormat="1" ht="11" customHeight="1" x14ac:dyDescent="0.3">
      <c r="A254" s="24" t="s">
        <v>23</v>
      </c>
      <c r="B254" s="24" t="s">
        <v>355</v>
      </c>
      <c r="C254" s="12" t="s">
        <v>356</v>
      </c>
      <c r="D254" s="58"/>
      <c r="E254" s="43" t="str">
        <f t="shared" si="14"/>
        <v>Еще фото</v>
      </c>
      <c r="F254" s="14"/>
      <c r="G254" s="24" t="s">
        <v>237</v>
      </c>
      <c r="H254" s="24" t="s">
        <v>27</v>
      </c>
      <c r="I254" s="24" t="s">
        <v>237</v>
      </c>
      <c r="J254" s="15" t="s">
        <v>37</v>
      </c>
      <c r="K254" s="16" t="s">
        <v>57</v>
      </c>
      <c r="L254" s="61"/>
      <c r="M254" s="15"/>
      <c r="N254" s="15" t="s">
        <v>138</v>
      </c>
      <c r="O254" s="15"/>
      <c r="P254" s="16" t="s">
        <v>358</v>
      </c>
      <c r="Q254" s="17">
        <v>18899</v>
      </c>
      <c r="R254" s="18">
        <v>64.3</v>
      </c>
      <c r="S254" s="19">
        <v>7759.9354999999996</v>
      </c>
      <c r="T254" s="20" t="s">
        <v>75</v>
      </c>
      <c r="U254" s="21" t="s">
        <v>109</v>
      </c>
      <c r="V254" s="25" t="s">
        <v>65</v>
      </c>
      <c r="W254" s="22">
        <v>4</v>
      </c>
      <c r="X254" s="23"/>
    </row>
    <row r="255" spans="1:24" s="1" customFormat="1" ht="11" customHeight="1" x14ac:dyDescent="0.3">
      <c r="A255" s="24" t="s">
        <v>23</v>
      </c>
      <c r="B255" s="24" t="s">
        <v>355</v>
      </c>
      <c r="C255" s="12" t="s">
        <v>356</v>
      </c>
      <c r="D255" s="58"/>
      <c r="E255" s="43" t="str">
        <f t="shared" si="14"/>
        <v>Еще фото</v>
      </c>
      <c r="F255" s="14"/>
      <c r="G255" s="24" t="s">
        <v>237</v>
      </c>
      <c r="H255" s="24" t="s">
        <v>27</v>
      </c>
      <c r="I255" s="24" t="s">
        <v>237</v>
      </c>
      <c r="J255" s="15" t="s">
        <v>37</v>
      </c>
      <c r="K255" s="16" t="s">
        <v>57</v>
      </c>
      <c r="L255" s="61"/>
      <c r="M255" s="15"/>
      <c r="N255" s="15" t="s">
        <v>138</v>
      </c>
      <c r="O255" s="15"/>
      <c r="P255" s="16" t="s">
        <v>358</v>
      </c>
      <c r="Q255" s="17">
        <v>18899</v>
      </c>
      <c r="R255" s="18">
        <v>64.3</v>
      </c>
      <c r="S255" s="19">
        <v>7759.9354999999996</v>
      </c>
      <c r="T255" s="20" t="s">
        <v>75</v>
      </c>
      <c r="U255" s="21" t="s">
        <v>140</v>
      </c>
      <c r="V255" s="25" t="s">
        <v>65</v>
      </c>
      <c r="W255" s="22">
        <v>1</v>
      </c>
      <c r="X255" s="23"/>
    </row>
    <row r="256" spans="1:24" s="1" customFormat="1" ht="11" customHeight="1" x14ac:dyDescent="0.3">
      <c r="A256" s="24" t="s">
        <v>23</v>
      </c>
      <c r="B256" s="24" t="s">
        <v>355</v>
      </c>
      <c r="C256" s="12" t="s">
        <v>356</v>
      </c>
      <c r="D256" s="58"/>
      <c r="E256" s="43" t="str">
        <f t="shared" si="14"/>
        <v>Еще фото</v>
      </c>
      <c r="F256" s="14"/>
      <c r="G256" s="24" t="s">
        <v>237</v>
      </c>
      <c r="H256" s="24" t="s">
        <v>27</v>
      </c>
      <c r="I256" s="24" t="s">
        <v>237</v>
      </c>
      <c r="J256" s="15" t="s">
        <v>37</v>
      </c>
      <c r="K256" s="16" t="s">
        <v>57</v>
      </c>
      <c r="L256" s="61"/>
      <c r="M256" s="15"/>
      <c r="N256" s="15" t="s">
        <v>138</v>
      </c>
      <c r="O256" s="15"/>
      <c r="P256" s="16" t="s">
        <v>358</v>
      </c>
      <c r="Q256" s="17">
        <v>18899</v>
      </c>
      <c r="R256" s="18">
        <v>64.3</v>
      </c>
      <c r="S256" s="19">
        <v>7759.9354999999996</v>
      </c>
      <c r="T256" s="20" t="s">
        <v>75</v>
      </c>
      <c r="U256" s="21" t="s">
        <v>95</v>
      </c>
      <c r="V256" s="22">
        <v>48</v>
      </c>
      <c r="W256" s="22">
        <v>8</v>
      </c>
      <c r="X256" s="23"/>
    </row>
    <row r="257" spans="1:24" s="1" customFormat="1" ht="11" customHeight="1" x14ac:dyDescent="0.3">
      <c r="A257" s="24" t="s">
        <v>23</v>
      </c>
      <c r="B257" s="24" t="s">
        <v>355</v>
      </c>
      <c r="C257" s="12" t="s">
        <v>356</v>
      </c>
      <c r="D257" s="58"/>
      <c r="E257" s="43" t="str">
        <f t="shared" si="14"/>
        <v>Еще фото</v>
      </c>
      <c r="F257" s="14"/>
      <c r="G257" s="24" t="s">
        <v>237</v>
      </c>
      <c r="H257" s="24" t="s">
        <v>27</v>
      </c>
      <c r="I257" s="24" t="s">
        <v>237</v>
      </c>
      <c r="J257" s="15" t="s">
        <v>37</v>
      </c>
      <c r="K257" s="16" t="s">
        <v>57</v>
      </c>
      <c r="L257" s="61"/>
      <c r="M257" s="15"/>
      <c r="N257" s="15" t="s">
        <v>138</v>
      </c>
      <c r="O257" s="15"/>
      <c r="P257" s="16" t="s">
        <v>358</v>
      </c>
      <c r="Q257" s="17">
        <v>18899</v>
      </c>
      <c r="R257" s="18">
        <v>64.3</v>
      </c>
      <c r="S257" s="19">
        <v>7759.9354999999996</v>
      </c>
      <c r="T257" s="20" t="s">
        <v>75</v>
      </c>
      <c r="U257" s="21" t="s">
        <v>165</v>
      </c>
      <c r="V257" s="22">
        <v>48</v>
      </c>
      <c r="W257" s="22">
        <v>5</v>
      </c>
      <c r="X257" s="23"/>
    </row>
    <row r="258" spans="1:24" s="1" customFormat="1" ht="11" customHeight="1" x14ac:dyDescent="0.3">
      <c r="A258" s="15" t="s">
        <v>23</v>
      </c>
      <c r="B258" s="15" t="s">
        <v>355</v>
      </c>
      <c r="C258" s="12" t="s">
        <v>356</v>
      </c>
      <c r="D258" s="58"/>
      <c r="E258" s="43" t="str">
        <f t="shared" si="14"/>
        <v>Еще фото</v>
      </c>
      <c r="F258" s="26"/>
      <c r="G258" s="15" t="s">
        <v>237</v>
      </c>
      <c r="H258" s="15" t="s">
        <v>27</v>
      </c>
      <c r="I258" s="15" t="s">
        <v>237</v>
      </c>
      <c r="J258" s="15" t="s">
        <v>37</v>
      </c>
      <c r="K258" s="15" t="s">
        <v>57</v>
      </c>
      <c r="L258" s="61"/>
      <c r="M258" s="15"/>
      <c r="N258" s="15" t="s">
        <v>138</v>
      </c>
      <c r="O258" s="15"/>
      <c r="P258" s="15" t="s">
        <v>358</v>
      </c>
      <c r="Q258" s="27">
        <v>18899</v>
      </c>
      <c r="R258" s="28">
        <v>64.3</v>
      </c>
      <c r="S258" s="29">
        <v>7759.9354999999996</v>
      </c>
      <c r="T258" s="20" t="s">
        <v>75</v>
      </c>
      <c r="U258" s="21" t="s">
        <v>104</v>
      </c>
      <c r="V258" s="22">
        <v>48</v>
      </c>
      <c r="W258" s="22">
        <v>6</v>
      </c>
      <c r="X258" s="23"/>
    </row>
    <row r="259" spans="1:24" s="1" customFormat="1" ht="11" customHeight="1" x14ac:dyDescent="0.3">
      <c r="A259" s="15" t="s">
        <v>23</v>
      </c>
      <c r="B259" s="15" t="s">
        <v>355</v>
      </c>
      <c r="C259" s="12" t="s">
        <v>356</v>
      </c>
      <c r="D259" s="58"/>
      <c r="E259" s="43" t="str">
        <f t="shared" si="14"/>
        <v>Еще фото</v>
      </c>
      <c r="F259" s="26"/>
      <c r="G259" s="15" t="s">
        <v>237</v>
      </c>
      <c r="H259" s="15" t="s">
        <v>27</v>
      </c>
      <c r="I259" s="15" t="s">
        <v>237</v>
      </c>
      <c r="J259" s="15" t="s">
        <v>37</v>
      </c>
      <c r="K259" s="15" t="s">
        <v>57</v>
      </c>
      <c r="L259" s="61"/>
      <c r="M259" s="15"/>
      <c r="N259" s="15" t="s">
        <v>138</v>
      </c>
      <c r="O259" s="15"/>
      <c r="P259" s="15" t="s">
        <v>358</v>
      </c>
      <c r="Q259" s="27">
        <v>18899</v>
      </c>
      <c r="R259" s="28">
        <v>64.3</v>
      </c>
      <c r="S259" s="29">
        <v>7759.9354999999996</v>
      </c>
      <c r="T259" s="20" t="s">
        <v>75</v>
      </c>
      <c r="U259" s="21" t="s">
        <v>200</v>
      </c>
      <c r="V259" s="25" t="s">
        <v>96</v>
      </c>
      <c r="W259" s="22">
        <v>5</v>
      </c>
      <c r="X259" s="23"/>
    </row>
    <row r="260" spans="1:24" s="1" customFormat="1" ht="11" customHeight="1" x14ac:dyDescent="0.3">
      <c r="A260" s="15" t="s">
        <v>23</v>
      </c>
      <c r="B260" s="15" t="s">
        <v>355</v>
      </c>
      <c r="C260" s="12" t="s">
        <v>356</v>
      </c>
      <c r="D260" s="58"/>
      <c r="E260" s="43" t="str">
        <f t="shared" si="14"/>
        <v>Еще фото</v>
      </c>
      <c r="F260" s="26"/>
      <c r="G260" s="15" t="s">
        <v>237</v>
      </c>
      <c r="H260" s="15" t="s">
        <v>27</v>
      </c>
      <c r="I260" s="15" t="s">
        <v>237</v>
      </c>
      <c r="J260" s="15" t="s">
        <v>37</v>
      </c>
      <c r="K260" s="15" t="s">
        <v>57</v>
      </c>
      <c r="L260" s="61"/>
      <c r="M260" s="15"/>
      <c r="N260" s="15" t="s">
        <v>138</v>
      </c>
      <c r="O260" s="15"/>
      <c r="P260" s="15" t="s">
        <v>358</v>
      </c>
      <c r="Q260" s="27">
        <v>18899</v>
      </c>
      <c r="R260" s="28">
        <v>64.3</v>
      </c>
      <c r="S260" s="29">
        <v>7759.9354999999996</v>
      </c>
      <c r="T260" s="20" t="s">
        <v>75</v>
      </c>
      <c r="U260" s="21" t="s">
        <v>166</v>
      </c>
      <c r="V260" s="25" t="s">
        <v>96</v>
      </c>
      <c r="W260" s="22">
        <v>6</v>
      </c>
      <c r="X260" s="23"/>
    </row>
    <row r="261" spans="1:24" s="1" customFormat="1" ht="11" customHeight="1" x14ac:dyDescent="0.3">
      <c r="A261" s="15" t="s">
        <v>23</v>
      </c>
      <c r="B261" s="15" t="s">
        <v>355</v>
      </c>
      <c r="C261" s="12" t="s">
        <v>356</v>
      </c>
      <c r="D261" s="58"/>
      <c r="E261" s="43" t="str">
        <f t="shared" si="14"/>
        <v>Еще фото</v>
      </c>
      <c r="F261" s="26"/>
      <c r="G261" s="15" t="s">
        <v>237</v>
      </c>
      <c r="H261" s="15" t="s">
        <v>27</v>
      </c>
      <c r="I261" s="15" t="s">
        <v>237</v>
      </c>
      <c r="J261" s="15" t="s">
        <v>37</v>
      </c>
      <c r="K261" s="15" t="s">
        <v>57</v>
      </c>
      <c r="L261" s="61"/>
      <c r="M261" s="15"/>
      <c r="N261" s="15" t="s">
        <v>138</v>
      </c>
      <c r="O261" s="15"/>
      <c r="P261" s="15" t="s">
        <v>358</v>
      </c>
      <c r="Q261" s="27">
        <v>18899</v>
      </c>
      <c r="R261" s="28">
        <v>64.3</v>
      </c>
      <c r="S261" s="29">
        <v>7759.9354999999996</v>
      </c>
      <c r="T261" s="20" t="s">
        <v>75</v>
      </c>
      <c r="U261" s="21" t="s">
        <v>359</v>
      </c>
      <c r="V261" s="25" t="s">
        <v>96</v>
      </c>
      <c r="W261" s="22">
        <v>4</v>
      </c>
      <c r="X261" s="23"/>
    </row>
    <row r="262" spans="1:24" s="1" customFormat="1" ht="11" customHeight="1" x14ac:dyDescent="0.3">
      <c r="A262" s="15" t="s">
        <v>23</v>
      </c>
      <c r="B262" s="15" t="s">
        <v>355</v>
      </c>
      <c r="C262" s="12" t="s">
        <v>356</v>
      </c>
      <c r="D262" s="58"/>
      <c r="E262" s="43" t="str">
        <f t="shared" si="14"/>
        <v>Еще фото</v>
      </c>
      <c r="F262" s="26"/>
      <c r="G262" s="15" t="s">
        <v>237</v>
      </c>
      <c r="H262" s="15" t="s">
        <v>27</v>
      </c>
      <c r="I262" s="15" t="s">
        <v>237</v>
      </c>
      <c r="J262" s="15" t="s">
        <v>37</v>
      </c>
      <c r="K262" s="15" t="s">
        <v>57</v>
      </c>
      <c r="L262" s="61"/>
      <c r="M262" s="15"/>
      <c r="N262" s="15" t="s">
        <v>138</v>
      </c>
      <c r="O262" s="15"/>
      <c r="P262" s="15" t="s">
        <v>358</v>
      </c>
      <c r="Q262" s="27">
        <v>18899</v>
      </c>
      <c r="R262" s="28">
        <v>64.3</v>
      </c>
      <c r="S262" s="29">
        <v>7759.9354999999996</v>
      </c>
      <c r="T262" s="20" t="s">
        <v>75</v>
      </c>
      <c r="U262" s="21" t="s">
        <v>203</v>
      </c>
      <c r="V262" s="22">
        <v>50</v>
      </c>
      <c r="W262" s="22">
        <v>1</v>
      </c>
      <c r="X262" s="23"/>
    </row>
    <row r="263" spans="1:24" s="1" customFormat="1" ht="11" customHeight="1" x14ac:dyDescent="0.3">
      <c r="A263" s="15" t="s">
        <v>23</v>
      </c>
      <c r="B263" s="15" t="s">
        <v>355</v>
      </c>
      <c r="C263" s="12" t="s">
        <v>356</v>
      </c>
      <c r="D263" s="59"/>
      <c r="E263" s="43" t="str">
        <f t="shared" si="14"/>
        <v>Еще фото</v>
      </c>
      <c r="F263" s="26"/>
      <c r="G263" s="15" t="s">
        <v>237</v>
      </c>
      <c r="H263" s="15" t="s">
        <v>27</v>
      </c>
      <c r="I263" s="15" t="s">
        <v>237</v>
      </c>
      <c r="J263" s="15" t="s">
        <v>37</v>
      </c>
      <c r="K263" s="15" t="s">
        <v>57</v>
      </c>
      <c r="L263" s="62"/>
      <c r="M263" s="15"/>
      <c r="N263" s="15" t="s">
        <v>138</v>
      </c>
      <c r="O263" s="15"/>
      <c r="P263" s="15" t="s">
        <v>358</v>
      </c>
      <c r="Q263" s="27">
        <v>18899</v>
      </c>
      <c r="R263" s="28">
        <v>64.3</v>
      </c>
      <c r="S263" s="29">
        <v>7759.9354999999996</v>
      </c>
      <c r="T263" s="20" t="s">
        <v>75</v>
      </c>
      <c r="U263" s="21" t="s">
        <v>89</v>
      </c>
      <c r="V263" s="22">
        <v>50</v>
      </c>
      <c r="W263" s="22">
        <v>3</v>
      </c>
      <c r="X263" s="23"/>
    </row>
    <row r="264" spans="1:24" s="1" customFormat="1" ht="52.05" customHeight="1" x14ac:dyDescent="0.3">
      <c r="A264" s="11" t="s">
        <v>23</v>
      </c>
      <c r="B264" s="11" t="s">
        <v>360</v>
      </c>
      <c r="C264" s="12" t="s">
        <v>361</v>
      </c>
      <c r="D264" s="63"/>
      <c r="E264" s="43" t="str">
        <f>HYPERLINK("https://www.google.ru/search?q=17778-0498&amp;newwindow=1&amp;tbm=isch","Еще фото")</f>
        <v>Еще фото</v>
      </c>
      <c r="F264" s="14"/>
      <c r="G264" s="11" t="s">
        <v>237</v>
      </c>
      <c r="H264" s="11" t="s">
        <v>27</v>
      </c>
      <c r="I264" s="15" t="s">
        <v>237</v>
      </c>
      <c r="J264" s="15" t="s">
        <v>37</v>
      </c>
      <c r="K264" s="16" t="s">
        <v>29</v>
      </c>
      <c r="L264" s="60" t="s">
        <v>238</v>
      </c>
      <c r="M264" s="15"/>
      <c r="N264" s="15" t="s">
        <v>138</v>
      </c>
      <c r="O264" s="15"/>
      <c r="P264" s="16" t="s">
        <v>350</v>
      </c>
      <c r="Q264" s="17">
        <v>15799</v>
      </c>
      <c r="R264" s="18">
        <v>61.97</v>
      </c>
      <c r="S264" s="19">
        <v>6908.9354999999996</v>
      </c>
      <c r="T264" s="20" t="s">
        <v>75</v>
      </c>
      <c r="U264" s="21" t="s">
        <v>362</v>
      </c>
      <c r="V264" s="22">
        <v>44</v>
      </c>
      <c r="W264" s="22">
        <v>1</v>
      </c>
      <c r="X264" s="23"/>
    </row>
    <row r="265" spans="1:24" s="1" customFormat="1" ht="61.05" customHeight="1" x14ac:dyDescent="0.3">
      <c r="A265" s="24" t="s">
        <v>23</v>
      </c>
      <c r="B265" s="24" t="s">
        <v>360</v>
      </c>
      <c r="C265" s="12" t="s">
        <v>361</v>
      </c>
      <c r="D265" s="64"/>
      <c r="E265" s="43" t="str">
        <f>HYPERLINK("https://www.google.ru/search?q=17778-0498&amp;newwindow=1&amp;tbm=isch","Еще фото")</f>
        <v>Еще фото</v>
      </c>
      <c r="F265" s="14"/>
      <c r="G265" s="24" t="s">
        <v>237</v>
      </c>
      <c r="H265" s="24" t="s">
        <v>27</v>
      </c>
      <c r="I265" s="24" t="s">
        <v>237</v>
      </c>
      <c r="J265" s="15" t="s">
        <v>37</v>
      </c>
      <c r="K265" s="16" t="s">
        <v>29</v>
      </c>
      <c r="L265" s="62"/>
      <c r="M265" s="15"/>
      <c r="N265" s="15" t="s">
        <v>138</v>
      </c>
      <c r="O265" s="15"/>
      <c r="P265" s="16" t="s">
        <v>350</v>
      </c>
      <c r="Q265" s="17">
        <v>15799</v>
      </c>
      <c r="R265" s="18">
        <v>61.97</v>
      </c>
      <c r="S265" s="19">
        <v>6908.9354999999996</v>
      </c>
      <c r="T265" s="20" t="s">
        <v>75</v>
      </c>
      <c r="U265" s="21" t="s">
        <v>52</v>
      </c>
      <c r="V265" s="22">
        <v>48</v>
      </c>
      <c r="W265" s="22">
        <v>1</v>
      </c>
      <c r="X265" s="23"/>
    </row>
    <row r="266" spans="1:24" s="1" customFormat="1" ht="52.05" customHeight="1" x14ac:dyDescent="0.3">
      <c r="A266" s="11" t="s">
        <v>23</v>
      </c>
      <c r="B266" s="11" t="s">
        <v>363</v>
      </c>
      <c r="C266" s="12" t="s">
        <v>364</v>
      </c>
      <c r="D266" s="63"/>
      <c r="E266" s="43" t="str">
        <f>HYPERLINK("https://www.google.ru/search?q=18882-0332&amp;newwindow=1&amp;tbm=isch","Еще фото")</f>
        <v>Еще фото</v>
      </c>
      <c r="F266" s="14"/>
      <c r="G266" s="11" t="s">
        <v>237</v>
      </c>
      <c r="H266" s="11" t="s">
        <v>27</v>
      </c>
      <c r="I266" s="15" t="s">
        <v>237</v>
      </c>
      <c r="J266" s="15" t="s">
        <v>28</v>
      </c>
      <c r="K266" s="16" t="s">
        <v>29</v>
      </c>
      <c r="L266" s="60" t="s">
        <v>365</v>
      </c>
      <c r="M266" s="15" t="s">
        <v>72</v>
      </c>
      <c r="N266" s="15" t="s">
        <v>138</v>
      </c>
      <c r="O266" s="15"/>
      <c r="P266" s="16" t="s">
        <v>297</v>
      </c>
      <c r="Q266" s="17">
        <v>14599</v>
      </c>
      <c r="R266" s="18">
        <v>61.93</v>
      </c>
      <c r="S266" s="19">
        <v>6391.4354999999996</v>
      </c>
      <c r="T266" s="20" t="s">
        <v>75</v>
      </c>
      <c r="U266" s="21" t="s">
        <v>299</v>
      </c>
      <c r="V266" s="22">
        <v>38</v>
      </c>
      <c r="W266" s="22">
        <v>1</v>
      </c>
      <c r="X266" s="23"/>
    </row>
    <row r="267" spans="1:24" s="1" customFormat="1" ht="61.05" customHeight="1" x14ac:dyDescent="0.3">
      <c r="A267" s="24" t="s">
        <v>23</v>
      </c>
      <c r="B267" s="24" t="s">
        <v>363</v>
      </c>
      <c r="C267" s="12" t="s">
        <v>364</v>
      </c>
      <c r="D267" s="64"/>
      <c r="E267" s="43" t="str">
        <f>HYPERLINK("https://www.google.ru/search?q=18882-0332&amp;newwindow=1&amp;tbm=isch","Еще фото")</f>
        <v>Еще фото</v>
      </c>
      <c r="F267" s="14"/>
      <c r="G267" s="24" t="s">
        <v>237</v>
      </c>
      <c r="H267" s="24" t="s">
        <v>27</v>
      </c>
      <c r="I267" s="24" t="s">
        <v>237</v>
      </c>
      <c r="J267" s="15" t="s">
        <v>28</v>
      </c>
      <c r="K267" s="16" t="s">
        <v>29</v>
      </c>
      <c r="L267" s="62"/>
      <c r="M267" s="15" t="s">
        <v>72</v>
      </c>
      <c r="N267" s="15" t="s">
        <v>138</v>
      </c>
      <c r="O267" s="15"/>
      <c r="P267" s="16" t="s">
        <v>297</v>
      </c>
      <c r="Q267" s="17">
        <v>14599</v>
      </c>
      <c r="R267" s="18">
        <v>61.93</v>
      </c>
      <c r="S267" s="19">
        <v>6391.4354999999996</v>
      </c>
      <c r="T267" s="20" t="s">
        <v>75</v>
      </c>
      <c r="U267" s="21" t="s">
        <v>255</v>
      </c>
      <c r="V267" s="22">
        <v>40</v>
      </c>
      <c r="W267" s="22">
        <v>1</v>
      </c>
      <c r="X267" s="23"/>
    </row>
    <row r="268" spans="1:24" s="1" customFormat="1" ht="35" customHeight="1" x14ac:dyDescent="0.3">
      <c r="A268" s="11" t="s">
        <v>23</v>
      </c>
      <c r="B268" s="11" t="s">
        <v>366</v>
      </c>
      <c r="C268" s="12" t="s">
        <v>367</v>
      </c>
      <c r="D268" s="57"/>
      <c r="E268" s="43" t="str">
        <f>HYPERLINK("https://www.google.ru/search?q=18882-0188&amp;newwindow=1&amp;tbm=isch","Еще фото")</f>
        <v>Еще фото</v>
      </c>
      <c r="F268" s="14"/>
      <c r="G268" s="11" t="s">
        <v>237</v>
      </c>
      <c r="H268" s="11" t="s">
        <v>27</v>
      </c>
      <c r="I268" s="15" t="s">
        <v>237</v>
      </c>
      <c r="J268" s="15" t="s">
        <v>28</v>
      </c>
      <c r="K268" s="16" t="s">
        <v>29</v>
      </c>
      <c r="L268" s="60" t="s">
        <v>368</v>
      </c>
      <c r="M268" s="15" t="s">
        <v>72</v>
      </c>
      <c r="N268" s="15" t="s">
        <v>130</v>
      </c>
      <c r="O268" s="15" t="s">
        <v>113</v>
      </c>
      <c r="P268" s="16" t="s">
        <v>345</v>
      </c>
      <c r="Q268" s="17">
        <v>11599</v>
      </c>
      <c r="R268" s="18">
        <v>61.74</v>
      </c>
      <c r="S268" s="19">
        <v>5103.4355000000005</v>
      </c>
      <c r="T268" s="20" t="s">
        <v>75</v>
      </c>
      <c r="U268" s="21" t="s">
        <v>299</v>
      </c>
      <c r="V268" s="22">
        <v>38</v>
      </c>
      <c r="W268" s="22">
        <v>14</v>
      </c>
      <c r="X268" s="23"/>
    </row>
    <row r="269" spans="1:24" s="1" customFormat="1" ht="35" customHeight="1" x14ac:dyDescent="0.3">
      <c r="A269" s="24" t="s">
        <v>23</v>
      </c>
      <c r="B269" s="24" t="s">
        <v>366</v>
      </c>
      <c r="C269" s="12" t="s">
        <v>367</v>
      </c>
      <c r="D269" s="58"/>
      <c r="E269" s="43" t="str">
        <f>HYPERLINK("https://www.google.ru/search?q=18882-0188&amp;newwindow=1&amp;tbm=isch","Еще фото")</f>
        <v>Еще фото</v>
      </c>
      <c r="F269" s="14"/>
      <c r="G269" s="24" t="s">
        <v>237</v>
      </c>
      <c r="H269" s="24" t="s">
        <v>27</v>
      </c>
      <c r="I269" s="24" t="s">
        <v>237</v>
      </c>
      <c r="J269" s="15" t="s">
        <v>28</v>
      </c>
      <c r="K269" s="16" t="s">
        <v>29</v>
      </c>
      <c r="L269" s="61"/>
      <c r="M269" s="15" t="s">
        <v>72</v>
      </c>
      <c r="N269" s="15" t="s">
        <v>130</v>
      </c>
      <c r="O269" s="15" t="s">
        <v>113</v>
      </c>
      <c r="P269" s="16" t="s">
        <v>345</v>
      </c>
      <c r="Q269" s="17">
        <v>11599</v>
      </c>
      <c r="R269" s="18">
        <v>61.74</v>
      </c>
      <c r="S269" s="19">
        <v>5103.4355000000005</v>
      </c>
      <c r="T269" s="20" t="s">
        <v>75</v>
      </c>
      <c r="U269" s="21" t="s">
        <v>42</v>
      </c>
      <c r="V269" s="22">
        <v>40</v>
      </c>
      <c r="W269" s="22">
        <v>11</v>
      </c>
      <c r="X269" s="23"/>
    </row>
    <row r="270" spans="1:24" s="1" customFormat="1" ht="37.049999999999997" customHeight="1" x14ac:dyDescent="0.3">
      <c r="A270" s="24" t="s">
        <v>23</v>
      </c>
      <c r="B270" s="24" t="s">
        <v>366</v>
      </c>
      <c r="C270" s="12" t="s">
        <v>367</v>
      </c>
      <c r="D270" s="59"/>
      <c r="E270" s="43" t="str">
        <f>HYPERLINK("https://www.google.ru/search?q=18882-0188&amp;newwindow=1&amp;tbm=isch","Еще фото")</f>
        <v>Еще фото</v>
      </c>
      <c r="F270" s="14"/>
      <c r="G270" s="24" t="s">
        <v>237</v>
      </c>
      <c r="H270" s="24" t="s">
        <v>27</v>
      </c>
      <c r="I270" s="24" t="s">
        <v>237</v>
      </c>
      <c r="J270" s="15" t="s">
        <v>28</v>
      </c>
      <c r="K270" s="16" t="s">
        <v>29</v>
      </c>
      <c r="L270" s="62"/>
      <c r="M270" s="15" t="s">
        <v>72</v>
      </c>
      <c r="N270" s="15" t="s">
        <v>130</v>
      </c>
      <c r="O270" s="15" t="s">
        <v>113</v>
      </c>
      <c r="P270" s="16" t="s">
        <v>345</v>
      </c>
      <c r="Q270" s="17">
        <v>11599</v>
      </c>
      <c r="R270" s="18">
        <v>61.74</v>
      </c>
      <c r="S270" s="19">
        <v>5103.4355000000005</v>
      </c>
      <c r="T270" s="20" t="s">
        <v>75</v>
      </c>
      <c r="U270" s="21" t="s">
        <v>255</v>
      </c>
      <c r="V270" s="22">
        <v>40</v>
      </c>
      <c r="W270" s="22">
        <v>11</v>
      </c>
      <c r="X270" s="23"/>
    </row>
    <row r="271" spans="1:24" s="1" customFormat="1" ht="52.05" customHeight="1" x14ac:dyDescent="0.3">
      <c r="A271" s="11" t="s">
        <v>23</v>
      </c>
      <c r="B271" s="11" t="s">
        <v>369</v>
      </c>
      <c r="C271" s="12" t="s">
        <v>370</v>
      </c>
      <c r="D271" s="63"/>
      <c r="E271" s="43" t="str">
        <f>HYPERLINK("https://www.google.ru/search?q=85797-0042&amp;newwindow=1&amp;tbm=isch","Еще фото")</f>
        <v>Еще фото</v>
      </c>
      <c r="F271" s="14"/>
      <c r="G271" s="11" t="s">
        <v>237</v>
      </c>
      <c r="H271" s="11" t="s">
        <v>27</v>
      </c>
      <c r="I271" s="15" t="s">
        <v>237</v>
      </c>
      <c r="J271" s="15" t="s">
        <v>28</v>
      </c>
      <c r="K271" s="16" t="s">
        <v>57</v>
      </c>
      <c r="L271" s="60" t="s">
        <v>371</v>
      </c>
      <c r="M271" s="15"/>
      <c r="N271" s="15" t="s">
        <v>130</v>
      </c>
      <c r="O271" s="15"/>
      <c r="P271" s="16" t="s">
        <v>358</v>
      </c>
      <c r="Q271" s="17">
        <v>9999</v>
      </c>
      <c r="R271" s="18">
        <v>61.72</v>
      </c>
      <c r="S271" s="19">
        <v>4401.9354999999996</v>
      </c>
      <c r="T271" s="20" t="s">
        <v>75</v>
      </c>
      <c r="U271" s="21" t="s">
        <v>215</v>
      </c>
      <c r="V271" s="25" t="s">
        <v>65</v>
      </c>
      <c r="W271" s="22">
        <v>6</v>
      </c>
      <c r="X271" s="23"/>
    </row>
    <row r="272" spans="1:24" s="1" customFormat="1" ht="61.05" customHeight="1" x14ac:dyDescent="0.3">
      <c r="A272" s="24" t="s">
        <v>23</v>
      </c>
      <c r="B272" s="24" t="s">
        <v>369</v>
      </c>
      <c r="C272" s="12" t="s">
        <v>370</v>
      </c>
      <c r="D272" s="64"/>
      <c r="E272" s="43" t="str">
        <f>HYPERLINK("https://www.google.ru/search?q=85797-0042&amp;newwindow=1&amp;tbm=isch","Еще фото")</f>
        <v>Еще фото</v>
      </c>
      <c r="F272" s="14"/>
      <c r="G272" s="24" t="s">
        <v>237</v>
      </c>
      <c r="H272" s="24" t="s">
        <v>27</v>
      </c>
      <c r="I272" s="24" t="s">
        <v>237</v>
      </c>
      <c r="J272" s="15" t="s">
        <v>28</v>
      </c>
      <c r="K272" s="16" t="s">
        <v>57</v>
      </c>
      <c r="L272" s="62"/>
      <c r="M272" s="15"/>
      <c r="N272" s="15" t="s">
        <v>130</v>
      </c>
      <c r="O272" s="15"/>
      <c r="P272" s="16" t="s">
        <v>358</v>
      </c>
      <c r="Q272" s="17">
        <v>9999</v>
      </c>
      <c r="R272" s="18">
        <v>61.72</v>
      </c>
      <c r="S272" s="19">
        <v>4401.9354999999996</v>
      </c>
      <c r="T272" s="20" t="s">
        <v>75</v>
      </c>
      <c r="U272" s="21" t="s">
        <v>216</v>
      </c>
      <c r="V272" s="22">
        <v>48</v>
      </c>
      <c r="W272" s="22">
        <v>1</v>
      </c>
      <c r="X272" s="23"/>
    </row>
    <row r="273" spans="1:24" s="1" customFormat="1" ht="11" customHeight="1" x14ac:dyDescent="0.3">
      <c r="A273" s="11" t="s">
        <v>23</v>
      </c>
      <c r="B273" s="11" t="s">
        <v>372</v>
      </c>
      <c r="C273" s="12" t="s">
        <v>373</v>
      </c>
      <c r="D273" s="57"/>
      <c r="E273" s="43" t="str">
        <f t="shared" ref="E273:E281" si="15">HYPERLINK("https://www.google.ru/search?q=17778-0460&amp;newwindow=1&amp;tbm=isch","Еще фото")</f>
        <v>Еще фото</v>
      </c>
      <c r="F273" s="14"/>
      <c r="G273" s="11" t="s">
        <v>237</v>
      </c>
      <c r="H273" s="11" t="s">
        <v>27</v>
      </c>
      <c r="I273" s="15" t="s">
        <v>237</v>
      </c>
      <c r="J273" s="15" t="s">
        <v>37</v>
      </c>
      <c r="K273" s="16" t="s">
        <v>29</v>
      </c>
      <c r="L273" s="60" t="s">
        <v>238</v>
      </c>
      <c r="M273" s="15"/>
      <c r="N273" s="15" t="s">
        <v>130</v>
      </c>
      <c r="O273" s="15"/>
      <c r="P273" s="16" t="s">
        <v>374</v>
      </c>
      <c r="Q273" s="17">
        <v>12599</v>
      </c>
      <c r="R273" s="18">
        <v>61.68</v>
      </c>
      <c r="S273" s="19">
        <v>5551.9355000000005</v>
      </c>
      <c r="T273" s="20" t="s">
        <v>75</v>
      </c>
      <c r="U273" s="21" t="s">
        <v>311</v>
      </c>
      <c r="V273" s="25" t="s">
        <v>44</v>
      </c>
      <c r="W273" s="22">
        <v>1</v>
      </c>
      <c r="X273" s="23"/>
    </row>
    <row r="274" spans="1:24" s="1" customFormat="1" ht="11" customHeight="1" x14ac:dyDescent="0.3">
      <c r="A274" s="24" t="s">
        <v>23</v>
      </c>
      <c r="B274" s="24" t="s">
        <v>372</v>
      </c>
      <c r="C274" s="12" t="s">
        <v>373</v>
      </c>
      <c r="D274" s="58"/>
      <c r="E274" s="43" t="str">
        <f t="shared" si="15"/>
        <v>Еще фото</v>
      </c>
      <c r="F274" s="14"/>
      <c r="G274" s="24" t="s">
        <v>237</v>
      </c>
      <c r="H274" s="24" t="s">
        <v>27</v>
      </c>
      <c r="I274" s="24" t="s">
        <v>237</v>
      </c>
      <c r="J274" s="15" t="s">
        <v>37</v>
      </c>
      <c r="K274" s="16" t="s">
        <v>29</v>
      </c>
      <c r="L274" s="61"/>
      <c r="M274" s="15"/>
      <c r="N274" s="15" t="s">
        <v>130</v>
      </c>
      <c r="O274" s="15"/>
      <c r="P274" s="16" t="s">
        <v>374</v>
      </c>
      <c r="Q274" s="17">
        <v>12599</v>
      </c>
      <c r="R274" s="18">
        <v>61.68</v>
      </c>
      <c r="S274" s="19">
        <v>5551.9355000000005</v>
      </c>
      <c r="T274" s="20" t="s">
        <v>75</v>
      </c>
      <c r="U274" s="21" t="s">
        <v>43</v>
      </c>
      <c r="V274" s="25" t="s">
        <v>44</v>
      </c>
      <c r="W274" s="22">
        <v>1</v>
      </c>
      <c r="X274" s="23"/>
    </row>
    <row r="275" spans="1:24" s="1" customFormat="1" ht="11" customHeight="1" x14ac:dyDescent="0.3">
      <c r="A275" s="24" t="s">
        <v>23</v>
      </c>
      <c r="B275" s="24" t="s">
        <v>372</v>
      </c>
      <c r="C275" s="12" t="s">
        <v>373</v>
      </c>
      <c r="D275" s="58"/>
      <c r="E275" s="43" t="str">
        <f t="shared" si="15"/>
        <v>Еще фото</v>
      </c>
      <c r="F275" s="14"/>
      <c r="G275" s="24" t="s">
        <v>237</v>
      </c>
      <c r="H275" s="24" t="s">
        <v>27</v>
      </c>
      <c r="I275" s="24" t="s">
        <v>237</v>
      </c>
      <c r="J275" s="15" t="s">
        <v>37</v>
      </c>
      <c r="K275" s="16" t="s">
        <v>29</v>
      </c>
      <c r="L275" s="61"/>
      <c r="M275" s="15"/>
      <c r="N275" s="15" t="s">
        <v>130</v>
      </c>
      <c r="O275" s="15"/>
      <c r="P275" s="16" t="s">
        <v>374</v>
      </c>
      <c r="Q275" s="17">
        <v>12599</v>
      </c>
      <c r="R275" s="18">
        <v>61.68</v>
      </c>
      <c r="S275" s="19">
        <v>5551.9355000000005</v>
      </c>
      <c r="T275" s="20" t="s">
        <v>75</v>
      </c>
      <c r="U275" s="21" t="s">
        <v>78</v>
      </c>
      <c r="V275" s="22">
        <v>42</v>
      </c>
      <c r="W275" s="22">
        <v>1</v>
      </c>
      <c r="X275" s="23"/>
    </row>
    <row r="276" spans="1:24" s="1" customFormat="1" ht="11" customHeight="1" x14ac:dyDescent="0.3">
      <c r="A276" s="24" t="s">
        <v>23</v>
      </c>
      <c r="B276" s="24" t="s">
        <v>372</v>
      </c>
      <c r="C276" s="12" t="s">
        <v>373</v>
      </c>
      <c r="D276" s="58"/>
      <c r="E276" s="43" t="str">
        <f t="shared" si="15"/>
        <v>Еще фото</v>
      </c>
      <c r="F276" s="14"/>
      <c r="G276" s="24" t="s">
        <v>237</v>
      </c>
      <c r="H276" s="24" t="s">
        <v>27</v>
      </c>
      <c r="I276" s="24" t="s">
        <v>237</v>
      </c>
      <c r="J276" s="15" t="s">
        <v>37</v>
      </c>
      <c r="K276" s="16" t="s">
        <v>29</v>
      </c>
      <c r="L276" s="61"/>
      <c r="M276" s="15"/>
      <c r="N276" s="15" t="s">
        <v>130</v>
      </c>
      <c r="O276" s="15"/>
      <c r="P276" s="16" t="s">
        <v>374</v>
      </c>
      <c r="Q276" s="17">
        <v>12599</v>
      </c>
      <c r="R276" s="18">
        <v>61.68</v>
      </c>
      <c r="S276" s="19">
        <v>5551.9355000000005</v>
      </c>
      <c r="T276" s="20" t="s">
        <v>75</v>
      </c>
      <c r="U276" s="21" t="s">
        <v>46</v>
      </c>
      <c r="V276" s="22">
        <v>42</v>
      </c>
      <c r="W276" s="22">
        <v>1</v>
      </c>
      <c r="X276" s="23"/>
    </row>
    <row r="277" spans="1:24" s="1" customFormat="1" ht="11" customHeight="1" x14ac:dyDescent="0.3">
      <c r="A277" s="24" t="s">
        <v>23</v>
      </c>
      <c r="B277" s="24" t="s">
        <v>372</v>
      </c>
      <c r="C277" s="12" t="s">
        <v>373</v>
      </c>
      <c r="D277" s="58"/>
      <c r="E277" s="43" t="str">
        <f t="shared" si="15"/>
        <v>Еще фото</v>
      </c>
      <c r="F277" s="14"/>
      <c r="G277" s="24" t="s">
        <v>237</v>
      </c>
      <c r="H277" s="24" t="s">
        <v>27</v>
      </c>
      <c r="I277" s="24" t="s">
        <v>237</v>
      </c>
      <c r="J277" s="15" t="s">
        <v>37</v>
      </c>
      <c r="K277" s="16" t="s">
        <v>29</v>
      </c>
      <c r="L277" s="61"/>
      <c r="M277" s="15"/>
      <c r="N277" s="15" t="s">
        <v>130</v>
      </c>
      <c r="O277" s="15"/>
      <c r="P277" s="16" t="s">
        <v>374</v>
      </c>
      <c r="Q277" s="17">
        <v>12599</v>
      </c>
      <c r="R277" s="18">
        <v>61.68</v>
      </c>
      <c r="S277" s="19">
        <v>5551.9355000000005</v>
      </c>
      <c r="T277" s="20" t="s">
        <v>75</v>
      </c>
      <c r="U277" s="21" t="s">
        <v>158</v>
      </c>
      <c r="V277" s="22">
        <v>42</v>
      </c>
      <c r="W277" s="22">
        <v>1</v>
      </c>
      <c r="X277" s="23"/>
    </row>
    <row r="278" spans="1:24" s="1" customFormat="1" ht="11" customHeight="1" x14ac:dyDescent="0.3">
      <c r="A278" s="24" t="s">
        <v>23</v>
      </c>
      <c r="B278" s="24" t="s">
        <v>372</v>
      </c>
      <c r="C278" s="12" t="s">
        <v>373</v>
      </c>
      <c r="D278" s="58"/>
      <c r="E278" s="43" t="str">
        <f t="shared" si="15"/>
        <v>Еще фото</v>
      </c>
      <c r="F278" s="14"/>
      <c r="G278" s="24" t="s">
        <v>237</v>
      </c>
      <c r="H278" s="24" t="s">
        <v>27</v>
      </c>
      <c r="I278" s="24" t="s">
        <v>237</v>
      </c>
      <c r="J278" s="15" t="s">
        <v>37</v>
      </c>
      <c r="K278" s="16" t="s">
        <v>29</v>
      </c>
      <c r="L278" s="61"/>
      <c r="M278" s="15"/>
      <c r="N278" s="15" t="s">
        <v>130</v>
      </c>
      <c r="O278" s="15"/>
      <c r="P278" s="16" t="s">
        <v>374</v>
      </c>
      <c r="Q278" s="17">
        <v>12599</v>
      </c>
      <c r="R278" s="18">
        <v>61.68</v>
      </c>
      <c r="S278" s="19">
        <v>5551.9355000000005</v>
      </c>
      <c r="T278" s="20" t="s">
        <v>75</v>
      </c>
      <c r="U278" s="21" t="s">
        <v>47</v>
      </c>
      <c r="V278" s="25" t="s">
        <v>48</v>
      </c>
      <c r="W278" s="22">
        <v>1</v>
      </c>
      <c r="X278" s="23"/>
    </row>
    <row r="279" spans="1:24" s="1" customFormat="1" ht="11" customHeight="1" x14ac:dyDescent="0.3">
      <c r="A279" s="24" t="s">
        <v>23</v>
      </c>
      <c r="B279" s="24" t="s">
        <v>372</v>
      </c>
      <c r="C279" s="12" t="s">
        <v>373</v>
      </c>
      <c r="D279" s="58"/>
      <c r="E279" s="43" t="str">
        <f t="shared" si="15"/>
        <v>Еще фото</v>
      </c>
      <c r="F279" s="14"/>
      <c r="G279" s="24" t="s">
        <v>237</v>
      </c>
      <c r="H279" s="24" t="s">
        <v>27</v>
      </c>
      <c r="I279" s="24" t="s">
        <v>237</v>
      </c>
      <c r="J279" s="15" t="s">
        <v>37</v>
      </c>
      <c r="K279" s="16" t="s">
        <v>29</v>
      </c>
      <c r="L279" s="61"/>
      <c r="M279" s="15"/>
      <c r="N279" s="15" t="s">
        <v>130</v>
      </c>
      <c r="O279" s="15"/>
      <c r="P279" s="16" t="s">
        <v>374</v>
      </c>
      <c r="Q279" s="17">
        <v>12599</v>
      </c>
      <c r="R279" s="18">
        <v>61.68</v>
      </c>
      <c r="S279" s="19">
        <v>5551.9355000000005</v>
      </c>
      <c r="T279" s="20" t="s">
        <v>75</v>
      </c>
      <c r="U279" s="21" t="s">
        <v>173</v>
      </c>
      <c r="V279" s="22">
        <v>46</v>
      </c>
      <c r="W279" s="22">
        <v>1</v>
      </c>
      <c r="X279" s="23"/>
    </row>
    <row r="280" spans="1:24" s="1" customFormat="1" ht="11" customHeight="1" x14ac:dyDescent="0.3">
      <c r="A280" s="24" t="s">
        <v>23</v>
      </c>
      <c r="B280" s="24" t="s">
        <v>372</v>
      </c>
      <c r="C280" s="12" t="s">
        <v>373</v>
      </c>
      <c r="D280" s="58"/>
      <c r="E280" s="43" t="str">
        <f t="shared" si="15"/>
        <v>Еще фото</v>
      </c>
      <c r="F280" s="14"/>
      <c r="G280" s="24" t="s">
        <v>237</v>
      </c>
      <c r="H280" s="24" t="s">
        <v>27</v>
      </c>
      <c r="I280" s="24" t="s">
        <v>237</v>
      </c>
      <c r="J280" s="15" t="s">
        <v>37</v>
      </c>
      <c r="K280" s="16" t="s">
        <v>29</v>
      </c>
      <c r="L280" s="61"/>
      <c r="M280" s="15"/>
      <c r="N280" s="15" t="s">
        <v>130</v>
      </c>
      <c r="O280" s="15"/>
      <c r="P280" s="16" t="s">
        <v>374</v>
      </c>
      <c r="Q280" s="17">
        <v>12599</v>
      </c>
      <c r="R280" s="18">
        <v>61.68</v>
      </c>
      <c r="S280" s="19">
        <v>5551.9355000000005</v>
      </c>
      <c r="T280" s="20" t="s">
        <v>75</v>
      </c>
      <c r="U280" s="21" t="s">
        <v>52</v>
      </c>
      <c r="V280" s="22">
        <v>48</v>
      </c>
      <c r="W280" s="22">
        <v>1</v>
      </c>
      <c r="X280" s="23"/>
    </row>
    <row r="281" spans="1:24" s="1" customFormat="1" ht="11" customHeight="1" x14ac:dyDescent="0.3">
      <c r="A281" s="24" t="s">
        <v>23</v>
      </c>
      <c r="B281" s="24" t="s">
        <v>372</v>
      </c>
      <c r="C281" s="12" t="s">
        <v>373</v>
      </c>
      <c r="D281" s="59"/>
      <c r="E281" s="43" t="str">
        <f t="shared" si="15"/>
        <v>Еще фото</v>
      </c>
      <c r="F281" s="14"/>
      <c r="G281" s="24" t="s">
        <v>237</v>
      </c>
      <c r="H281" s="24" t="s">
        <v>27</v>
      </c>
      <c r="I281" s="24" t="s">
        <v>237</v>
      </c>
      <c r="J281" s="15" t="s">
        <v>37</v>
      </c>
      <c r="K281" s="16" t="s">
        <v>29</v>
      </c>
      <c r="L281" s="62"/>
      <c r="M281" s="15"/>
      <c r="N281" s="15" t="s">
        <v>130</v>
      </c>
      <c r="O281" s="15"/>
      <c r="P281" s="16" t="s">
        <v>374</v>
      </c>
      <c r="Q281" s="17">
        <v>12599</v>
      </c>
      <c r="R281" s="18">
        <v>61.68</v>
      </c>
      <c r="S281" s="19">
        <v>5551.9355000000005</v>
      </c>
      <c r="T281" s="20" t="s">
        <v>75</v>
      </c>
      <c r="U281" s="21" t="s">
        <v>53</v>
      </c>
      <c r="V281" s="22">
        <v>48</v>
      </c>
      <c r="W281" s="22">
        <v>1</v>
      </c>
      <c r="X281" s="23"/>
    </row>
    <row r="282" spans="1:24" s="1" customFormat="1" ht="11" customHeight="1" x14ac:dyDescent="0.3">
      <c r="A282" s="11" t="s">
        <v>23</v>
      </c>
      <c r="B282" s="11" t="s">
        <v>375</v>
      </c>
      <c r="C282" s="12" t="s">
        <v>376</v>
      </c>
      <c r="D282" s="57"/>
      <c r="E282" s="43" t="str">
        <f t="shared" ref="E282:E292" si="16">HYPERLINK("https://www.google.ru/search?q=22791-0198&amp;newwindow=1&amp;tbm=isch","Еще фото")</f>
        <v>Еще фото</v>
      </c>
      <c r="F282" s="14"/>
      <c r="G282" s="11" t="s">
        <v>237</v>
      </c>
      <c r="H282" s="11" t="s">
        <v>27</v>
      </c>
      <c r="I282" s="15" t="s">
        <v>237</v>
      </c>
      <c r="J282" s="15" t="s">
        <v>37</v>
      </c>
      <c r="K282" s="16" t="s">
        <v>29</v>
      </c>
      <c r="L282" s="60" t="s">
        <v>377</v>
      </c>
      <c r="M282" s="15" t="s">
        <v>72</v>
      </c>
      <c r="N282" s="15" t="s">
        <v>138</v>
      </c>
      <c r="O282" s="15" t="s">
        <v>113</v>
      </c>
      <c r="P282" s="16" t="s">
        <v>341</v>
      </c>
      <c r="Q282" s="17">
        <v>14999</v>
      </c>
      <c r="R282" s="18">
        <v>61.61</v>
      </c>
      <c r="S282" s="19">
        <v>6621.4354999999996</v>
      </c>
      <c r="T282" s="20" t="s">
        <v>75</v>
      </c>
      <c r="U282" s="21" t="s">
        <v>298</v>
      </c>
      <c r="V282" s="22">
        <v>38</v>
      </c>
      <c r="W282" s="22">
        <v>2</v>
      </c>
      <c r="X282" s="23"/>
    </row>
    <row r="283" spans="1:24" s="1" customFormat="1" ht="11" customHeight="1" x14ac:dyDescent="0.3">
      <c r="A283" s="24" t="s">
        <v>23</v>
      </c>
      <c r="B283" s="24" t="s">
        <v>375</v>
      </c>
      <c r="C283" s="12" t="s">
        <v>376</v>
      </c>
      <c r="D283" s="58"/>
      <c r="E283" s="43" t="str">
        <f t="shared" si="16"/>
        <v>Еще фото</v>
      </c>
      <c r="F283" s="14"/>
      <c r="G283" s="24" t="s">
        <v>237</v>
      </c>
      <c r="H283" s="24" t="s">
        <v>27</v>
      </c>
      <c r="I283" s="24" t="s">
        <v>237</v>
      </c>
      <c r="J283" s="15" t="s">
        <v>37</v>
      </c>
      <c r="K283" s="16" t="s">
        <v>29</v>
      </c>
      <c r="L283" s="61"/>
      <c r="M283" s="15" t="s">
        <v>72</v>
      </c>
      <c r="N283" s="15" t="s">
        <v>138</v>
      </c>
      <c r="O283" s="15" t="s">
        <v>113</v>
      </c>
      <c r="P283" s="16" t="s">
        <v>341</v>
      </c>
      <c r="Q283" s="17">
        <v>14999</v>
      </c>
      <c r="R283" s="18">
        <v>61.61</v>
      </c>
      <c r="S283" s="19">
        <v>6621.4354999999996</v>
      </c>
      <c r="T283" s="20" t="s">
        <v>75</v>
      </c>
      <c r="U283" s="21" t="s">
        <v>299</v>
      </c>
      <c r="V283" s="22">
        <v>38</v>
      </c>
      <c r="W283" s="22">
        <v>1</v>
      </c>
      <c r="X283" s="23"/>
    </row>
    <row r="284" spans="1:24" s="1" customFormat="1" ht="11" customHeight="1" x14ac:dyDescent="0.3">
      <c r="A284" s="24" t="s">
        <v>23</v>
      </c>
      <c r="B284" s="24" t="s">
        <v>375</v>
      </c>
      <c r="C284" s="12" t="s">
        <v>376</v>
      </c>
      <c r="D284" s="58"/>
      <c r="E284" s="43" t="str">
        <f t="shared" si="16"/>
        <v>Еще фото</v>
      </c>
      <c r="F284" s="14"/>
      <c r="G284" s="24" t="s">
        <v>237</v>
      </c>
      <c r="H284" s="24" t="s">
        <v>27</v>
      </c>
      <c r="I284" s="24" t="s">
        <v>237</v>
      </c>
      <c r="J284" s="15" t="s">
        <v>37</v>
      </c>
      <c r="K284" s="16" t="s">
        <v>29</v>
      </c>
      <c r="L284" s="61"/>
      <c r="M284" s="15" t="s">
        <v>72</v>
      </c>
      <c r="N284" s="15" t="s">
        <v>138</v>
      </c>
      <c r="O284" s="15" t="s">
        <v>113</v>
      </c>
      <c r="P284" s="16" t="s">
        <v>341</v>
      </c>
      <c r="Q284" s="17">
        <v>14999</v>
      </c>
      <c r="R284" s="18">
        <v>61.61</v>
      </c>
      <c r="S284" s="19">
        <v>6621.4354999999996</v>
      </c>
      <c r="T284" s="20" t="s">
        <v>75</v>
      </c>
      <c r="U284" s="21" t="s">
        <v>42</v>
      </c>
      <c r="V284" s="22">
        <v>40</v>
      </c>
      <c r="W284" s="22">
        <v>3</v>
      </c>
      <c r="X284" s="23"/>
    </row>
    <row r="285" spans="1:24" s="1" customFormat="1" ht="11" customHeight="1" x14ac:dyDescent="0.3">
      <c r="A285" s="24" t="s">
        <v>23</v>
      </c>
      <c r="B285" s="24" t="s">
        <v>375</v>
      </c>
      <c r="C285" s="12" t="s">
        <v>376</v>
      </c>
      <c r="D285" s="58"/>
      <c r="E285" s="43" t="str">
        <f t="shared" si="16"/>
        <v>Еще фото</v>
      </c>
      <c r="F285" s="14"/>
      <c r="G285" s="24" t="s">
        <v>237</v>
      </c>
      <c r="H285" s="24" t="s">
        <v>27</v>
      </c>
      <c r="I285" s="24" t="s">
        <v>237</v>
      </c>
      <c r="J285" s="15" t="s">
        <v>37</v>
      </c>
      <c r="K285" s="16" t="s">
        <v>29</v>
      </c>
      <c r="L285" s="61"/>
      <c r="M285" s="15" t="s">
        <v>72</v>
      </c>
      <c r="N285" s="15" t="s">
        <v>138</v>
      </c>
      <c r="O285" s="15" t="s">
        <v>113</v>
      </c>
      <c r="P285" s="16" t="s">
        <v>341</v>
      </c>
      <c r="Q285" s="17">
        <v>14999</v>
      </c>
      <c r="R285" s="18">
        <v>61.61</v>
      </c>
      <c r="S285" s="19">
        <v>6621.4354999999996</v>
      </c>
      <c r="T285" s="20" t="s">
        <v>75</v>
      </c>
      <c r="U285" s="21" t="s">
        <v>255</v>
      </c>
      <c r="V285" s="22">
        <v>40</v>
      </c>
      <c r="W285" s="22">
        <v>15</v>
      </c>
      <c r="X285" s="23"/>
    </row>
    <row r="286" spans="1:24" s="1" customFormat="1" ht="11" customHeight="1" x14ac:dyDescent="0.3">
      <c r="A286" s="24" t="s">
        <v>23</v>
      </c>
      <c r="B286" s="24" t="s">
        <v>375</v>
      </c>
      <c r="C286" s="12" t="s">
        <v>376</v>
      </c>
      <c r="D286" s="58"/>
      <c r="E286" s="43" t="str">
        <f t="shared" si="16"/>
        <v>Еще фото</v>
      </c>
      <c r="F286" s="14"/>
      <c r="G286" s="24" t="s">
        <v>237</v>
      </c>
      <c r="H286" s="24" t="s">
        <v>27</v>
      </c>
      <c r="I286" s="24" t="s">
        <v>237</v>
      </c>
      <c r="J286" s="15" t="s">
        <v>37</v>
      </c>
      <c r="K286" s="16" t="s">
        <v>29</v>
      </c>
      <c r="L286" s="61"/>
      <c r="M286" s="15" t="s">
        <v>72</v>
      </c>
      <c r="N286" s="15" t="s">
        <v>138</v>
      </c>
      <c r="O286" s="15" t="s">
        <v>113</v>
      </c>
      <c r="P286" s="16" t="s">
        <v>341</v>
      </c>
      <c r="Q286" s="17">
        <v>14999</v>
      </c>
      <c r="R286" s="18">
        <v>61.61</v>
      </c>
      <c r="S286" s="19">
        <v>6621.4354999999996</v>
      </c>
      <c r="T286" s="20" t="s">
        <v>75</v>
      </c>
      <c r="U286" s="21" t="s">
        <v>45</v>
      </c>
      <c r="V286" s="25" t="s">
        <v>44</v>
      </c>
      <c r="W286" s="22">
        <v>11</v>
      </c>
      <c r="X286" s="23"/>
    </row>
    <row r="287" spans="1:24" s="1" customFormat="1" ht="11" customHeight="1" x14ac:dyDescent="0.3">
      <c r="A287" s="24" t="s">
        <v>23</v>
      </c>
      <c r="B287" s="24" t="s">
        <v>375</v>
      </c>
      <c r="C287" s="12" t="s">
        <v>376</v>
      </c>
      <c r="D287" s="58"/>
      <c r="E287" s="43" t="str">
        <f t="shared" si="16"/>
        <v>Еще фото</v>
      </c>
      <c r="F287" s="14"/>
      <c r="G287" s="24" t="s">
        <v>237</v>
      </c>
      <c r="H287" s="24" t="s">
        <v>27</v>
      </c>
      <c r="I287" s="24" t="s">
        <v>237</v>
      </c>
      <c r="J287" s="15" t="s">
        <v>37</v>
      </c>
      <c r="K287" s="16" t="s">
        <v>29</v>
      </c>
      <c r="L287" s="61"/>
      <c r="M287" s="15" t="s">
        <v>72</v>
      </c>
      <c r="N287" s="15" t="s">
        <v>138</v>
      </c>
      <c r="O287" s="15" t="s">
        <v>113</v>
      </c>
      <c r="P287" s="16" t="s">
        <v>341</v>
      </c>
      <c r="Q287" s="17">
        <v>14999</v>
      </c>
      <c r="R287" s="18">
        <v>61.61</v>
      </c>
      <c r="S287" s="19">
        <v>6621.4354999999996</v>
      </c>
      <c r="T287" s="20" t="s">
        <v>75</v>
      </c>
      <c r="U287" s="21" t="s">
        <v>337</v>
      </c>
      <c r="V287" s="25" t="s">
        <v>48</v>
      </c>
      <c r="W287" s="22">
        <v>6</v>
      </c>
      <c r="X287" s="23"/>
    </row>
    <row r="288" spans="1:24" s="1" customFormat="1" ht="11" customHeight="1" x14ac:dyDescent="0.3">
      <c r="A288" s="24" t="s">
        <v>23</v>
      </c>
      <c r="B288" s="24" t="s">
        <v>375</v>
      </c>
      <c r="C288" s="12" t="s">
        <v>376</v>
      </c>
      <c r="D288" s="58"/>
      <c r="E288" s="43" t="str">
        <f t="shared" si="16"/>
        <v>Еще фото</v>
      </c>
      <c r="F288" s="14"/>
      <c r="G288" s="24" t="s">
        <v>237</v>
      </c>
      <c r="H288" s="24" t="s">
        <v>27</v>
      </c>
      <c r="I288" s="24" t="s">
        <v>237</v>
      </c>
      <c r="J288" s="15" t="s">
        <v>37</v>
      </c>
      <c r="K288" s="16" t="s">
        <v>29</v>
      </c>
      <c r="L288" s="61"/>
      <c r="M288" s="15" t="s">
        <v>72</v>
      </c>
      <c r="N288" s="15" t="s">
        <v>138</v>
      </c>
      <c r="O288" s="15" t="s">
        <v>113</v>
      </c>
      <c r="P288" s="16" t="s">
        <v>341</v>
      </c>
      <c r="Q288" s="17">
        <v>14999</v>
      </c>
      <c r="R288" s="18">
        <v>61.61</v>
      </c>
      <c r="S288" s="19">
        <v>6621.4354999999996</v>
      </c>
      <c r="T288" s="20" t="s">
        <v>75</v>
      </c>
      <c r="U288" s="21" t="s">
        <v>378</v>
      </c>
      <c r="V288" s="22">
        <v>46</v>
      </c>
      <c r="W288" s="22">
        <v>1</v>
      </c>
      <c r="X288" s="23"/>
    </row>
    <row r="289" spans="1:24" s="1" customFormat="1" ht="11" customHeight="1" x14ac:dyDescent="0.3">
      <c r="A289" s="24" t="s">
        <v>23</v>
      </c>
      <c r="B289" s="24" t="s">
        <v>375</v>
      </c>
      <c r="C289" s="12" t="s">
        <v>376</v>
      </c>
      <c r="D289" s="58"/>
      <c r="E289" s="43" t="str">
        <f t="shared" si="16"/>
        <v>Еще фото</v>
      </c>
      <c r="F289" s="14"/>
      <c r="G289" s="24" t="s">
        <v>237</v>
      </c>
      <c r="H289" s="24" t="s">
        <v>27</v>
      </c>
      <c r="I289" s="24" t="s">
        <v>237</v>
      </c>
      <c r="J289" s="15" t="s">
        <v>37</v>
      </c>
      <c r="K289" s="16" t="s">
        <v>29</v>
      </c>
      <c r="L289" s="61"/>
      <c r="M289" s="15" t="s">
        <v>72</v>
      </c>
      <c r="N289" s="15" t="s">
        <v>138</v>
      </c>
      <c r="O289" s="15" t="s">
        <v>113</v>
      </c>
      <c r="P289" s="16" t="s">
        <v>341</v>
      </c>
      <c r="Q289" s="17">
        <v>14999</v>
      </c>
      <c r="R289" s="18">
        <v>61.61</v>
      </c>
      <c r="S289" s="19">
        <v>6621.4354999999996</v>
      </c>
      <c r="T289" s="20" t="s">
        <v>75</v>
      </c>
      <c r="U289" s="21" t="s">
        <v>173</v>
      </c>
      <c r="V289" s="22">
        <v>46</v>
      </c>
      <c r="W289" s="22">
        <v>1</v>
      </c>
      <c r="X289" s="23"/>
    </row>
    <row r="290" spans="1:24" s="1" customFormat="1" ht="11" customHeight="1" x14ac:dyDescent="0.3">
      <c r="A290" s="24" t="s">
        <v>23</v>
      </c>
      <c r="B290" s="24" t="s">
        <v>375</v>
      </c>
      <c r="C290" s="12" t="s">
        <v>376</v>
      </c>
      <c r="D290" s="58"/>
      <c r="E290" s="43" t="str">
        <f t="shared" si="16"/>
        <v>Еще фото</v>
      </c>
      <c r="F290" s="14"/>
      <c r="G290" s="24" t="s">
        <v>237</v>
      </c>
      <c r="H290" s="24" t="s">
        <v>27</v>
      </c>
      <c r="I290" s="24" t="s">
        <v>237</v>
      </c>
      <c r="J290" s="15" t="s">
        <v>37</v>
      </c>
      <c r="K290" s="16" t="s">
        <v>29</v>
      </c>
      <c r="L290" s="61"/>
      <c r="M290" s="15" t="s">
        <v>72</v>
      </c>
      <c r="N290" s="15" t="s">
        <v>138</v>
      </c>
      <c r="O290" s="15" t="s">
        <v>113</v>
      </c>
      <c r="P290" s="16" t="s">
        <v>341</v>
      </c>
      <c r="Q290" s="17">
        <v>14999</v>
      </c>
      <c r="R290" s="18">
        <v>61.61</v>
      </c>
      <c r="S290" s="19">
        <v>6621.4354999999996</v>
      </c>
      <c r="T290" s="20" t="s">
        <v>75</v>
      </c>
      <c r="U290" s="21" t="s">
        <v>314</v>
      </c>
      <c r="V290" s="22">
        <v>46</v>
      </c>
      <c r="W290" s="22">
        <v>1</v>
      </c>
      <c r="X290" s="23"/>
    </row>
    <row r="291" spans="1:24" s="1" customFormat="1" ht="11" customHeight="1" x14ac:dyDescent="0.3">
      <c r="A291" s="15" t="s">
        <v>23</v>
      </c>
      <c r="B291" s="15" t="s">
        <v>375</v>
      </c>
      <c r="C291" s="12" t="s">
        <v>376</v>
      </c>
      <c r="D291" s="58"/>
      <c r="E291" s="43" t="str">
        <f t="shared" si="16"/>
        <v>Еще фото</v>
      </c>
      <c r="F291" s="26"/>
      <c r="G291" s="15" t="s">
        <v>237</v>
      </c>
      <c r="H291" s="15" t="s">
        <v>27</v>
      </c>
      <c r="I291" s="15" t="s">
        <v>237</v>
      </c>
      <c r="J291" s="15" t="s">
        <v>37</v>
      </c>
      <c r="K291" s="15" t="s">
        <v>29</v>
      </c>
      <c r="L291" s="61"/>
      <c r="M291" s="15" t="s">
        <v>72</v>
      </c>
      <c r="N291" s="15" t="s">
        <v>138</v>
      </c>
      <c r="O291" s="15" t="s">
        <v>113</v>
      </c>
      <c r="P291" s="15" t="s">
        <v>341</v>
      </c>
      <c r="Q291" s="27">
        <v>14999</v>
      </c>
      <c r="R291" s="28">
        <v>61.61</v>
      </c>
      <c r="S291" s="29">
        <v>6621.4354999999996</v>
      </c>
      <c r="T291" s="20" t="s">
        <v>75</v>
      </c>
      <c r="U291" s="21" t="s">
        <v>53</v>
      </c>
      <c r="V291" s="22">
        <v>48</v>
      </c>
      <c r="W291" s="22">
        <v>3</v>
      </c>
      <c r="X291" s="23"/>
    </row>
    <row r="292" spans="1:24" s="1" customFormat="1" ht="11" customHeight="1" x14ac:dyDescent="0.3">
      <c r="A292" s="15" t="s">
        <v>23</v>
      </c>
      <c r="B292" s="15" t="s">
        <v>375</v>
      </c>
      <c r="C292" s="12" t="s">
        <v>376</v>
      </c>
      <c r="D292" s="59"/>
      <c r="E292" s="43" t="str">
        <f t="shared" si="16"/>
        <v>Еще фото</v>
      </c>
      <c r="F292" s="26"/>
      <c r="G292" s="15" t="s">
        <v>237</v>
      </c>
      <c r="H292" s="15" t="s">
        <v>27</v>
      </c>
      <c r="I292" s="15" t="s">
        <v>237</v>
      </c>
      <c r="J292" s="15" t="s">
        <v>37</v>
      </c>
      <c r="K292" s="15" t="s">
        <v>29</v>
      </c>
      <c r="L292" s="62"/>
      <c r="M292" s="15" t="s">
        <v>72</v>
      </c>
      <c r="N292" s="15" t="s">
        <v>138</v>
      </c>
      <c r="O292" s="15" t="s">
        <v>113</v>
      </c>
      <c r="P292" s="15" t="s">
        <v>341</v>
      </c>
      <c r="Q292" s="27">
        <v>14999</v>
      </c>
      <c r="R292" s="28">
        <v>61.61</v>
      </c>
      <c r="S292" s="29">
        <v>6621.4354999999996</v>
      </c>
      <c r="T292" s="20" t="s">
        <v>75</v>
      </c>
      <c r="U292" s="21" t="s">
        <v>143</v>
      </c>
      <c r="V292" s="22">
        <v>48</v>
      </c>
      <c r="W292" s="22">
        <v>1</v>
      </c>
      <c r="X292" s="23"/>
    </row>
    <row r="293" spans="1:24" s="1" customFormat="1" ht="52.05" customHeight="1" x14ac:dyDescent="0.3">
      <c r="A293" s="11" t="s">
        <v>23</v>
      </c>
      <c r="B293" s="11" t="s">
        <v>379</v>
      </c>
      <c r="C293" s="12" t="s">
        <v>380</v>
      </c>
      <c r="D293" s="63"/>
      <c r="E293" s="43" t="str">
        <f>HYPERLINK("https://www.google.ru/search?q=19558-0007&amp;newwindow=1&amp;tbm=isch","Еще фото")</f>
        <v>Еще фото</v>
      </c>
      <c r="F293" s="14"/>
      <c r="G293" s="11" t="s">
        <v>237</v>
      </c>
      <c r="H293" s="11" t="s">
        <v>27</v>
      </c>
      <c r="I293" s="15" t="s">
        <v>237</v>
      </c>
      <c r="J293" s="15" t="s">
        <v>37</v>
      </c>
      <c r="K293" s="16" t="s">
        <v>29</v>
      </c>
      <c r="L293" s="60" t="s">
        <v>241</v>
      </c>
      <c r="M293" s="15"/>
      <c r="N293" s="15" t="s">
        <v>130</v>
      </c>
      <c r="O293" s="15"/>
      <c r="P293" s="16" t="s">
        <v>242</v>
      </c>
      <c r="Q293" s="17">
        <v>13699</v>
      </c>
      <c r="R293" s="18">
        <v>59.21</v>
      </c>
      <c r="S293" s="19">
        <v>6425.9354999999996</v>
      </c>
      <c r="T293" s="20" t="s">
        <v>41</v>
      </c>
      <c r="U293" s="21" t="s">
        <v>243</v>
      </c>
      <c r="V293" s="22">
        <v>40</v>
      </c>
      <c r="W293" s="22">
        <v>4</v>
      </c>
      <c r="X293" s="23"/>
    </row>
    <row r="294" spans="1:24" s="1" customFormat="1" ht="61.05" customHeight="1" x14ac:dyDescent="0.3">
      <c r="A294" s="24" t="s">
        <v>23</v>
      </c>
      <c r="B294" s="24" t="s">
        <v>379</v>
      </c>
      <c r="C294" s="12" t="s">
        <v>380</v>
      </c>
      <c r="D294" s="64"/>
      <c r="E294" s="43" t="str">
        <f>HYPERLINK("https://www.google.ru/search?q=19558-0007&amp;newwindow=1&amp;tbm=isch","Еще фото")</f>
        <v>Еще фото</v>
      </c>
      <c r="F294" s="14"/>
      <c r="G294" s="24" t="s">
        <v>237</v>
      </c>
      <c r="H294" s="24" t="s">
        <v>27</v>
      </c>
      <c r="I294" s="24" t="s">
        <v>237</v>
      </c>
      <c r="J294" s="15" t="s">
        <v>37</v>
      </c>
      <c r="K294" s="16" t="s">
        <v>29</v>
      </c>
      <c r="L294" s="62"/>
      <c r="M294" s="15"/>
      <c r="N294" s="15" t="s">
        <v>130</v>
      </c>
      <c r="O294" s="15"/>
      <c r="P294" s="16" t="s">
        <v>242</v>
      </c>
      <c r="Q294" s="17">
        <v>13699</v>
      </c>
      <c r="R294" s="18">
        <v>59.21</v>
      </c>
      <c r="S294" s="19">
        <v>6425.9354999999996</v>
      </c>
      <c r="T294" s="20" t="s">
        <v>41</v>
      </c>
      <c r="U294" s="21" t="s">
        <v>244</v>
      </c>
      <c r="V294" s="25" t="s">
        <v>44</v>
      </c>
      <c r="W294" s="22">
        <v>3</v>
      </c>
      <c r="X294" s="23"/>
    </row>
    <row r="295" spans="1:24" s="1" customFormat="1" ht="52.05" customHeight="1" x14ac:dyDescent="0.3">
      <c r="A295" s="11" t="s">
        <v>23</v>
      </c>
      <c r="B295" s="11" t="s">
        <v>381</v>
      </c>
      <c r="C295" s="12" t="s">
        <v>382</v>
      </c>
      <c r="D295" s="63"/>
      <c r="E295" s="43" t="str">
        <f>HYPERLINK("https://www.google.ru/search?q=85797-0054&amp;newwindow=1&amp;tbm=isch","Еще фото")</f>
        <v>Еще фото</v>
      </c>
      <c r="F295" s="14"/>
      <c r="G295" s="11" t="s">
        <v>237</v>
      </c>
      <c r="H295" s="11" t="s">
        <v>27</v>
      </c>
      <c r="I295" s="15" t="s">
        <v>237</v>
      </c>
      <c r="J295" s="15" t="s">
        <v>28</v>
      </c>
      <c r="K295" s="16" t="s">
        <v>57</v>
      </c>
      <c r="L295" s="60" t="s">
        <v>383</v>
      </c>
      <c r="M295" s="15"/>
      <c r="N295" s="15" t="s">
        <v>384</v>
      </c>
      <c r="O295" s="15"/>
      <c r="P295" s="16" t="s">
        <v>385</v>
      </c>
      <c r="Q295" s="17">
        <v>11599</v>
      </c>
      <c r="R295" s="18">
        <v>58.98</v>
      </c>
      <c r="S295" s="19">
        <v>5471.4355000000005</v>
      </c>
      <c r="T295" s="20" t="s">
        <v>75</v>
      </c>
      <c r="U295" s="21" t="s">
        <v>214</v>
      </c>
      <c r="V295" s="22">
        <v>46</v>
      </c>
      <c r="W295" s="22">
        <v>8</v>
      </c>
      <c r="X295" s="23"/>
    </row>
    <row r="296" spans="1:24" s="1" customFormat="1" ht="61.05" customHeight="1" x14ac:dyDescent="0.3">
      <c r="A296" s="24" t="s">
        <v>23</v>
      </c>
      <c r="B296" s="24" t="s">
        <v>381</v>
      </c>
      <c r="C296" s="12" t="s">
        <v>382</v>
      </c>
      <c r="D296" s="64"/>
      <c r="E296" s="43" t="str">
        <f>HYPERLINK("https://www.google.ru/search?q=85797-0054&amp;newwindow=1&amp;tbm=isch","Еще фото")</f>
        <v>Еще фото</v>
      </c>
      <c r="F296" s="14"/>
      <c r="G296" s="24" t="s">
        <v>237</v>
      </c>
      <c r="H296" s="24" t="s">
        <v>27</v>
      </c>
      <c r="I296" s="24" t="s">
        <v>237</v>
      </c>
      <c r="J296" s="15" t="s">
        <v>28</v>
      </c>
      <c r="K296" s="16" t="s">
        <v>57</v>
      </c>
      <c r="L296" s="62"/>
      <c r="M296" s="15"/>
      <c r="N296" s="15" t="s">
        <v>384</v>
      </c>
      <c r="O296" s="15"/>
      <c r="P296" s="16" t="s">
        <v>385</v>
      </c>
      <c r="Q296" s="17">
        <v>11599</v>
      </c>
      <c r="R296" s="18">
        <v>58.98</v>
      </c>
      <c r="S296" s="19">
        <v>5471.4355000000005</v>
      </c>
      <c r="T296" s="20" t="s">
        <v>75</v>
      </c>
      <c r="U296" s="21" t="s">
        <v>215</v>
      </c>
      <c r="V296" s="25" t="s">
        <v>65</v>
      </c>
      <c r="W296" s="22">
        <v>5</v>
      </c>
      <c r="X296" s="23"/>
    </row>
    <row r="297" spans="1:24" s="1" customFormat="1" ht="108" customHeight="1" x14ac:dyDescent="0.3">
      <c r="A297" s="11" t="s">
        <v>23</v>
      </c>
      <c r="B297" s="11" t="s">
        <v>386</v>
      </c>
      <c r="C297" s="12" t="s">
        <v>387</v>
      </c>
      <c r="D297" s="13"/>
      <c r="E297" s="43" t="str">
        <f>HYPERLINK("https://www.google.ru/search?q=22791-0196&amp;newwindow=1&amp;tbm=isch","Еще фото")</f>
        <v>Еще фото</v>
      </c>
      <c r="F297" s="14"/>
      <c r="G297" s="11" t="s">
        <v>237</v>
      </c>
      <c r="H297" s="11" t="s">
        <v>27</v>
      </c>
      <c r="I297" s="15" t="s">
        <v>237</v>
      </c>
      <c r="J297" s="15" t="s">
        <v>28</v>
      </c>
      <c r="K297" s="16" t="s">
        <v>29</v>
      </c>
      <c r="L297" s="15" t="s">
        <v>388</v>
      </c>
      <c r="M297" s="15" t="s">
        <v>72</v>
      </c>
      <c r="N297" s="15" t="s">
        <v>130</v>
      </c>
      <c r="O297" s="15" t="s">
        <v>121</v>
      </c>
      <c r="P297" s="16" t="s">
        <v>341</v>
      </c>
      <c r="Q297" s="17">
        <v>15699</v>
      </c>
      <c r="R297" s="18">
        <v>58.87</v>
      </c>
      <c r="S297" s="19">
        <v>7426.4354999999996</v>
      </c>
      <c r="T297" s="20" t="s">
        <v>75</v>
      </c>
      <c r="U297" s="21" t="s">
        <v>255</v>
      </c>
      <c r="V297" s="22">
        <v>40</v>
      </c>
      <c r="W297" s="22">
        <v>17</v>
      </c>
      <c r="X297" s="23"/>
    </row>
    <row r="298" spans="1:24" s="1" customFormat="1" ht="21" customHeight="1" x14ac:dyDescent="0.3">
      <c r="A298" s="11" t="s">
        <v>23</v>
      </c>
      <c r="B298" s="11" t="s">
        <v>389</v>
      </c>
      <c r="C298" s="30" t="s">
        <v>390</v>
      </c>
      <c r="D298" s="57"/>
      <c r="E298" s="43" t="str">
        <f>HYPERLINK("https://www.google.ru/search?q=04511-6016&amp;newwindow=1&amp;tbm=isch","Еще фото")</f>
        <v>Еще фото</v>
      </c>
      <c r="F298" s="14"/>
      <c r="G298" s="11" t="s">
        <v>237</v>
      </c>
      <c r="H298" s="11" t="s">
        <v>27</v>
      </c>
      <c r="I298" s="15" t="s">
        <v>237</v>
      </c>
      <c r="J298" s="15" t="s">
        <v>37</v>
      </c>
      <c r="K298" s="16" t="s">
        <v>57</v>
      </c>
      <c r="L298" s="60" t="s">
        <v>391</v>
      </c>
      <c r="M298" s="15"/>
      <c r="N298" s="15" t="s">
        <v>99</v>
      </c>
      <c r="O298" s="15"/>
      <c r="P298" s="16" t="s">
        <v>392</v>
      </c>
      <c r="Q298" s="17">
        <v>19999</v>
      </c>
      <c r="R298" s="18">
        <v>58.26</v>
      </c>
      <c r="S298" s="19">
        <v>9599.9354999999996</v>
      </c>
      <c r="T298" s="20" t="s">
        <v>75</v>
      </c>
      <c r="U298" s="21" t="s">
        <v>173</v>
      </c>
      <c r="V298" s="25" t="s">
        <v>63</v>
      </c>
      <c r="W298" s="22">
        <v>1</v>
      </c>
      <c r="X298" s="23"/>
    </row>
    <row r="299" spans="1:24" s="1" customFormat="1" ht="21" customHeight="1" x14ac:dyDescent="0.3">
      <c r="A299" s="24" t="s">
        <v>23</v>
      </c>
      <c r="B299" s="24" t="s">
        <v>389</v>
      </c>
      <c r="C299" s="31" t="s">
        <v>390</v>
      </c>
      <c r="D299" s="58"/>
      <c r="E299" s="43" t="str">
        <f>HYPERLINK("https://www.google.ru/search?q=04511-6016&amp;newwindow=1&amp;tbm=isch","Еще фото")</f>
        <v>Еще фото</v>
      </c>
      <c r="F299" s="14"/>
      <c r="G299" s="24" t="s">
        <v>237</v>
      </c>
      <c r="H299" s="24" t="s">
        <v>27</v>
      </c>
      <c r="I299" s="24" t="s">
        <v>237</v>
      </c>
      <c r="J299" s="15" t="s">
        <v>37</v>
      </c>
      <c r="K299" s="16" t="s">
        <v>57</v>
      </c>
      <c r="L299" s="61"/>
      <c r="M299" s="15"/>
      <c r="N299" s="15" t="s">
        <v>99</v>
      </c>
      <c r="O299" s="15"/>
      <c r="P299" s="16" t="s">
        <v>392</v>
      </c>
      <c r="Q299" s="17">
        <v>19999</v>
      </c>
      <c r="R299" s="18">
        <v>58.26</v>
      </c>
      <c r="S299" s="19">
        <v>9599.9354999999996</v>
      </c>
      <c r="T299" s="20" t="s">
        <v>75</v>
      </c>
      <c r="U299" s="21" t="s">
        <v>52</v>
      </c>
      <c r="V299" s="22">
        <v>46</v>
      </c>
      <c r="W299" s="22">
        <v>1</v>
      </c>
      <c r="X299" s="23"/>
    </row>
    <row r="300" spans="1:24" s="1" customFormat="1" ht="21" customHeight="1" x14ac:dyDescent="0.3">
      <c r="A300" s="24" t="s">
        <v>23</v>
      </c>
      <c r="B300" s="24" t="s">
        <v>389</v>
      </c>
      <c r="C300" s="31" t="s">
        <v>390</v>
      </c>
      <c r="D300" s="58"/>
      <c r="E300" s="43" t="str">
        <f>HYPERLINK("https://www.google.ru/search?q=04511-6016&amp;newwindow=1&amp;tbm=isch","Еще фото")</f>
        <v>Еще фото</v>
      </c>
      <c r="F300" s="14"/>
      <c r="G300" s="24" t="s">
        <v>237</v>
      </c>
      <c r="H300" s="24" t="s">
        <v>27</v>
      </c>
      <c r="I300" s="24" t="s">
        <v>237</v>
      </c>
      <c r="J300" s="15" t="s">
        <v>37</v>
      </c>
      <c r="K300" s="16" t="s">
        <v>57</v>
      </c>
      <c r="L300" s="61"/>
      <c r="M300" s="15"/>
      <c r="N300" s="15" t="s">
        <v>99</v>
      </c>
      <c r="O300" s="15"/>
      <c r="P300" s="16" t="s">
        <v>392</v>
      </c>
      <c r="Q300" s="17">
        <v>19999</v>
      </c>
      <c r="R300" s="18">
        <v>58.26</v>
      </c>
      <c r="S300" s="19">
        <v>9599.9354999999996</v>
      </c>
      <c r="T300" s="20" t="s">
        <v>75</v>
      </c>
      <c r="U300" s="21" t="s">
        <v>53</v>
      </c>
      <c r="V300" s="22">
        <v>46</v>
      </c>
      <c r="W300" s="22">
        <v>2</v>
      </c>
      <c r="X300" s="23"/>
    </row>
    <row r="301" spans="1:24" s="1" customFormat="1" ht="21" customHeight="1" x14ac:dyDescent="0.3">
      <c r="A301" s="24" t="s">
        <v>23</v>
      </c>
      <c r="B301" s="24" t="s">
        <v>389</v>
      </c>
      <c r="C301" s="31" t="s">
        <v>390</v>
      </c>
      <c r="D301" s="58"/>
      <c r="E301" s="43" t="str">
        <f>HYPERLINK("https://www.google.ru/search?q=04511-6016&amp;newwindow=1&amp;tbm=isch","Еще фото")</f>
        <v>Еще фото</v>
      </c>
      <c r="F301" s="14"/>
      <c r="G301" s="24" t="s">
        <v>237</v>
      </c>
      <c r="H301" s="24" t="s">
        <v>27</v>
      </c>
      <c r="I301" s="24" t="s">
        <v>237</v>
      </c>
      <c r="J301" s="15" t="s">
        <v>37</v>
      </c>
      <c r="K301" s="16" t="s">
        <v>57</v>
      </c>
      <c r="L301" s="61"/>
      <c r="M301" s="15"/>
      <c r="N301" s="15" t="s">
        <v>99</v>
      </c>
      <c r="O301" s="15"/>
      <c r="P301" s="16" t="s">
        <v>392</v>
      </c>
      <c r="Q301" s="17">
        <v>19999</v>
      </c>
      <c r="R301" s="18">
        <v>58.26</v>
      </c>
      <c r="S301" s="19">
        <v>9599.9354999999996</v>
      </c>
      <c r="T301" s="20" t="s">
        <v>75</v>
      </c>
      <c r="U301" s="21" t="s">
        <v>143</v>
      </c>
      <c r="V301" s="22">
        <v>46</v>
      </c>
      <c r="W301" s="22">
        <v>1</v>
      </c>
      <c r="X301" s="23"/>
    </row>
    <row r="302" spans="1:24" s="1" customFormat="1" ht="32" customHeight="1" x14ac:dyDescent="0.3">
      <c r="A302" s="24" t="s">
        <v>23</v>
      </c>
      <c r="B302" s="24" t="s">
        <v>389</v>
      </c>
      <c r="C302" s="31" t="s">
        <v>390</v>
      </c>
      <c r="D302" s="59"/>
      <c r="E302" s="43" t="str">
        <f>HYPERLINK("https://www.google.ru/search?q=04511-6016&amp;newwindow=1&amp;tbm=isch","Еще фото")</f>
        <v>Еще фото</v>
      </c>
      <c r="F302" s="14"/>
      <c r="G302" s="24" t="s">
        <v>237</v>
      </c>
      <c r="H302" s="24" t="s">
        <v>27</v>
      </c>
      <c r="I302" s="24" t="s">
        <v>237</v>
      </c>
      <c r="J302" s="15" t="s">
        <v>37</v>
      </c>
      <c r="K302" s="16" t="s">
        <v>57</v>
      </c>
      <c r="L302" s="62"/>
      <c r="M302" s="15"/>
      <c r="N302" s="15" t="s">
        <v>99</v>
      </c>
      <c r="O302" s="15"/>
      <c r="P302" s="16" t="s">
        <v>392</v>
      </c>
      <c r="Q302" s="17">
        <v>19999</v>
      </c>
      <c r="R302" s="18">
        <v>58.26</v>
      </c>
      <c r="S302" s="19">
        <v>9599.9354999999996</v>
      </c>
      <c r="T302" s="20" t="s">
        <v>75</v>
      </c>
      <c r="U302" s="21" t="s">
        <v>140</v>
      </c>
      <c r="V302" s="25" t="s">
        <v>65</v>
      </c>
      <c r="W302" s="22">
        <v>1</v>
      </c>
      <c r="X302" s="23"/>
    </row>
    <row r="303" spans="1:24" s="1" customFormat="1" ht="108" customHeight="1" x14ac:dyDescent="0.3">
      <c r="A303" s="11" t="s">
        <v>23</v>
      </c>
      <c r="B303" s="11" t="s">
        <v>393</v>
      </c>
      <c r="C303" s="12" t="s">
        <v>394</v>
      </c>
      <c r="D303" s="13"/>
      <c r="E303" s="43" t="str">
        <f>HYPERLINK("https://www.google.ru/search?q=18881-0533&amp;newwindow=1&amp;tbm=isch","Еще фото")</f>
        <v>Еще фото</v>
      </c>
      <c r="F303" s="14"/>
      <c r="G303" s="11" t="s">
        <v>237</v>
      </c>
      <c r="H303" s="11" t="s">
        <v>27</v>
      </c>
      <c r="I303" s="15" t="s">
        <v>237</v>
      </c>
      <c r="J303" s="15" t="s">
        <v>28</v>
      </c>
      <c r="K303" s="16" t="s">
        <v>29</v>
      </c>
      <c r="L303" s="15" t="s">
        <v>395</v>
      </c>
      <c r="M303" s="15" t="s">
        <v>72</v>
      </c>
      <c r="N303" s="15" t="s">
        <v>130</v>
      </c>
      <c r="O303" s="15"/>
      <c r="P303" s="16" t="s">
        <v>396</v>
      </c>
      <c r="Q303" s="17">
        <v>15699</v>
      </c>
      <c r="R303" s="18">
        <v>56.32</v>
      </c>
      <c r="S303" s="19">
        <v>7886.4354999999996</v>
      </c>
      <c r="T303" s="20" t="s">
        <v>75</v>
      </c>
      <c r="U303" s="21" t="s">
        <v>255</v>
      </c>
      <c r="V303" s="22">
        <v>40</v>
      </c>
      <c r="W303" s="22">
        <v>5</v>
      </c>
      <c r="X303" s="23"/>
    </row>
    <row r="304" spans="1:24" s="1" customFormat="1" ht="35" customHeight="1" x14ac:dyDescent="0.3">
      <c r="A304" s="11" t="s">
        <v>23</v>
      </c>
      <c r="B304" s="11" t="s">
        <v>397</v>
      </c>
      <c r="C304" s="12" t="s">
        <v>398</v>
      </c>
      <c r="D304" s="57"/>
      <c r="E304" s="43" t="str">
        <f>HYPERLINK("https://www.google.ru/search?q=A2170-0000&amp;newwindow=1&amp;tbm=isch","Еще фото")</f>
        <v>Еще фото</v>
      </c>
      <c r="F304" s="14"/>
      <c r="G304" s="11" t="s">
        <v>237</v>
      </c>
      <c r="H304" s="11" t="s">
        <v>27</v>
      </c>
      <c r="I304" s="15" t="s">
        <v>237</v>
      </c>
      <c r="J304" s="15" t="s">
        <v>28</v>
      </c>
      <c r="K304" s="16" t="s">
        <v>29</v>
      </c>
      <c r="L304" s="60" t="s">
        <v>399</v>
      </c>
      <c r="M304" s="15"/>
      <c r="N304" s="15" t="s">
        <v>39</v>
      </c>
      <c r="O304" s="15"/>
      <c r="P304" s="16" t="s">
        <v>400</v>
      </c>
      <c r="Q304" s="17">
        <v>19500</v>
      </c>
      <c r="R304" s="18">
        <v>56.01</v>
      </c>
      <c r="S304" s="19">
        <v>9864.4354999999996</v>
      </c>
      <c r="T304" s="20" t="s">
        <v>75</v>
      </c>
      <c r="U304" s="21" t="s">
        <v>401</v>
      </c>
      <c r="V304" s="22">
        <v>40</v>
      </c>
      <c r="W304" s="22">
        <v>1</v>
      </c>
      <c r="X304" s="23"/>
    </row>
    <row r="305" spans="1:24" s="1" customFormat="1" ht="35" customHeight="1" x14ac:dyDescent="0.3">
      <c r="A305" s="24" t="s">
        <v>23</v>
      </c>
      <c r="B305" s="24" t="s">
        <v>397</v>
      </c>
      <c r="C305" s="12" t="s">
        <v>398</v>
      </c>
      <c r="D305" s="58"/>
      <c r="E305" s="43" t="str">
        <f>HYPERLINK("https://www.google.ru/search?q=A2170-0000&amp;newwindow=1&amp;tbm=isch","Еще фото")</f>
        <v>Еще фото</v>
      </c>
      <c r="F305" s="14"/>
      <c r="G305" s="24" t="s">
        <v>237</v>
      </c>
      <c r="H305" s="24" t="s">
        <v>27</v>
      </c>
      <c r="I305" s="24" t="s">
        <v>237</v>
      </c>
      <c r="J305" s="15" t="s">
        <v>28</v>
      </c>
      <c r="K305" s="16" t="s">
        <v>29</v>
      </c>
      <c r="L305" s="61"/>
      <c r="M305" s="15"/>
      <c r="N305" s="15" t="s">
        <v>39</v>
      </c>
      <c r="O305" s="15"/>
      <c r="P305" s="16" t="s">
        <v>400</v>
      </c>
      <c r="Q305" s="17">
        <v>19500</v>
      </c>
      <c r="R305" s="18">
        <v>56.01</v>
      </c>
      <c r="S305" s="19">
        <v>9864.4354999999996</v>
      </c>
      <c r="T305" s="20" t="s">
        <v>75</v>
      </c>
      <c r="U305" s="21" t="s">
        <v>402</v>
      </c>
      <c r="V305" s="22">
        <v>40</v>
      </c>
      <c r="W305" s="22">
        <v>1</v>
      </c>
      <c r="X305" s="23"/>
    </row>
    <row r="306" spans="1:24" s="1" customFormat="1" ht="37.049999999999997" customHeight="1" x14ac:dyDescent="0.3">
      <c r="A306" s="24" t="s">
        <v>23</v>
      </c>
      <c r="B306" s="24" t="s">
        <v>397</v>
      </c>
      <c r="C306" s="12" t="s">
        <v>398</v>
      </c>
      <c r="D306" s="59"/>
      <c r="E306" s="43" t="str">
        <f>HYPERLINK("https://www.google.ru/search?q=A2170-0000&amp;newwindow=1&amp;tbm=isch","Еще фото")</f>
        <v>Еще фото</v>
      </c>
      <c r="F306" s="14"/>
      <c r="G306" s="24" t="s">
        <v>237</v>
      </c>
      <c r="H306" s="24" t="s">
        <v>27</v>
      </c>
      <c r="I306" s="24" t="s">
        <v>237</v>
      </c>
      <c r="J306" s="15" t="s">
        <v>28</v>
      </c>
      <c r="K306" s="16" t="s">
        <v>29</v>
      </c>
      <c r="L306" s="62"/>
      <c r="M306" s="15"/>
      <c r="N306" s="15" t="s">
        <v>39</v>
      </c>
      <c r="O306" s="15"/>
      <c r="P306" s="16" t="s">
        <v>400</v>
      </c>
      <c r="Q306" s="17">
        <v>19500</v>
      </c>
      <c r="R306" s="18">
        <v>56.01</v>
      </c>
      <c r="S306" s="19">
        <v>9864.4354999999996</v>
      </c>
      <c r="T306" s="20" t="s">
        <v>75</v>
      </c>
      <c r="U306" s="21" t="s">
        <v>403</v>
      </c>
      <c r="V306" s="22">
        <v>50</v>
      </c>
      <c r="W306" s="22">
        <v>1</v>
      </c>
      <c r="X306" s="23"/>
    </row>
    <row r="307" spans="1:24" s="1" customFormat="1" ht="35" customHeight="1" x14ac:dyDescent="0.3">
      <c r="A307" s="11" t="s">
        <v>23</v>
      </c>
      <c r="B307" s="11" t="s">
        <v>404</v>
      </c>
      <c r="C307" s="12" t="s">
        <v>405</v>
      </c>
      <c r="D307" s="57"/>
      <c r="E307" s="43" t="str">
        <f>HYPERLINK("https://www.google.ru/search?q=18883-0286&amp;newwindow=1&amp;tbm=isch","Еще фото")</f>
        <v>Еще фото</v>
      </c>
      <c r="F307" s="14"/>
      <c r="G307" s="11" t="s">
        <v>237</v>
      </c>
      <c r="H307" s="11" t="s">
        <v>27</v>
      </c>
      <c r="I307" s="15" t="s">
        <v>237</v>
      </c>
      <c r="J307" s="15" t="s">
        <v>37</v>
      </c>
      <c r="K307" s="16" t="s">
        <v>29</v>
      </c>
      <c r="L307" s="60" t="s">
        <v>406</v>
      </c>
      <c r="M307" s="15"/>
      <c r="N307" s="15" t="s">
        <v>130</v>
      </c>
      <c r="O307" s="15"/>
      <c r="P307" s="16" t="s">
        <v>407</v>
      </c>
      <c r="Q307" s="17">
        <v>18599</v>
      </c>
      <c r="R307" s="18">
        <v>55.87</v>
      </c>
      <c r="S307" s="19">
        <v>9438.9354999999996</v>
      </c>
      <c r="T307" s="20" t="s">
        <v>75</v>
      </c>
      <c r="U307" s="21" t="s">
        <v>42</v>
      </c>
      <c r="V307" s="22">
        <v>40</v>
      </c>
      <c r="W307" s="22">
        <v>2</v>
      </c>
      <c r="X307" s="23"/>
    </row>
    <row r="308" spans="1:24" s="1" customFormat="1" ht="35" customHeight="1" x14ac:dyDescent="0.3">
      <c r="A308" s="24" t="s">
        <v>23</v>
      </c>
      <c r="B308" s="24" t="s">
        <v>404</v>
      </c>
      <c r="C308" s="12" t="s">
        <v>405</v>
      </c>
      <c r="D308" s="58"/>
      <c r="E308" s="43" t="str">
        <f>HYPERLINK("https://www.google.ru/search?q=18883-0286&amp;newwindow=1&amp;tbm=isch","Еще фото")</f>
        <v>Еще фото</v>
      </c>
      <c r="F308" s="14"/>
      <c r="G308" s="24" t="s">
        <v>237</v>
      </c>
      <c r="H308" s="24" t="s">
        <v>27</v>
      </c>
      <c r="I308" s="24" t="s">
        <v>237</v>
      </c>
      <c r="J308" s="15" t="s">
        <v>37</v>
      </c>
      <c r="K308" s="16" t="s">
        <v>29</v>
      </c>
      <c r="L308" s="61"/>
      <c r="M308" s="15"/>
      <c r="N308" s="15" t="s">
        <v>130</v>
      </c>
      <c r="O308" s="15"/>
      <c r="P308" s="16" t="s">
        <v>407</v>
      </c>
      <c r="Q308" s="17">
        <v>18599</v>
      </c>
      <c r="R308" s="18">
        <v>55.87</v>
      </c>
      <c r="S308" s="19">
        <v>9438.9354999999996</v>
      </c>
      <c r="T308" s="20" t="s">
        <v>75</v>
      </c>
      <c r="U308" s="21" t="s">
        <v>43</v>
      </c>
      <c r="V308" s="25" t="s">
        <v>44</v>
      </c>
      <c r="W308" s="22">
        <v>1</v>
      </c>
      <c r="X308" s="23"/>
    </row>
    <row r="309" spans="1:24" s="1" customFormat="1" ht="37.049999999999997" customHeight="1" x14ac:dyDescent="0.3">
      <c r="A309" s="24" t="s">
        <v>23</v>
      </c>
      <c r="B309" s="24" t="s">
        <v>404</v>
      </c>
      <c r="C309" s="12" t="s">
        <v>405</v>
      </c>
      <c r="D309" s="59"/>
      <c r="E309" s="43" t="str">
        <f>HYPERLINK("https://www.google.ru/search?q=18883-0286&amp;newwindow=1&amp;tbm=isch","Еще фото")</f>
        <v>Еще фото</v>
      </c>
      <c r="F309" s="14"/>
      <c r="G309" s="24" t="s">
        <v>237</v>
      </c>
      <c r="H309" s="24" t="s">
        <v>27</v>
      </c>
      <c r="I309" s="24" t="s">
        <v>237</v>
      </c>
      <c r="J309" s="15" t="s">
        <v>37</v>
      </c>
      <c r="K309" s="16" t="s">
        <v>29</v>
      </c>
      <c r="L309" s="62"/>
      <c r="M309" s="15"/>
      <c r="N309" s="15" t="s">
        <v>130</v>
      </c>
      <c r="O309" s="15"/>
      <c r="P309" s="16" t="s">
        <v>407</v>
      </c>
      <c r="Q309" s="17">
        <v>18599</v>
      </c>
      <c r="R309" s="18">
        <v>55.87</v>
      </c>
      <c r="S309" s="19">
        <v>9438.9354999999996</v>
      </c>
      <c r="T309" s="20" t="s">
        <v>75</v>
      </c>
      <c r="U309" s="21" t="s">
        <v>46</v>
      </c>
      <c r="V309" s="22">
        <v>42</v>
      </c>
      <c r="W309" s="22">
        <v>1</v>
      </c>
      <c r="X309" s="23"/>
    </row>
    <row r="310" spans="1:24" s="1" customFormat="1" ht="26" customHeight="1" x14ac:dyDescent="0.3">
      <c r="A310" s="11" t="s">
        <v>23</v>
      </c>
      <c r="B310" s="11" t="s">
        <v>408</v>
      </c>
      <c r="C310" s="12" t="s">
        <v>409</v>
      </c>
      <c r="D310" s="57"/>
      <c r="E310" s="43" t="str">
        <f>HYPERLINK("https://www.google.ru/search?q=56041-0111&amp;newwindow=1&amp;tbm=isch","Еще фото")</f>
        <v>Еще фото</v>
      </c>
      <c r="F310" s="14"/>
      <c r="G310" s="11" t="s">
        <v>237</v>
      </c>
      <c r="H310" s="11" t="s">
        <v>27</v>
      </c>
      <c r="I310" s="15" t="s">
        <v>237</v>
      </c>
      <c r="J310" s="15" t="s">
        <v>37</v>
      </c>
      <c r="K310" s="16" t="s">
        <v>29</v>
      </c>
      <c r="L310" s="60" t="s">
        <v>410</v>
      </c>
      <c r="M310" s="15"/>
      <c r="N310" s="15" t="s">
        <v>130</v>
      </c>
      <c r="O310" s="15"/>
      <c r="P310" s="16" t="s">
        <v>350</v>
      </c>
      <c r="Q310" s="17">
        <v>13699</v>
      </c>
      <c r="R310" s="18">
        <v>55.85</v>
      </c>
      <c r="S310" s="19">
        <v>6954.9354999999996</v>
      </c>
      <c r="T310" s="20" t="s">
        <v>75</v>
      </c>
      <c r="U310" s="21" t="s">
        <v>43</v>
      </c>
      <c r="V310" s="25" t="s">
        <v>44</v>
      </c>
      <c r="W310" s="22">
        <v>1</v>
      </c>
      <c r="X310" s="23"/>
    </row>
    <row r="311" spans="1:24" s="1" customFormat="1" ht="26" customHeight="1" x14ac:dyDescent="0.3">
      <c r="A311" s="24" t="s">
        <v>23</v>
      </c>
      <c r="B311" s="24" t="s">
        <v>408</v>
      </c>
      <c r="C311" s="12" t="s">
        <v>409</v>
      </c>
      <c r="D311" s="58"/>
      <c r="E311" s="43" t="str">
        <f>HYPERLINK("https://www.google.ru/search?q=56041-0111&amp;newwindow=1&amp;tbm=isch","Еще фото")</f>
        <v>Еще фото</v>
      </c>
      <c r="F311" s="14"/>
      <c r="G311" s="24" t="s">
        <v>237</v>
      </c>
      <c r="H311" s="24" t="s">
        <v>27</v>
      </c>
      <c r="I311" s="24" t="s">
        <v>237</v>
      </c>
      <c r="J311" s="15" t="s">
        <v>37</v>
      </c>
      <c r="K311" s="16" t="s">
        <v>29</v>
      </c>
      <c r="L311" s="61"/>
      <c r="M311" s="15"/>
      <c r="N311" s="15" t="s">
        <v>130</v>
      </c>
      <c r="O311" s="15"/>
      <c r="P311" s="16" t="s">
        <v>350</v>
      </c>
      <c r="Q311" s="17">
        <v>13699</v>
      </c>
      <c r="R311" s="18">
        <v>55.85</v>
      </c>
      <c r="S311" s="19">
        <v>6954.9354999999996</v>
      </c>
      <c r="T311" s="20" t="s">
        <v>75</v>
      </c>
      <c r="U311" s="21" t="s">
        <v>158</v>
      </c>
      <c r="V311" s="22">
        <v>42</v>
      </c>
      <c r="W311" s="22">
        <v>1</v>
      </c>
      <c r="X311" s="23"/>
    </row>
    <row r="312" spans="1:24" s="1" customFormat="1" ht="26" customHeight="1" x14ac:dyDescent="0.3">
      <c r="A312" s="24" t="s">
        <v>23</v>
      </c>
      <c r="B312" s="24" t="s">
        <v>408</v>
      </c>
      <c r="C312" s="12" t="s">
        <v>409</v>
      </c>
      <c r="D312" s="58"/>
      <c r="E312" s="43" t="str">
        <f>HYPERLINK("https://www.google.ru/search?q=56041-0111&amp;newwindow=1&amp;tbm=isch","Еще фото")</f>
        <v>Еще фото</v>
      </c>
      <c r="F312" s="14"/>
      <c r="G312" s="24" t="s">
        <v>237</v>
      </c>
      <c r="H312" s="24" t="s">
        <v>27</v>
      </c>
      <c r="I312" s="24" t="s">
        <v>237</v>
      </c>
      <c r="J312" s="15" t="s">
        <v>37</v>
      </c>
      <c r="K312" s="16" t="s">
        <v>29</v>
      </c>
      <c r="L312" s="61"/>
      <c r="M312" s="15"/>
      <c r="N312" s="15" t="s">
        <v>130</v>
      </c>
      <c r="O312" s="15"/>
      <c r="P312" s="16" t="s">
        <v>350</v>
      </c>
      <c r="Q312" s="17">
        <v>13699</v>
      </c>
      <c r="R312" s="18">
        <v>55.85</v>
      </c>
      <c r="S312" s="19">
        <v>6954.9354999999996</v>
      </c>
      <c r="T312" s="20" t="s">
        <v>75</v>
      </c>
      <c r="U312" s="21" t="s">
        <v>173</v>
      </c>
      <c r="V312" s="22">
        <v>46</v>
      </c>
      <c r="W312" s="22">
        <v>1</v>
      </c>
      <c r="X312" s="23"/>
    </row>
    <row r="313" spans="1:24" s="1" customFormat="1" ht="26" customHeight="1" x14ac:dyDescent="0.3">
      <c r="A313" s="24" t="s">
        <v>23</v>
      </c>
      <c r="B313" s="24" t="s">
        <v>408</v>
      </c>
      <c r="C313" s="12" t="s">
        <v>409</v>
      </c>
      <c r="D313" s="59"/>
      <c r="E313" s="43" t="str">
        <f>HYPERLINK("https://www.google.ru/search?q=56041-0111&amp;newwindow=1&amp;tbm=isch","Еще фото")</f>
        <v>Еще фото</v>
      </c>
      <c r="F313" s="14"/>
      <c r="G313" s="24" t="s">
        <v>237</v>
      </c>
      <c r="H313" s="24" t="s">
        <v>27</v>
      </c>
      <c r="I313" s="24" t="s">
        <v>237</v>
      </c>
      <c r="J313" s="15" t="s">
        <v>37</v>
      </c>
      <c r="K313" s="16" t="s">
        <v>29</v>
      </c>
      <c r="L313" s="62"/>
      <c r="M313" s="15"/>
      <c r="N313" s="15" t="s">
        <v>130</v>
      </c>
      <c r="O313" s="15"/>
      <c r="P313" s="16" t="s">
        <v>350</v>
      </c>
      <c r="Q313" s="17">
        <v>13699</v>
      </c>
      <c r="R313" s="18">
        <v>55.85</v>
      </c>
      <c r="S313" s="19">
        <v>6954.9354999999996</v>
      </c>
      <c r="T313" s="20" t="s">
        <v>75</v>
      </c>
      <c r="U313" s="21" t="s">
        <v>52</v>
      </c>
      <c r="V313" s="22">
        <v>48</v>
      </c>
      <c r="W313" s="22">
        <v>1</v>
      </c>
      <c r="X313" s="23"/>
    </row>
    <row r="314" spans="1:24" s="1" customFormat="1" ht="35" customHeight="1" x14ac:dyDescent="0.3">
      <c r="A314" s="11" t="s">
        <v>23</v>
      </c>
      <c r="B314" s="11" t="s">
        <v>411</v>
      </c>
      <c r="C314" s="12" t="s">
        <v>412</v>
      </c>
      <c r="D314" s="57"/>
      <c r="E314" s="43" t="str">
        <f>HYPERLINK("https://www.google.ru/search?q=00501-3376&amp;newwindow=1&amp;tbm=isch","Еще фото")</f>
        <v>Еще фото</v>
      </c>
      <c r="F314" s="14"/>
      <c r="G314" s="11" t="s">
        <v>237</v>
      </c>
      <c r="H314" s="11" t="s">
        <v>27</v>
      </c>
      <c r="I314" s="15" t="s">
        <v>237</v>
      </c>
      <c r="J314" s="15" t="s">
        <v>37</v>
      </c>
      <c r="K314" s="16" t="s">
        <v>57</v>
      </c>
      <c r="L314" s="60" t="s">
        <v>413</v>
      </c>
      <c r="M314" s="15"/>
      <c r="N314" s="15" t="s">
        <v>138</v>
      </c>
      <c r="O314" s="15"/>
      <c r="P314" s="16" t="s">
        <v>254</v>
      </c>
      <c r="Q314" s="17">
        <v>17899</v>
      </c>
      <c r="R314" s="18">
        <v>55.82</v>
      </c>
      <c r="S314" s="19">
        <v>9093.9354999999996</v>
      </c>
      <c r="T314" s="20" t="s">
        <v>75</v>
      </c>
      <c r="U314" s="21" t="s">
        <v>109</v>
      </c>
      <c r="V314" s="25" t="s">
        <v>65</v>
      </c>
      <c r="W314" s="22">
        <v>1</v>
      </c>
      <c r="X314" s="23"/>
    </row>
    <row r="315" spans="1:24" s="1" customFormat="1" ht="35" customHeight="1" x14ac:dyDescent="0.3">
      <c r="A315" s="24" t="s">
        <v>23</v>
      </c>
      <c r="B315" s="24" t="s">
        <v>411</v>
      </c>
      <c r="C315" s="12" t="s">
        <v>412</v>
      </c>
      <c r="D315" s="58"/>
      <c r="E315" s="43" t="str">
        <f>HYPERLINK("https://www.google.ru/search?q=00501-3376&amp;newwindow=1&amp;tbm=isch","Еще фото")</f>
        <v>Еще фото</v>
      </c>
      <c r="F315" s="14"/>
      <c r="G315" s="24" t="s">
        <v>237</v>
      </c>
      <c r="H315" s="24" t="s">
        <v>27</v>
      </c>
      <c r="I315" s="24" t="s">
        <v>237</v>
      </c>
      <c r="J315" s="15" t="s">
        <v>37</v>
      </c>
      <c r="K315" s="16" t="s">
        <v>57</v>
      </c>
      <c r="L315" s="61"/>
      <c r="M315" s="15"/>
      <c r="N315" s="15" t="s">
        <v>138</v>
      </c>
      <c r="O315" s="15"/>
      <c r="P315" s="16" t="s">
        <v>254</v>
      </c>
      <c r="Q315" s="17">
        <v>17899</v>
      </c>
      <c r="R315" s="18">
        <v>55.82</v>
      </c>
      <c r="S315" s="19">
        <v>9093.9354999999996</v>
      </c>
      <c r="T315" s="20" t="s">
        <v>75</v>
      </c>
      <c r="U315" s="21" t="s">
        <v>359</v>
      </c>
      <c r="V315" s="25" t="s">
        <v>96</v>
      </c>
      <c r="W315" s="22">
        <v>1</v>
      </c>
      <c r="X315" s="23"/>
    </row>
    <row r="316" spans="1:24" s="1" customFormat="1" ht="37.049999999999997" customHeight="1" x14ac:dyDescent="0.3">
      <c r="A316" s="24" t="s">
        <v>23</v>
      </c>
      <c r="B316" s="24" t="s">
        <v>411</v>
      </c>
      <c r="C316" s="12" t="s">
        <v>412</v>
      </c>
      <c r="D316" s="59"/>
      <c r="E316" s="43" t="str">
        <f>HYPERLINK("https://www.google.ru/search?q=00501-3376&amp;newwindow=1&amp;tbm=isch","Еще фото")</f>
        <v>Еще фото</v>
      </c>
      <c r="F316" s="14"/>
      <c r="G316" s="24" t="s">
        <v>237</v>
      </c>
      <c r="H316" s="24" t="s">
        <v>27</v>
      </c>
      <c r="I316" s="24" t="s">
        <v>237</v>
      </c>
      <c r="J316" s="15" t="s">
        <v>37</v>
      </c>
      <c r="K316" s="16" t="s">
        <v>57</v>
      </c>
      <c r="L316" s="62"/>
      <c r="M316" s="15"/>
      <c r="N316" s="15" t="s">
        <v>138</v>
      </c>
      <c r="O316" s="15"/>
      <c r="P316" s="16" t="s">
        <v>254</v>
      </c>
      <c r="Q316" s="17">
        <v>17899</v>
      </c>
      <c r="R316" s="18">
        <v>55.82</v>
      </c>
      <c r="S316" s="19">
        <v>9093.9354999999996</v>
      </c>
      <c r="T316" s="20" t="s">
        <v>75</v>
      </c>
      <c r="U316" s="21" t="s">
        <v>89</v>
      </c>
      <c r="V316" s="22">
        <v>50</v>
      </c>
      <c r="W316" s="22">
        <v>2</v>
      </c>
      <c r="X316" s="23"/>
    </row>
    <row r="317" spans="1:24" s="1" customFormat="1" ht="26" customHeight="1" x14ac:dyDescent="0.3">
      <c r="A317" s="11" t="s">
        <v>23</v>
      </c>
      <c r="B317" s="11" t="s">
        <v>414</v>
      </c>
      <c r="C317" s="12" t="s">
        <v>415</v>
      </c>
      <c r="D317" s="57"/>
      <c r="E317" s="43" t="str">
        <f>HYPERLINK("https://www.google.ru/search?q=18882-0023&amp;newwindow=1&amp;tbm=isch","Еще фото")</f>
        <v>Еще фото</v>
      </c>
      <c r="F317" s="14" t="s">
        <v>182</v>
      </c>
      <c r="G317" s="11" t="s">
        <v>237</v>
      </c>
      <c r="H317" s="11" t="s">
        <v>27</v>
      </c>
      <c r="I317" s="15" t="s">
        <v>237</v>
      </c>
      <c r="J317" s="15" t="s">
        <v>37</v>
      </c>
      <c r="K317" s="16" t="s">
        <v>29</v>
      </c>
      <c r="L317" s="60" t="s">
        <v>248</v>
      </c>
      <c r="M317" s="15" t="s">
        <v>72</v>
      </c>
      <c r="N317" s="15" t="s">
        <v>138</v>
      </c>
      <c r="O317" s="15"/>
      <c r="P317" s="16" t="s">
        <v>209</v>
      </c>
      <c r="Q317" s="17">
        <v>9899</v>
      </c>
      <c r="R317" s="18">
        <v>54.97</v>
      </c>
      <c r="S317" s="19">
        <v>5126.4355000000005</v>
      </c>
      <c r="T317" s="20" t="s">
        <v>75</v>
      </c>
      <c r="U317" s="21" t="s">
        <v>285</v>
      </c>
      <c r="V317" s="22">
        <v>38</v>
      </c>
      <c r="W317" s="22">
        <v>1</v>
      </c>
      <c r="X317" s="23"/>
    </row>
    <row r="318" spans="1:24" s="1" customFormat="1" ht="26" customHeight="1" x14ac:dyDescent="0.3">
      <c r="A318" s="24" t="s">
        <v>23</v>
      </c>
      <c r="B318" s="24" t="s">
        <v>414</v>
      </c>
      <c r="C318" s="12" t="s">
        <v>415</v>
      </c>
      <c r="D318" s="58"/>
      <c r="E318" s="43" t="str">
        <f>HYPERLINK("https://www.google.ru/search?q=18882-0023&amp;newwindow=1&amp;tbm=isch","Еще фото")</f>
        <v>Еще фото</v>
      </c>
      <c r="F318" s="14" t="s">
        <v>182</v>
      </c>
      <c r="G318" s="24" t="s">
        <v>237</v>
      </c>
      <c r="H318" s="24" t="s">
        <v>27</v>
      </c>
      <c r="I318" s="24" t="s">
        <v>237</v>
      </c>
      <c r="J318" s="15" t="s">
        <v>37</v>
      </c>
      <c r="K318" s="16" t="s">
        <v>29</v>
      </c>
      <c r="L318" s="61"/>
      <c r="M318" s="15" t="s">
        <v>72</v>
      </c>
      <c r="N318" s="15" t="s">
        <v>138</v>
      </c>
      <c r="O318" s="15"/>
      <c r="P318" s="16" t="s">
        <v>209</v>
      </c>
      <c r="Q318" s="17">
        <v>9899</v>
      </c>
      <c r="R318" s="18">
        <v>54.97</v>
      </c>
      <c r="S318" s="19">
        <v>5126.4355000000005</v>
      </c>
      <c r="T318" s="20" t="s">
        <v>75</v>
      </c>
      <c r="U318" s="21" t="s">
        <v>42</v>
      </c>
      <c r="V318" s="22">
        <v>40</v>
      </c>
      <c r="W318" s="22">
        <v>4</v>
      </c>
      <c r="X318" s="23"/>
    </row>
    <row r="319" spans="1:24" s="1" customFormat="1" ht="26" customHeight="1" x14ac:dyDescent="0.3">
      <c r="A319" s="24" t="s">
        <v>23</v>
      </c>
      <c r="B319" s="24" t="s">
        <v>414</v>
      </c>
      <c r="C319" s="12" t="s">
        <v>415</v>
      </c>
      <c r="D319" s="58"/>
      <c r="E319" s="43" t="str">
        <f>HYPERLINK("https://www.google.ru/search?q=18882-0023&amp;newwindow=1&amp;tbm=isch","Еще фото")</f>
        <v>Еще фото</v>
      </c>
      <c r="F319" s="14" t="s">
        <v>182</v>
      </c>
      <c r="G319" s="24" t="s">
        <v>237</v>
      </c>
      <c r="H319" s="24" t="s">
        <v>27</v>
      </c>
      <c r="I319" s="24" t="s">
        <v>237</v>
      </c>
      <c r="J319" s="15" t="s">
        <v>37</v>
      </c>
      <c r="K319" s="16" t="s">
        <v>29</v>
      </c>
      <c r="L319" s="61"/>
      <c r="M319" s="15" t="s">
        <v>72</v>
      </c>
      <c r="N319" s="15" t="s">
        <v>138</v>
      </c>
      <c r="O319" s="15"/>
      <c r="P319" s="16" t="s">
        <v>209</v>
      </c>
      <c r="Q319" s="17">
        <v>9899</v>
      </c>
      <c r="R319" s="18">
        <v>54.97</v>
      </c>
      <c r="S319" s="19">
        <v>5126.4355000000005</v>
      </c>
      <c r="T319" s="20" t="s">
        <v>75</v>
      </c>
      <c r="U319" s="21" t="s">
        <v>255</v>
      </c>
      <c r="V319" s="22">
        <v>40</v>
      </c>
      <c r="W319" s="22">
        <v>2</v>
      </c>
      <c r="X319" s="23"/>
    </row>
    <row r="320" spans="1:24" s="1" customFormat="1" ht="26" customHeight="1" x14ac:dyDescent="0.3">
      <c r="A320" s="24" t="s">
        <v>23</v>
      </c>
      <c r="B320" s="24" t="s">
        <v>414</v>
      </c>
      <c r="C320" s="12" t="s">
        <v>415</v>
      </c>
      <c r="D320" s="59"/>
      <c r="E320" s="43" t="str">
        <f>HYPERLINK("https://www.google.ru/search?q=18882-0023&amp;newwindow=1&amp;tbm=isch","Еще фото")</f>
        <v>Еще фото</v>
      </c>
      <c r="F320" s="14" t="s">
        <v>182</v>
      </c>
      <c r="G320" s="24" t="s">
        <v>237</v>
      </c>
      <c r="H320" s="24" t="s">
        <v>27</v>
      </c>
      <c r="I320" s="24" t="s">
        <v>237</v>
      </c>
      <c r="J320" s="15" t="s">
        <v>37</v>
      </c>
      <c r="K320" s="16" t="s">
        <v>29</v>
      </c>
      <c r="L320" s="62"/>
      <c r="M320" s="15" t="s">
        <v>72</v>
      </c>
      <c r="N320" s="15" t="s">
        <v>138</v>
      </c>
      <c r="O320" s="15"/>
      <c r="P320" s="16" t="s">
        <v>209</v>
      </c>
      <c r="Q320" s="17">
        <v>9899</v>
      </c>
      <c r="R320" s="18">
        <v>54.97</v>
      </c>
      <c r="S320" s="19">
        <v>5126.4355000000005</v>
      </c>
      <c r="T320" s="20" t="s">
        <v>75</v>
      </c>
      <c r="U320" s="21" t="s">
        <v>46</v>
      </c>
      <c r="V320" s="22">
        <v>42</v>
      </c>
      <c r="W320" s="22">
        <v>1</v>
      </c>
      <c r="X320" s="23"/>
    </row>
    <row r="321" spans="1:24" s="1" customFormat="1" ht="13.05" customHeight="1" x14ac:dyDescent="0.3">
      <c r="A321" s="11" t="s">
        <v>23</v>
      </c>
      <c r="B321" s="11" t="s">
        <v>416</v>
      </c>
      <c r="C321" s="12" t="s">
        <v>417</v>
      </c>
      <c r="D321" s="57"/>
      <c r="E321" s="43" t="str">
        <f t="shared" ref="E321:E328" si="17">HYPERLINK("https://www.google.ru/search?q=04511-5550&amp;newwindow=1&amp;tbm=isch","Еще фото")</f>
        <v>Еще фото</v>
      </c>
      <c r="F321" s="14"/>
      <c r="G321" s="11" t="s">
        <v>237</v>
      </c>
      <c r="H321" s="11" t="s">
        <v>27</v>
      </c>
      <c r="I321" s="15" t="s">
        <v>237</v>
      </c>
      <c r="J321" s="15" t="s">
        <v>37</v>
      </c>
      <c r="K321" s="16" t="s">
        <v>57</v>
      </c>
      <c r="L321" s="60" t="s">
        <v>418</v>
      </c>
      <c r="M321" s="15"/>
      <c r="N321" s="15" t="s">
        <v>130</v>
      </c>
      <c r="O321" s="15"/>
      <c r="P321" s="16" t="s">
        <v>254</v>
      </c>
      <c r="Q321" s="17">
        <v>18899</v>
      </c>
      <c r="R321" s="18">
        <v>54.67</v>
      </c>
      <c r="S321" s="19">
        <v>9852.9354999999996</v>
      </c>
      <c r="T321" s="20" t="s">
        <v>75</v>
      </c>
      <c r="U321" s="33" t="s">
        <v>52</v>
      </c>
      <c r="V321" s="22">
        <v>46</v>
      </c>
      <c r="W321" s="22">
        <v>1</v>
      </c>
      <c r="X321" s="23"/>
    </row>
    <row r="322" spans="1:24" s="1" customFormat="1" ht="13.05" customHeight="1" x14ac:dyDescent="0.3">
      <c r="A322" s="24" t="s">
        <v>23</v>
      </c>
      <c r="B322" s="24" t="s">
        <v>416</v>
      </c>
      <c r="C322" s="12" t="s">
        <v>417</v>
      </c>
      <c r="D322" s="58"/>
      <c r="E322" s="43" t="str">
        <f t="shared" si="17"/>
        <v>Еще фото</v>
      </c>
      <c r="F322" s="14"/>
      <c r="G322" s="24" t="s">
        <v>237</v>
      </c>
      <c r="H322" s="24" t="s">
        <v>27</v>
      </c>
      <c r="I322" s="24" t="s">
        <v>237</v>
      </c>
      <c r="J322" s="15" t="s">
        <v>37</v>
      </c>
      <c r="K322" s="16" t="s">
        <v>57</v>
      </c>
      <c r="L322" s="61"/>
      <c r="M322" s="15"/>
      <c r="N322" s="15" t="s">
        <v>130</v>
      </c>
      <c r="O322" s="15"/>
      <c r="P322" s="16" t="s">
        <v>254</v>
      </c>
      <c r="Q322" s="17">
        <v>18899</v>
      </c>
      <c r="R322" s="18">
        <v>54.67</v>
      </c>
      <c r="S322" s="19">
        <v>9852.9354999999996</v>
      </c>
      <c r="T322" s="20" t="s">
        <v>75</v>
      </c>
      <c r="U322" s="21" t="s">
        <v>53</v>
      </c>
      <c r="V322" s="22">
        <v>46</v>
      </c>
      <c r="W322" s="22">
        <v>3</v>
      </c>
      <c r="X322" s="23"/>
    </row>
    <row r="323" spans="1:24" s="1" customFormat="1" ht="13.05" customHeight="1" x14ac:dyDescent="0.3">
      <c r="A323" s="24" t="s">
        <v>23</v>
      </c>
      <c r="B323" s="24" t="s">
        <v>416</v>
      </c>
      <c r="C323" s="12" t="s">
        <v>417</v>
      </c>
      <c r="D323" s="58"/>
      <c r="E323" s="43" t="str">
        <f t="shared" si="17"/>
        <v>Еще фото</v>
      </c>
      <c r="F323" s="14"/>
      <c r="G323" s="24" t="s">
        <v>237</v>
      </c>
      <c r="H323" s="24" t="s">
        <v>27</v>
      </c>
      <c r="I323" s="24" t="s">
        <v>237</v>
      </c>
      <c r="J323" s="15" t="s">
        <v>37</v>
      </c>
      <c r="K323" s="16" t="s">
        <v>57</v>
      </c>
      <c r="L323" s="61"/>
      <c r="M323" s="15"/>
      <c r="N323" s="15" t="s">
        <v>130</v>
      </c>
      <c r="O323" s="15"/>
      <c r="P323" s="16" t="s">
        <v>254</v>
      </c>
      <c r="Q323" s="17">
        <v>18899</v>
      </c>
      <c r="R323" s="18">
        <v>54.67</v>
      </c>
      <c r="S323" s="19">
        <v>9852.9354999999996</v>
      </c>
      <c r="T323" s="20" t="s">
        <v>75</v>
      </c>
      <c r="U323" s="21" t="s">
        <v>109</v>
      </c>
      <c r="V323" s="25" t="s">
        <v>65</v>
      </c>
      <c r="W323" s="22">
        <v>3</v>
      </c>
      <c r="X323" s="23"/>
    </row>
    <row r="324" spans="1:24" s="1" customFormat="1" ht="13.05" customHeight="1" x14ac:dyDescent="0.3">
      <c r="A324" s="24" t="s">
        <v>23</v>
      </c>
      <c r="B324" s="24" t="s">
        <v>416</v>
      </c>
      <c r="C324" s="12" t="s">
        <v>417</v>
      </c>
      <c r="D324" s="58"/>
      <c r="E324" s="43" t="str">
        <f t="shared" si="17"/>
        <v>Еще фото</v>
      </c>
      <c r="F324" s="14"/>
      <c r="G324" s="24" t="s">
        <v>237</v>
      </c>
      <c r="H324" s="24" t="s">
        <v>27</v>
      </c>
      <c r="I324" s="24" t="s">
        <v>237</v>
      </c>
      <c r="J324" s="15" t="s">
        <v>37</v>
      </c>
      <c r="K324" s="16" t="s">
        <v>57</v>
      </c>
      <c r="L324" s="61"/>
      <c r="M324" s="15"/>
      <c r="N324" s="15" t="s">
        <v>130</v>
      </c>
      <c r="O324" s="15"/>
      <c r="P324" s="16" t="s">
        <v>254</v>
      </c>
      <c r="Q324" s="17">
        <v>18899</v>
      </c>
      <c r="R324" s="18">
        <v>54.67</v>
      </c>
      <c r="S324" s="19">
        <v>9852.9354999999996</v>
      </c>
      <c r="T324" s="20" t="s">
        <v>75</v>
      </c>
      <c r="U324" s="21" t="s">
        <v>165</v>
      </c>
      <c r="V324" s="22">
        <v>48</v>
      </c>
      <c r="W324" s="22">
        <v>2</v>
      </c>
      <c r="X324" s="23"/>
    </row>
    <row r="325" spans="1:24" s="1" customFormat="1" ht="13.05" customHeight="1" x14ac:dyDescent="0.3">
      <c r="A325" s="24" t="s">
        <v>23</v>
      </c>
      <c r="B325" s="24" t="s">
        <v>416</v>
      </c>
      <c r="C325" s="12" t="s">
        <v>417</v>
      </c>
      <c r="D325" s="58"/>
      <c r="E325" s="43" t="str">
        <f t="shared" si="17"/>
        <v>Еще фото</v>
      </c>
      <c r="F325" s="14"/>
      <c r="G325" s="24" t="s">
        <v>237</v>
      </c>
      <c r="H325" s="24" t="s">
        <v>27</v>
      </c>
      <c r="I325" s="24" t="s">
        <v>237</v>
      </c>
      <c r="J325" s="15" t="s">
        <v>37</v>
      </c>
      <c r="K325" s="16" t="s">
        <v>57</v>
      </c>
      <c r="L325" s="61"/>
      <c r="M325" s="15"/>
      <c r="N325" s="15" t="s">
        <v>130</v>
      </c>
      <c r="O325" s="15"/>
      <c r="P325" s="16" t="s">
        <v>254</v>
      </c>
      <c r="Q325" s="17">
        <v>18899</v>
      </c>
      <c r="R325" s="18">
        <v>54.67</v>
      </c>
      <c r="S325" s="19">
        <v>9852.9354999999996</v>
      </c>
      <c r="T325" s="20" t="s">
        <v>75</v>
      </c>
      <c r="U325" s="21" t="s">
        <v>104</v>
      </c>
      <c r="V325" s="22">
        <v>48</v>
      </c>
      <c r="W325" s="22">
        <v>1</v>
      </c>
      <c r="X325" s="23"/>
    </row>
    <row r="326" spans="1:24" s="1" customFormat="1" ht="13.05" customHeight="1" x14ac:dyDescent="0.3">
      <c r="A326" s="24" t="s">
        <v>23</v>
      </c>
      <c r="B326" s="24" t="s">
        <v>416</v>
      </c>
      <c r="C326" s="12" t="s">
        <v>417</v>
      </c>
      <c r="D326" s="58"/>
      <c r="E326" s="43" t="str">
        <f t="shared" si="17"/>
        <v>Еще фото</v>
      </c>
      <c r="F326" s="14"/>
      <c r="G326" s="24" t="s">
        <v>237</v>
      </c>
      <c r="H326" s="24" t="s">
        <v>27</v>
      </c>
      <c r="I326" s="24" t="s">
        <v>237</v>
      </c>
      <c r="J326" s="15" t="s">
        <v>37</v>
      </c>
      <c r="K326" s="16" t="s">
        <v>57</v>
      </c>
      <c r="L326" s="61"/>
      <c r="M326" s="15"/>
      <c r="N326" s="15" t="s">
        <v>130</v>
      </c>
      <c r="O326" s="15"/>
      <c r="P326" s="16" t="s">
        <v>254</v>
      </c>
      <c r="Q326" s="17">
        <v>18899</v>
      </c>
      <c r="R326" s="18">
        <v>54.67</v>
      </c>
      <c r="S326" s="19">
        <v>9852.9354999999996</v>
      </c>
      <c r="T326" s="20" t="s">
        <v>75</v>
      </c>
      <c r="U326" s="21" t="s">
        <v>166</v>
      </c>
      <c r="V326" s="25" t="s">
        <v>96</v>
      </c>
      <c r="W326" s="22">
        <v>3</v>
      </c>
      <c r="X326" s="23"/>
    </row>
    <row r="327" spans="1:24" s="1" customFormat="1" ht="13.05" customHeight="1" x14ac:dyDescent="0.3">
      <c r="A327" s="24" t="s">
        <v>23</v>
      </c>
      <c r="B327" s="24" t="s">
        <v>416</v>
      </c>
      <c r="C327" s="12" t="s">
        <v>417</v>
      </c>
      <c r="D327" s="58"/>
      <c r="E327" s="43" t="str">
        <f t="shared" si="17"/>
        <v>Еще фото</v>
      </c>
      <c r="F327" s="14"/>
      <c r="G327" s="24" t="s">
        <v>237</v>
      </c>
      <c r="H327" s="24" t="s">
        <v>27</v>
      </c>
      <c r="I327" s="24" t="s">
        <v>237</v>
      </c>
      <c r="J327" s="15" t="s">
        <v>37</v>
      </c>
      <c r="K327" s="16" t="s">
        <v>57</v>
      </c>
      <c r="L327" s="61"/>
      <c r="M327" s="15"/>
      <c r="N327" s="15" t="s">
        <v>130</v>
      </c>
      <c r="O327" s="15"/>
      <c r="P327" s="16" t="s">
        <v>254</v>
      </c>
      <c r="Q327" s="17">
        <v>18899</v>
      </c>
      <c r="R327" s="18">
        <v>54.67</v>
      </c>
      <c r="S327" s="19">
        <v>9852.9354999999996</v>
      </c>
      <c r="T327" s="20" t="s">
        <v>75</v>
      </c>
      <c r="U327" s="21" t="s">
        <v>359</v>
      </c>
      <c r="V327" s="25" t="s">
        <v>96</v>
      </c>
      <c r="W327" s="22">
        <v>2</v>
      </c>
      <c r="X327" s="23"/>
    </row>
    <row r="328" spans="1:24" s="1" customFormat="1" ht="18" customHeight="1" x14ac:dyDescent="0.3">
      <c r="A328" s="24" t="s">
        <v>23</v>
      </c>
      <c r="B328" s="24" t="s">
        <v>416</v>
      </c>
      <c r="C328" s="12" t="s">
        <v>417</v>
      </c>
      <c r="D328" s="59"/>
      <c r="E328" s="43" t="str">
        <f t="shared" si="17"/>
        <v>Еще фото</v>
      </c>
      <c r="F328" s="14"/>
      <c r="G328" s="24" t="s">
        <v>237</v>
      </c>
      <c r="H328" s="24" t="s">
        <v>27</v>
      </c>
      <c r="I328" s="24" t="s">
        <v>237</v>
      </c>
      <c r="J328" s="15" t="s">
        <v>37</v>
      </c>
      <c r="K328" s="16" t="s">
        <v>57</v>
      </c>
      <c r="L328" s="62"/>
      <c r="M328" s="15"/>
      <c r="N328" s="15" t="s">
        <v>130</v>
      </c>
      <c r="O328" s="15"/>
      <c r="P328" s="16" t="s">
        <v>254</v>
      </c>
      <c r="Q328" s="17">
        <v>18899</v>
      </c>
      <c r="R328" s="18">
        <v>54.67</v>
      </c>
      <c r="S328" s="19">
        <v>9852.9354999999996</v>
      </c>
      <c r="T328" s="20" t="s">
        <v>75</v>
      </c>
      <c r="U328" s="21" t="s">
        <v>89</v>
      </c>
      <c r="V328" s="22">
        <v>50</v>
      </c>
      <c r="W328" s="22">
        <v>4</v>
      </c>
      <c r="X328" s="23"/>
    </row>
    <row r="329" spans="1:24" s="1" customFormat="1" ht="108" customHeight="1" x14ac:dyDescent="0.3">
      <c r="A329" s="11" t="s">
        <v>23</v>
      </c>
      <c r="B329" s="11" t="s">
        <v>246</v>
      </c>
      <c r="C329" s="12" t="s">
        <v>419</v>
      </c>
      <c r="D329" s="13"/>
      <c r="E329" s="43" t="str">
        <f>HYPERLINK("https://www.google.ru/search?q=18882-0514&amp;newwindow=1&amp;tbm=isch","Еще фото")</f>
        <v>Еще фото</v>
      </c>
      <c r="F329" s="14"/>
      <c r="G329" s="11" t="s">
        <v>237</v>
      </c>
      <c r="H329" s="11" t="s">
        <v>27</v>
      </c>
      <c r="I329" s="15" t="s">
        <v>237</v>
      </c>
      <c r="J329" s="15" t="s">
        <v>28</v>
      </c>
      <c r="K329" s="16" t="s">
        <v>29</v>
      </c>
      <c r="L329" s="15" t="s">
        <v>420</v>
      </c>
      <c r="M329" s="15"/>
      <c r="N329" s="15" t="s">
        <v>138</v>
      </c>
      <c r="O329" s="15"/>
      <c r="P329" s="16" t="s">
        <v>318</v>
      </c>
      <c r="Q329" s="17">
        <v>17799</v>
      </c>
      <c r="R329" s="18">
        <v>53.04</v>
      </c>
      <c r="S329" s="19">
        <v>9611.4354999999996</v>
      </c>
      <c r="T329" s="20" t="s">
        <v>75</v>
      </c>
      <c r="U329" s="21" t="s">
        <v>45</v>
      </c>
      <c r="V329" s="25" t="s">
        <v>44</v>
      </c>
      <c r="W329" s="22">
        <v>1</v>
      </c>
      <c r="X329" s="23"/>
    </row>
    <row r="330" spans="1:24" s="1" customFormat="1" ht="108" customHeight="1" x14ac:dyDescent="0.3">
      <c r="A330" s="11" t="s">
        <v>23</v>
      </c>
      <c r="B330" s="11" t="s">
        <v>421</v>
      </c>
      <c r="C330" s="12" t="s">
        <v>422</v>
      </c>
      <c r="D330" s="13"/>
      <c r="E330" s="43" t="str">
        <f>HYPERLINK("https://www.google.ru/search?q=22791-0052&amp;newwindow=1&amp;tbm=isch","Еще фото")</f>
        <v>Еще фото</v>
      </c>
      <c r="F330" s="14"/>
      <c r="G330" s="11" t="s">
        <v>237</v>
      </c>
      <c r="H330" s="11" t="s">
        <v>27</v>
      </c>
      <c r="I330" s="15" t="s">
        <v>237</v>
      </c>
      <c r="J330" s="15" t="s">
        <v>28</v>
      </c>
      <c r="K330" s="16" t="s">
        <v>29</v>
      </c>
      <c r="L330" s="15" t="s">
        <v>423</v>
      </c>
      <c r="M330" s="15" t="s">
        <v>72</v>
      </c>
      <c r="N330" s="15" t="s">
        <v>39</v>
      </c>
      <c r="O330" s="15" t="s">
        <v>121</v>
      </c>
      <c r="P330" s="16" t="s">
        <v>424</v>
      </c>
      <c r="Q330" s="17">
        <v>11599</v>
      </c>
      <c r="R330" s="18">
        <v>53.03</v>
      </c>
      <c r="S330" s="19">
        <v>6264.9354999999996</v>
      </c>
      <c r="T330" s="20" t="s">
        <v>75</v>
      </c>
      <c r="U330" s="21" t="s">
        <v>285</v>
      </c>
      <c r="V330" s="22">
        <v>38</v>
      </c>
      <c r="W330" s="22">
        <v>4</v>
      </c>
      <c r="X330" s="23"/>
    </row>
    <row r="331" spans="1:24" s="1" customFormat="1" ht="108" customHeight="1" x14ac:dyDescent="0.3">
      <c r="A331" s="11" t="s">
        <v>23</v>
      </c>
      <c r="B331" s="11" t="s">
        <v>425</v>
      </c>
      <c r="C331" s="12" t="s">
        <v>426</v>
      </c>
      <c r="D331" s="13"/>
      <c r="E331" s="43" t="str">
        <f>HYPERLINK("https://www.google.ru/search?q=05510-1265&amp;newwindow=1&amp;tbm=isch","Еще фото")</f>
        <v>Еще фото</v>
      </c>
      <c r="F331" s="14"/>
      <c r="G331" s="11" t="s">
        <v>237</v>
      </c>
      <c r="H331" s="11" t="s">
        <v>27</v>
      </c>
      <c r="I331" s="15" t="s">
        <v>237</v>
      </c>
      <c r="J331" s="15" t="s">
        <v>37</v>
      </c>
      <c r="K331" s="16" t="s">
        <v>57</v>
      </c>
      <c r="L331" s="15" t="s">
        <v>427</v>
      </c>
      <c r="M331" s="15"/>
      <c r="N331" s="15" t="s">
        <v>130</v>
      </c>
      <c r="O331" s="15"/>
      <c r="P331" s="16" t="s">
        <v>428</v>
      </c>
      <c r="Q331" s="17">
        <v>16799</v>
      </c>
      <c r="R331" s="18">
        <v>52.93</v>
      </c>
      <c r="S331" s="19">
        <v>9093.9354999999996</v>
      </c>
      <c r="T331" s="20" t="s">
        <v>75</v>
      </c>
      <c r="U331" s="21" t="s">
        <v>53</v>
      </c>
      <c r="V331" s="22">
        <v>46</v>
      </c>
      <c r="W331" s="22">
        <v>1</v>
      </c>
      <c r="X331" s="23"/>
    </row>
    <row r="332" spans="1:24" s="1" customFormat="1" ht="26" customHeight="1" x14ac:dyDescent="0.3">
      <c r="A332" s="11" t="s">
        <v>23</v>
      </c>
      <c r="B332" s="11" t="s">
        <v>429</v>
      </c>
      <c r="C332" s="12" t="s">
        <v>430</v>
      </c>
      <c r="D332" s="57"/>
      <c r="E332" s="43" t="str">
        <f>HYPERLINK("https://www.google.ru/search?q=29507-1336&amp;newwindow=1&amp;tbm=isch","Еще фото")</f>
        <v>Еще фото</v>
      </c>
      <c r="F332" s="14"/>
      <c r="G332" s="11" t="s">
        <v>237</v>
      </c>
      <c r="H332" s="11" t="s">
        <v>27</v>
      </c>
      <c r="I332" s="15" t="s">
        <v>237</v>
      </c>
      <c r="J332" s="15" t="s">
        <v>28</v>
      </c>
      <c r="K332" s="16" t="s">
        <v>57</v>
      </c>
      <c r="L332" s="60" t="s">
        <v>431</v>
      </c>
      <c r="M332" s="15"/>
      <c r="N332" s="15" t="s">
        <v>39</v>
      </c>
      <c r="O332" s="15"/>
      <c r="P332" s="16" t="s">
        <v>254</v>
      </c>
      <c r="Q332" s="17">
        <v>16799</v>
      </c>
      <c r="R332" s="18">
        <v>52.93</v>
      </c>
      <c r="S332" s="19">
        <v>9093.9354999999996</v>
      </c>
      <c r="T332" s="20" t="s">
        <v>75</v>
      </c>
      <c r="U332" s="21" t="s">
        <v>173</v>
      </c>
      <c r="V332" s="25" t="s">
        <v>63</v>
      </c>
      <c r="W332" s="22">
        <v>2</v>
      </c>
      <c r="X332" s="23"/>
    </row>
    <row r="333" spans="1:24" s="1" customFormat="1" ht="26" customHeight="1" x14ac:dyDescent="0.3">
      <c r="A333" s="24" t="s">
        <v>23</v>
      </c>
      <c r="B333" s="24" t="s">
        <v>429</v>
      </c>
      <c r="C333" s="12" t="s">
        <v>430</v>
      </c>
      <c r="D333" s="58"/>
      <c r="E333" s="43" t="str">
        <f>HYPERLINK("https://www.google.ru/search?q=29507-1336&amp;newwindow=1&amp;tbm=isch","Еще фото")</f>
        <v>Еще фото</v>
      </c>
      <c r="F333" s="14"/>
      <c r="G333" s="24" t="s">
        <v>237</v>
      </c>
      <c r="H333" s="24" t="s">
        <v>27</v>
      </c>
      <c r="I333" s="24" t="s">
        <v>237</v>
      </c>
      <c r="J333" s="15" t="s">
        <v>28</v>
      </c>
      <c r="K333" s="16" t="s">
        <v>57</v>
      </c>
      <c r="L333" s="61"/>
      <c r="M333" s="15"/>
      <c r="N333" s="15" t="s">
        <v>39</v>
      </c>
      <c r="O333" s="15"/>
      <c r="P333" s="16" t="s">
        <v>254</v>
      </c>
      <c r="Q333" s="17">
        <v>16799</v>
      </c>
      <c r="R333" s="18">
        <v>52.93</v>
      </c>
      <c r="S333" s="19">
        <v>9093.9354999999996</v>
      </c>
      <c r="T333" s="20" t="s">
        <v>75</v>
      </c>
      <c r="U333" s="21" t="s">
        <v>53</v>
      </c>
      <c r="V333" s="22">
        <v>46</v>
      </c>
      <c r="W333" s="22">
        <v>2</v>
      </c>
      <c r="X333" s="23"/>
    </row>
    <row r="334" spans="1:24" s="1" customFormat="1" ht="26" customHeight="1" x14ac:dyDescent="0.3">
      <c r="A334" s="24" t="s">
        <v>23</v>
      </c>
      <c r="B334" s="24" t="s">
        <v>429</v>
      </c>
      <c r="C334" s="12" t="s">
        <v>430</v>
      </c>
      <c r="D334" s="58"/>
      <c r="E334" s="43" t="str">
        <f>HYPERLINK("https://www.google.ru/search?q=29507-1336&amp;newwindow=1&amp;tbm=isch","Еще фото")</f>
        <v>Еще фото</v>
      </c>
      <c r="F334" s="14"/>
      <c r="G334" s="24" t="s">
        <v>237</v>
      </c>
      <c r="H334" s="24" t="s">
        <v>27</v>
      </c>
      <c r="I334" s="24" t="s">
        <v>237</v>
      </c>
      <c r="J334" s="15" t="s">
        <v>28</v>
      </c>
      <c r="K334" s="16" t="s">
        <v>57</v>
      </c>
      <c r="L334" s="61"/>
      <c r="M334" s="15"/>
      <c r="N334" s="15" t="s">
        <v>39</v>
      </c>
      <c r="O334" s="15"/>
      <c r="P334" s="16" t="s">
        <v>254</v>
      </c>
      <c r="Q334" s="17">
        <v>16799</v>
      </c>
      <c r="R334" s="18">
        <v>52.93</v>
      </c>
      <c r="S334" s="19">
        <v>9093.9354999999996</v>
      </c>
      <c r="T334" s="20" t="s">
        <v>75</v>
      </c>
      <c r="U334" s="21" t="s">
        <v>109</v>
      </c>
      <c r="V334" s="25" t="s">
        <v>65</v>
      </c>
      <c r="W334" s="22">
        <v>1</v>
      </c>
      <c r="X334" s="23"/>
    </row>
    <row r="335" spans="1:24" s="1" customFormat="1" ht="26" customHeight="1" x14ac:dyDescent="0.3">
      <c r="A335" s="24" t="s">
        <v>23</v>
      </c>
      <c r="B335" s="24" t="s">
        <v>429</v>
      </c>
      <c r="C335" s="12" t="s">
        <v>430</v>
      </c>
      <c r="D335" s="59"/>
      <c r="E335" s="43" t="str">
        <f>HYPERLINK("https://www.google.ru/search?q=29507-1336&amp;newwindow=1&amp;tbm=isch","Еще фото")</f>
        <v>Еще фото</v>
      </c>
      <c r="F335" s="14"/>
      <c r="G335" s="24" t="s">
        <v>237</v>
      </c>
      <c r="H335" s="24" t="s">
        <v>27</v>
      </c>
      <c r="I335" s="24" t="s">
        <v>237</v>
      </c>
      <c r="J335" s="15" t="s">
        <v>28</v>
      </c>
      <c r="K335" s="16" t="s">
        <v>57</v>
      </c>
      <c r="L335" s="62"/>
      <c r="M335" s="15"/>
      <c r="N335" s="15" t="s">
        <v>39</v>
      </c>
      <c r="O335" s="15"/>
      <c r="P335" s="16" t="s">
        <v>254</v>
      </c>
      <c r="Q335" s="17">
        <v>16799</v>
      </c>
      <c r="R335" s="18">
        <v>52.93</v>
      </c>
      <c r="S335" s="19">
        <v>9093.9354999999996</v>
      </c>
      <c r="T335" s="20" t="s">
        <v>75</v>
      </c>
      <c r="U335" s="21" t="s">
        <v>140</v>
      </c>
      <c r="V335" s="25" t="s">
        <v>65</v>
      </c>
      <c r="W335" s="22">
        <v>4</v>
      </c>
      <c r="X335" s="23"/>
    </row>
    <row r="336" spans="1:24" s="1" customFormat="1" ht="108" customHeight="1" x14ac:dyDescent="0.3">
      <c r="A336" s="11" t="s">
        <v>23</v>
      </c>
      <c r="B336" s="11" t="s">
        <v>289</v>
      </c>
      <c r="C336" s="12" t="s">
        <v>432</v>
      </c>
      <c r="D336" s="13"/>
      <c r="E336" s="43" t="str">
        <f>HYPERLINK("https://www.google.ru/search?q=18881-0293&amp;newwindow=1&amp;tbm=isch","Еще фото")</f>
        <v>Еще фото</v>
      </c>
      <c r="F336" s="14"/>
      <c r="G336" s="11" t="s">
        <v>237</v>
      </c>
      <c r="H336" s="11" t="s">
        <v>27</v>
      </c>
      <c r="I336" s="15" t="s">
        <v>237</v>
      </c>
      <c r="J336" s="15" t="s">
        <v>28</v>
      </c>
      <c r="K336" s="16" t="s">
        <v>29</v>
      </c>
      <c r="L336" s="15" t="s">
        <v>258</v>
      </c>
      <c r="M336" s="15"/>
      <c r="N336" s="15" t="s">
        <v>130</v>
      </c>
      <c r="O336" s="15"/>
      <c r="P336" s="16" t="s">
        <v>433</v>
      </c>
      <c r="Q336" s="17">
        <v>13699</v>
      </c>
      <c r="R336" s="18">
        <v>52.86</v>
      </c>
      <c r="S336" s="19">
        <v>7426.4354999999996</v>
      </c>
      <c r="T336" s="20" t="s">
        <v>75</v>
      </c>
      <c r="U336" s="21" t="s">
        <v>43</v>
      </c>
      <c r="V336" s="25" t="s">
        <v>44</v>
      </c>
      <c r="W336" s="22">
        <v>1</v>
      </c>
      <c r="X336" s="23"/>
    </row>
    <row r="337" spans="1:24" s="1" customFormat="1" ht="108" customHeight="1" x14ac:dyDescent="0.3">
      <c r="A337" s="11" t="s">
        <v>23</v>
      </c>
      <c r="B337" s="11" t="s">
        <v>434</v>
      </c>
      <c r="C337" s="12" t="s">
        <v>435</v>
      </c>
      <c r="D337" s="13"/>
      <c r="E337" s="43" t="str">
        <f>HYPERLINK("https://www.google.ru/search?q=19568I-0007&amp;newwindow=1&amp;tbm=isch","Еще фото")</f>
        <v>Еще фото</v>
      </c>
      <c r="F337" s="14"/>
      <c r="G337" s="11" t="s">
        <v>237</v>
      </c>
      <c r="H337" s="11" t="s">
        <v>27</v>
      </c>
      <c r="I337" s="15" t="s">
        <v>237</v>
      </c>
      <c r="J337" s="15" t="s">
        <v>37</v>
      </c>
      <c r="K337" s="16" t="s">
        <v>29</v>
      </c>
      <c r="L337" s="15" t="s">
        <v>436</v>
      </c>
      <c r="M337" s="15"/>
      <c r="N337" s="15" t="s">
        <v>249</v>
      </c>
      <c r="O337" s="15"/>
      <c r="P337" s="16" t="s">
        <v>262</v>
      </c>
      <c r="Q337" s="17">
        <v>13699</v>
      </c>
      <c r="R337" s="18">
        <v>52.86</v>
      </c>
      <c r="S337" s="19">
        <v>7426.4354999999996</v>
      </c>
      <c r="T337" s="20" t="s">
        <v>75</v>
      </c>
      <c r="U337" s="21" t="s">
        <v>42</v>
      </c>
      <c r="V337" s="22">
        <v>40</v>
      </c>
      <c r="W337" s="22">
        <v>2</v>
      </c>
      <c r="X337" s="23"/>
    </row>
    <row r="338" spans="1:24" s="1" customFormat="1" ht="108" customHeight="1" x14ac:dyDescent="0.3">
      <c r="A338" s="11" t="s">
        <v>23</v>
      </c>
      <c r="B338" s="11" t="s">
        <v>437</v>
      </c>
      <c r="C338" s="12" t="s">
        <v>438</v>
      </c>
      <c r="D338" s="13"/>
      <c r="E338" s="43" t="str">
        <f>HYPERLINK("https://www.google.ru/search?q=04511-5722&amp;newwindow=1&amp;tbm=isch","Еще фото")</f>
        <v>Еще фото</v>
      </c>
      <c r="F338" s="14"/>
      <c r="G338" s="11" t="s">
        <v>237</v>
      </c>
      <c r="H338" s="11" t="s">
        <v>27</v>
      </c>
      <c r="I338" s="15" t="s">
        <v>237</v>
      </c>
      <c r="J338" s="15" t="s">
        <v>37</v>
      </c>
      <c r="K338" s="16" t="s">
        <v>57</v>
      </c>
      <c r="L338" s="15" t="s">
        <v>439</v>
      </c>
      <c r="M338" s="15"/>
      <c r="N338" s="15" t="s">
        <v>156</v>
      </c>
      <c r="O338" s="15"/>
      <c r="P338" s="16" t="s">
        <v>254</v>
      </c>
      <c r="Q338" s="17">
        <v>15799</v>
      </c>
      <c r="R338" s="18">
        <v>52.86</v>
      </c>
      <c r="S338" s="19">
        <v>8564.9354999999996</v>
      </c>
      <c r="T338" s="20" t="s">
        <v>75</v>
      </c>
      <c r="U338" s="21" t="s">
        <v>53</v>
      </c>
      <c r="V338" s="22">
        <v>46</v>
      </c>
      <c r="W338" s="22">
        <v>3</v>
      </c>
      <c r="X338" s="23"/>
    </row>
    <row r="339" spans="1:24" s="1" customFormat="1" ht="108" customHeight="1" x14ac:dyDescent="0.3">
      <c r="A339" s="11" t="s">
        <v>23</v>
      </c>
      <c r="B339" s="11" t="s">
        <v>440</v>
      </c>
      <c r="C339" s="12" t="s">
        <v>441</v>
      </c>
      <c r="D339" s="13"/>
      <c r="E339" s="43" t="str">
        <f>HYPERLINK("https://www.google.ru/search?q=00501-3384&amp;newwindow=1&amp;tbm=isch","Еще фото")</f>
        <v>Еще фото</v>
      </c>
      <c r="F339" s="14"/>
      <c r="G339" s="11" t="s">
        <v>237</v>
      </c>
      <c r="H339" s="11" t="s">
        <v>27</v>
      </c>
      <c r="I339" s="15" t="s">
        <v>237</v>
      </c>
      <c r="J339" s="15" t="s">
        <v>37</v>
      </c>
      <c r="K339" s="16" t="s">
        <v>57</v>
      </c>
      <c r="L339" s="15" t="s">
        <v>442</v>
      </c>
      <c r="M339" s="15"/>
      <c r="N339" s="15" t="s">
        <v>156</v>
      </c>
      <c r="O339" s="15"/>
      <c r="P339" s="16" t="s">
        <v>254</v>
      </c>
      <c r="Q339" s="17">
        <v>19999</v>
      </c>
      <c r="R339" s="18">
        <v>52.76</v>
      </c>
      <c r="S339" s="19">
        <v>10864.9355</v>
      </c>
      <c r="T339" s="20" t="s">
        <v>75</v>
      </c>
      <c r="U339" s="21" t="s">
        <v>173</v>
      </c>
      <c r="V339" s="25" t="s">
        <v>63</v>
      </c>
      <c r="W339" s="22">
        <v>1</v>
      </c>
      <c r="X339" s="23"/>
    </row>
    <row r="340" spans="1:24" s="1" customFormat="1" ht="35" customHeight="1" x14ac:dyDescent="0.3">
      <c r="A340" s="11" t="s">
        <v>23</v>
      </c>
      <c r="B340" s="11" t="s">
        <v>443</v>
      </c>
      <c r="C340" s="12" t="s">
        <v>444</v>
      </c>
      <c r="D340" s="57"/>
      <c r="E340" s="43" t="str">
        <f>HYPERLINK("https://www.google.ru/search?q=00501-3401&amp;newwindow=1&amp;tbm=isch","Еще фото")</f>
        <v>Еще фото</v>
      </c>
      <c r="F340" s="14"/>
      <c r="G340" s="11" t="s">
        <v>237</v>
      </c>
      <c r="H340" s="11" t="s">
        <v>27</v>
      </c>
      <c r="I340" s="15" t="s">
        <v>237</v>
      </c>
      <c r="J340" s="15" t="s">
        <v>37</v>
      </c>
      <c r="K340" s="16" t="s">
        <v>57</v>
      </c>
      <c r="L340" s="60" t="s">
        <v>445</v>
      </c>
      <c r="M340" s="15"/>
      <c r="N340" s="15" t="s">
        <v>83</v>
      </c>
      <c r="O340" s="15"/>
      <c r="P340" s="16" t="s">
        <v>32</v>
      </c>
      <c r="Q340" s="17">
        <v>15799</v>
      </c>
      <c r="R340" s="18">
        <v>52.54</v>
      </c>
      <c r="S340" s="19">
        <v>8622.4354999999996</v>
      </c>
      <c r="T340" s="20" t="s">
        <v>75</v>
      </c>
      <c r="U340" s="21" t="s">
        <v>53</v>
      </c>
      <c r="V340" s="22">
        <v>46</v>
      </c>
      <c r="W340" s="22">
        <v>3</v>
      </c>
      <c r="X340" s="23"/>
    </row>
    <row r="341" spans="1:24" s="1" customFormat="1" ht="35" customHeight="1" x14ac:dyDescent="0.3">
      <c r="A341" s="24" t="s">
        <v>23</v>
      </c>
      <c r="B341" s="24" t="s">
        <v>443</v>
      </c>
      <c r="C341" s="12" t="s">
        <v>444</v>
      </c>
      <c r="D341" s="58"/>
      <c r="E341" s="43" t="str">
        <f>HYPERLINK("https://www.google.ru/search?q=00501-3401&amp;newwindow=1&amp;tbm=isch","Еще фото")</f>
        <v>Еще фото</v>
      </c>
      <c r="F341" s="14"/>
      <c r="G341" s="24" t="s">
        <v>237</v>
      </c>
      <c r="H341" s="24" t="s">
        <v>27</v>
      </c>
      <c r="I341" s="24" t="s">
        <v>237</v>
      </c>
      <c r="J341" s="15" t="s">
        <v>37</v>
      </c>
      <c r="K341" s="16" t="s">
        <v>57</v>
      </c>
      <c r="L341" s="61"/>
      <c r="M341" s="15"/>
      <c r="N341" s="15" t="s">
        <v>83</v>
      </c>
      <c r="O341" s="15"/>
      <c r="P341" s="16" t="s">
        <v>32</v>
      </c>
      <c r="Q341" s="17">
        <v>15799</v>
      </c>
      <c r="R341" s="18">
        <v>52.54</v>
      </c>
      <c r="S341" s="19">
        <v>8622.4354999999996</v>
      </c>
      <c r="T341" s="20" t="s">
        <v>75</v>
      </c>
      <c r="U341" s="21" t="s">
        <v>109</v>
      </c>
      <c r="V341" s="25" t="s">
        <v>65</v>
      </c>
      <c r="W341" s="22">
        <v>1</v>
      </c>
      <c r="X341" s="23"/>
    </row>
    <row r="342" spans="1:24" s="1" customFormat="1" ht="37.049999999999997" customHeight="1" x14ac:dyDescent="0.3">
      <c r="A342" s="24" t="s">
        <v>23</v>
      </c>
      <c r="B342" s="24" t="s">
        <v>443</v>
      </c>
      <c r="C342" s="12" t="s">
        <v>444</v>
      </c>
      <c r="D342" s="59"/>
      <c r="E342" s="43" t="str">
        <f>HYPERLINK("https://www.google.ru/search?q=00501-3401&amp;newwindow=1&amp;tbm=isch","Еще фото")</f>
        <v>Еще фото</v>
      </c>
      <c r="F342" s="14"/>
      <c r="G342" s="24" t="s">
        <v>237</v>
      </c>
      <c r="H342" s="24" t="s">
        <v>27</v>
      </c>
      <c r="I342" s="24" t="s">
        <v>237</v>
      </c>
      <c r="J342" s="15" t="s">
        <v>37</v>
      </c>
      <c r="K342" s="16" t="s">
        <v>57</v>
      </c>
      <c r="L342" s="62"/>
      <c r="M342" s="15"/>
      <c r="N342" s="15" t="s">
        <v>83</v>
      </c>
      <c r="O342" s="15"/>
      <c r="P342" s="16" t="s">
        <v>32</v>
      </c>
      <c r="Q342" s="17">
        <v>15799</v>
      </c>
      <c r="R342" s="18">
        <v>52.54</v>
      </c>
      <c r="S342" s="19">
        <v>8622.4354999999996</v>
      </c>
      <c r="T342" s="20" t="s">
        <v>75</v>
      </c>
      <c r="U342" s="21" t="s">
        <v>89</v>
      </c>
      <c r="V342" s="22">
        <v>50</v>
      </c>
      <c r="W342" s="22">
        <v>1</v>
      </c>
      <c r="X342" s="23"/>
    </row>
    <row r="343" spans="1:24" s="1" customFormat="1" ht="17" customHeight="1" x14ac:dyDescent="0.3">
      <c r="A343" s="11" t="s">
        <v>23</v>
      </c>
      <c r="B343" s="11" t="s">
        <v>446</v>
      </c>
      <c r="C343" s="12" t="s">
        <v>447</v>
      </c>
      <c r="D343" s="57"/>
      <c r="E343" s="43" t="str">
        <f t="shared" ref="E343:E348" si="18">HYPERLINK("https://www.google.ru/search?q=36200-0225&amp;newwindow=1&amp;tbm=isch","Еще фото")</f>
        <v>Еще фото</v>
      </c>
      <c r="F343" s="14"/>
      <c r="G343" s="11" t="s">
        <v>237</v>
      </c>
      <c r="H343" s="11" t="s">
        <v>27</v>
      </c>
      <c r="I343" s="15" t="s">
        <v>237</v>
      </c>
      <c r="J343" s="15" t="s">
        <v>28</v>
      </c>
      <c r="K343" s="16" t="s">
        <v>29</v>
      </c>
      <c r="L343" s="60" t="s">
        <v>448</v>
      </c>
      <c r="M343" s="15" t="s">
        <v>72</v>
      </c>
      <c r="N343" s="15" t="s">
        <v>130</v>
      </c>
      <c r="O343" s="15" t="s">
        <v>121</v>
      </c>
      <c r="P343" s="16" t="s">
        <v>254</v>
      </c>
      <c r="Q343" s="17">
        <v>13899</v>
      </c>
      <c r="R343" s="18">
        <v>52.53</v>
      </c>
      <c r="S343" s="19">
        <v>7587.4354999999996</v>
      </c>
      <c r="T343" s="20" t="s">
        <v>75</v>
      </c>
      <c r="U343" s="21" t="s">
        <v>449</v>
      </c>
      <c r="V343" s="22">
        <v>44</v>
      </c>
      <c r="W343" s="22">
        <v>1</v>
      </c>
      <c r="X343" s="23"/>
    </row>
    <row r="344" spans="1:24" s="1" customFormat="1" ht="17" customHeight="1" x14ac:dyDescent="0.3">
      <c r="A344" s="24" t="s">
        <v>23</v>
      </c>
      <c r="B344" s="24" t="s">
        <v>446</v>
      </c>
      <c r="C344" s="12" t="s">
        <v>447</v>
      </c>
      <c r="D344" s="58"/>
      <c r="E344" s="43" t="str">
        <f t="shared" si="18"/>
        <v>Еще фото</v>
      </c>
      <c r="F344" s="14"/>
      <c r="G344" s="24" t="s">
        <v>237</v>
      </c>
      <c r="H344" s="24" t="s">
        <v>27</v>
      </c>
      <c r="I344" s="24" t="s">
        <v>237</v>
      </c>
      <c r="J344" s="15" t="s">
        <v>28</v>
      </c>
      <c r="K344" s="16" t="s">
        <v>29</v>
      </c>
      <c r="L344" s="61"/>
      <c r="M344" s="15" t="s">
        <v>72</v>
      </c>
      <c r="N344" s="15" t="s">
        <v>130</v>
      </c>
      <c r="O344" s="15" t="s">
        <v>121</v>
      </c>
      <c r="P344" s="16" t="s">
        <v>254</v>
      </c>
      <c r="Q344" s="17">
        <v>13899</v>
      </c>
      <c r="R344" s="18">
        <v>52.53</v>
      </c>
      <c r="S344" s="19">
        <v>7587.4354999999996</v>
      </c>
      <c r="T344" s="20" t="s">
        <v>75</v>
      </c>
      <c r="U344" s="21" t="s">
        <v>362</v>
      </c>
      <c r="V344" s="22">
        <v>44</v>
      </c>
      <c r="W344" s="22">
        <v>6</v>
      </c>
      <c r="X344" s="23"/>
    </row>
    <row r="345" spans="1:24" s="1" customFormat="1" ht="17" customHeight="1" x14ac:dyDescent="0.3">
      <c r="A345" s="24" t="s">
        <v>23</v>
      </c>
      <c r="B345" s="24" t="s">
        <v>446</v>
      </c>
      <c r="C345" s="12" t="s">
        <v>447</v>
      </c>
      <c r="D345" s="58"/>
      <c r="E345" s="43" t="str">
        <f t="shared" si="18"/>
        <v>Еще фото</v>
      </c>
      <c r="F345" s="14"/>
      <c r="G345" s="24" t="s">
        <v>237</v>
      </c>
      <c r="H345" s="24" t="s">
        <v>27</v>
      </c>
      <c r="I345" s="24" t="s">
        <v>237</v>
      </c>
      <c r="J345" s="15" t="s">
        <v>28</v>
      </c>
      <c r="K345" s="16" t="s">
        <v>29</v>
      </c>
      <c r="L345" s="61"/>
      <c r="M345" s="15" t="s">
        <v>72</v>
      </c>
      <c r="N345" s="15" t="s">
        <v>130</v>
      </c>
      <c r="O345" s="15" t="s">
        <v>121</v>
      </c>
      <c r="P345" s="16" t="s">
        <v>254</v>
      </c>
      <c r="Q345" s="17">
        <v>13899</v>
      </c>
      <c r="R345" s="18">
        <v>52.53</v>
      </c>
      <c r="S345" s="19">
        <v>7587.4354999999996</v>
      </c>
      <c r="T345" s="20" t="s">
        <v>75</v>
      </c>
      <c r="U345" s="21" t="s">
        <v>50</v>
      </c>
      <c r="V345" s="22">
        <v>44</v>
      </c>
      <c r="W345" s="22">
        <v>9</v>
      </c>
      <c r="X345" s="23"/>
    </row>
    <row r="346" spans="1:24" s="1" customFormat="1" ht="17" customHeight="1" x14ac:dyDescent="0.3">
      <c r="A346" s="24" t="s">
        <v>23</v>
      </c>
      <c r="B346" s="24" t="s">
        <v>446</v>
      </c>
      <c r="C346" s="12" t="s">
        <v>447</v>
      </c>
      <c r="D346" s="58"/>
      <c r="E346" s="43" t="str">
        <f t="shared" si="18"/>
        <v>Еще фото</v>
      </c>
      <c r="F346" s="14"/>
      <c r="G346" s="24" t="s">
        <v>237</v>
      </c>
      <c r="H346" s="24" t="s">
        <v>27</v>
      </c>
      <c r="I346" s="24" t="s">
        <v>237</v>
      </c>
      <c r="J346" s="15" t="s">
        <v>28</v>
      </c>
      <c r="K346" s="16" t="s">
        <v>29</v>
      </c>
      <c r="L346" s="61"/>
      <c r="M346" s="15" t="s">
        <v>72</v>
      </c>
      <c r="N346" s="15" t="s">
        <v>130</v>
      </c>
      <c r="O346" s="15" t="s">
        <v>121</v>
      </c>
      <c r="P346" s="16" t="s">
        <v>254</v>
      </c>
      <c r="Q346" s="17">
        <v>13899</v>
      </c>
      <c r="R346" s="18">
        <v>52.53</v>
      </c>
      <c r="S346" s="19">
        <v>7587.4354999999996</v>
      </c>
      <c r="T346" s="20" t="s">
        <v>75</v>
      </c>
      <c r="U346" s="21" t="s">
        <v>378</v>
      </c>
      <c r="V346" s="22">
        <v>46</v>
      </c>
      <c r="W346" s="22">
        <v>4</v>
      </c>
      <c r="X346" s="23"/>
    </row>
    <row r="347" spans="1:24" s="1" customFormat="1" ht="17" customHeight="1" x14ac:dyDescent="0.3">
      <c r="A347" s="24" t="s">
        <v>23</v>
      </c>
      <c r="B347" s="24" t="s">
        <v>446</v>
      </c>
      <c r="C347" s="12" t="s">
        <v>447</v>
      </c>
      <c r="D347" s="58"/>
      <c r="E347" s="43" t="str">
        <f t="shared" si="18"/>
        <v>Еще фото</v>
      </c>
      <c r="F347" s="14"/>
      <c r="G347" s="24" t="s">
        <v>237</v>
      </c>
      <c r="H347" s="24" t="s">
        <v>27</v>
      </c>
      <c r="I347" s="24" t="s">
        <v>237</v>
      </c>
      <c r="J347" s="15" t="s">
        <v>28</v>
      </c>
      <c r="K347" s="16" t="s">
        <v>29</v>
      </c>
      <c r="L347" s="61"/>
      <c r="M347" s="15" t="s">
        <v>72</v>
      </c>
      <c r="N347" s="15" t="s">
        <v>130</v>
      </c>
      <c r="O347" s="15" t="s">
        <v>121</v>
      </c>
      <c r="P347" s="16" t="s">
        <v>254</v>
      </c>
      <c r="Q347" s="17">
        <v>13899</v>
      </c>
      <c r="R347" s="18">
        <v>52.53</v>
      </c>
      <c r="S347" s="19">
        <v>7587.4354999999996</v>
      </c>
      <c r="T347" s="20" t="s">
        <v>75</v>
      </c>
      <c r="U347" s="21" t="s">
        <v>450</v>
      </c>
      <c r="V347" s="22">
        <v>48</v>
      </c>
      <c r="W347" s="22">
        <v>2</v>
      </c>
      <c r="X347" s="23"/>
    </row>
    <row r="348" spans="1:24" s="1" customFormat="1" ht="22.05" customHeight="1" x14ac:dyDescent="0.3">
      <c r="A348" s="24" t="s">
        <v>23</v>
      </c>
      <c r="B348" s="24" t="s">
        <v>446</v>
      </c>
      <c r="C348" s="12" t="s">
        <v>447</v>
      </c>
      <c r="D348" s="59"/>
      <c r="E348" s="43" t="str">
        <f t="shared" si="18"/>
        <v>Еще фото</v>
      </c>
      <c r="F348" s="14"/>
      <c r="G348" s="24" t="s">
        <v>237</v>
      </c>
      <c r="H348" s="24" t="s">
        <v>27</v>
      </c>
      <c r="I348" s="24" t="s">
        <v>237</v>
      </c>
      <c r="J348" s="15" t="s">
        <v>28</v>
      </c>
      <c r="K348" s="16" t="s">
        <v>29</v>
      </c>
      <c r="L348" s="62"/>
      <c r="M348" s="15" t="s">
        <v>72</v>
      </c>
      <c r="N348" s="15" t="s">
        <v>130</v>
      </c>
      <c r="O348" s="15" t="s">
        <v>121</v>
      </c>
      <c r="P348" s="16" t="s">
        <v>254</v>
      </c>
      <c r="Q348" s="17">
        <v>13899</v>
      </c>
      <c r="R348" s="18">
        <v>52.53</v>
      </c>
      <c r="S348" s="19">
        <v>7587.4354999999996</v>
      </c>
      <c r="T348" s="20" t="s">
        <v>75</v>
      </c>
      <c r="U348" s="21" t="s">
        <v>95</v>
      </c>
      <c r="V348" s="22">
        <v>50</v>
      </c>
      <c r="W348" s="22">
        <v>1</v>
      </c>
      <c r="X348" s="23"/>
    </row>
    <row r="349" spans="1:24" s="1" customFormat="1" ht="52.05" customHeight="1" x14ac:dyDescent="0.3">
      <c r="A349" s="11" t="s">
        <v>23</v>
      </c>
      <c r="B349" s="11" t="s">
        <v>451</v>
      </c>
      <c r="C349" s="12" t="s">
        <v>452</v>
      </c>
      <c r="D349" s="63"/>
      <c r="E349" s="43" t="str">
        <f>HYPERLINK("https://www.google.ru/search?q=19627-0228&amp;newwindow=1&amp;tbm=isch","Еще фото")</f>
        <v>Еще фото</v>
      </c>
      <c r="F349" s="14"/>
      <c r="G349" s="11" t="s">
        <v>237</v>
      </c>
      <c r="H349" s="11" t="s">
        <v>27</v>
      </c>
      <c r="I349" s="15" t="s">
        <v>237</v>
      </c>
      <c r="J349" s="15" t="s">
        <v>37</v>
      </c>
      <c r="K349" s="16" t="s">
        <v>29</v>
      </c>
      <c r="L349" s="60" t="s">
        <v>453</v>
      </c>
      <c r="M349" s="15"/>
      <c r="N349" s="15" t="s">
        <v>130</v>
      </c>
      <c r="O349" s="15"/>
      <c r="P349" s="16" t="s">
        <v>242</v>
      </c>
      <c r="Q349" s="17">
        <v>12599</v>
      </c>
      <c r="R349" s="18">
        <v>52.39</v>
      </c>
      <c r="S349" s="19">
        <v>6897.4354999999996</v>
      </c>
      <c r="T349" s="20" t="s">
        <v>75</v>
      </c>
      <c r="U349" s="21" t="s">
        <v>43</v>
      </c>
      <c r="V349" s="25" t="s">
        <v>44</v>
      </c>
      <c r="W349" s="22">
        <v>1</v>
      </c>
      <c r="X349" s="23"/>
    </row>
    <row r="350" spans="1:24" s="1" customFormat="1" ht="61.05" customHeight="1" x14ac:dyDescent="0.3">
      <c r="A350" s="24" t="s">
        <v>23</v>
      </c>
      <c r="B350" s="24" t="s">
        <v>451</v>
      </c>
      <c r="C350" s="12" t="s">
        <v>452</v>
      </c>
      <c r="D350" s="64"/>
      <c r="E350" s="43" t="str">
        <f>HYPERLINK("https://www.google.ru/search?q=19627-0228&amp;newwindow=1&amp;tbm=isch","Еще фото")</f>
        <v>Еще фото</v>
      </c>
      <c r="F350" s="14"/>
      <c r="G350" s="24" t="s">
        <v>237</v>
      </c>
      <c r="H350" s="24" t="s">
        <v>27</v>
      </c>
      <c r="I350" s="24" t="s">
        <v>237</v>
      </c>
      <c r="J350" s="15" t="s">
        <v>37</v>
      </c>
      <c r="K350" s="16" t="s">
        <v>29</v>
      </c>
      <c r="L350" s="62"/>
      <c r="M350" s="15"/>
      <c r="N350" s="15" t="s">
        <v>130</v>
      </c>
      <c r="O350" s="15"/>
      <c r="P350" s="16" t="s">
        <v>242</v>
      </c>
      <c r="Q350" s="17">
        <v>12599</v>
      </c>
      <c r="R350" s="18">
        <v>52.39</v>
      </c>
      <c r="S350" s="19">
        <v>6897.4354999999996</v>
      </c>
      <c r="T350" s="20" t="s">
        <v>75</v>
      </c>
      <c r="U350" s="21" t="s">
        <v>46</v>
      </c>
      <c r="V350" s="22">
        <v>42</v>
      </c>
      <c r="W350" s="22">
        <v>2</v>
      </c>
      <c r="X350" s="23"/>
    </row>
    <row r="351" spans="1:24" s="1" customFormat="1" ht="26" customHeight="1" x14ac:dyDescent="0.3">
      <c r="A351" s="11" t="s">
        <v>23</v>
      </c>
      <c r="B351" s="11" t="s">
        <v>454</v>
      </c>
      <c r="C351" s="12" t="s">
        <v>455</v>
      </c>
      <c r="D351" s="57"/>
      <c r="E351" s="43" t="str">
        <f>HYPERLINK("https://www.google.ru/search?q=22791-0193&amp;newwindow=1&amp;tbm=isch","Еще фото")</f>
        <v>Еще фото</v>
      </c>
      <c r="F351" s="14"/>
      <c r="G351" s="11" t="s">
        <v>237</v>
      </c>
      <c r="H351" s="11" t="s">
        <v>27</v>
      </c>
      <c r="I351" s="15" t="s">
        <v>237</v>
      </c>
      <c r="J351" s="15" t="s">
        <v>28</v>
      </c>
      <c r="K351" s="16" t="s">
        <v>29</v>
      </c>
      <c r="L351" s="60" t="s">
        <v>456</v>
      </c>
      <c r="M351" s="15" t="s">
        <v>72</v>
      </c>
      <c r="N351" s="15" t="s">
        <v>130</v>
      </c>
      <c r="O351" s="15" t="s">
        <v>121</v>
      </c>
      <c r="P351" s="16" t="s">
        <v>341</v>
      </c>
      <c r="Q351" s="17">
        <v>12599</v>
      </c>
      <c r="R351" s="18">
        <v>52.39</v>
      </c>
      <c r="S351" s="19">
        <v>6897.4354999999996</v>
      </c>
      <c r="T351" s="20" t="s">
        <v>75</v>
      </c>
      <c r="U351" s="21" t="s">
        <v>299</v>
      </c>
      <c r="V351" s="22">
        <v>38</v>
      </c>
      <c r="W351" s="22">
        <v>2</v>
      </c>
      <c r="X351" s="23"/>
    </row>
    <row r="352" spans="1:24" s="1" customFormat="1" ht="26" customHeight="1" x14ac:dyDescent="0.3">
      <c r="A352" s="24" t="s">
        <v>23</v>
      </c>
      <c r="B352" s="24" t="s">
        <v>454</v>
      </c>
      <c r="C352" s="12" t="s">
        <v>455</v>
      </c>
      <c r="D352" s="58"/>
      <c r="E352" s="43" t="str">
        <f>HYPERLINK("https://www.google.ru/search?q=22791-0193&amp;newwindow=1&amp;tbm=isch","Еще фото")</f>
        <v>Еще фото</v>
      </c>
      <c r="F352" s="14"/>
      <c r="G352" s="24" t="s">
        <v>237</v>
      </c>
      <c r="H352" s="24" t="s">
        <v>27</v>
      </c>
      <c r="I352" s="24" t="s">
        <v>237</v>
      </c>
      <c r="J352" s="15" t="s">
        <v>28</v>
      </c>
      <c r="K352" s="16" t="s">
        <v>29</v>
      </c>
      <c r="L352" s="61"/>
      <c r="M352" s="15" t="s">
        <v>72</v>
      </c>
      <c r="N352" s="15" t="s">
        <v>130</v>
      </c>
      <c r="O352" s="15" t="s">
        <v>121</v>
      </c>
      <c r="P352" s="16" t="s">
        <v>341</v>
      </c>
      <c r="Q352" s="17">
        <v>12599</v>
      </c>
      <c r="R352" s="18">
        <v>52.39</v>
      </c>
      <c r="S352" s="19">
        <v>6897.4354999999996</v>
      </c>
      <c r="T352" s="20" t="s">
        <v>75</v>
      </c>
      <c r="U352" s="21" t="s">
        <v>42</v>
      </c>
      <c r="V352" s="22">
        <v>40</v>
      </c>
      <c r="W352" s="22">
        <v>3</v>
      </c>
      <c r="X352" s="23"/>
    </row>
    <row r="353" spans="1:24" s="1" customFormat="1" ht="26" customHeight="1" x14ac:dyDescent="0.3">
      <c r="A353" s="24" t="s">
        <v>23</v>
      </c>
      <c r="B353" s="24" t="s">
        <v>454</v>
      </c>
      <c r="C353" s="12" t="s">
        <v>455</v>
      </c>
      <c r="D353" s="58"/>
      <c r="E353" s="43" t="str">
        <f>HYPERLINK("https://www.google.ru/search?q=22791-0193&amp;newwindow=1&amp;tbm=isch","Еще фото")</f>
        <v>Еще фото</v>
      </c>
      <c r="F353" s="14"/>
      <c r="G353" s="24" t="s">
        <v>237</v>
      </c>
      <c r="H353" s="24" t="s">
        <v>27</v>
      </c>
      <c r="I353" s="24" t="s">
        <v>237</v>
      </c>
      <c r="J353" s="15" t="s">
        <v>28</v>
      </c>
      <c r="K353" s="16" t="s">
        <v>29</v>
      </c>
      <c r="L353" s="61"/>
      <c r="M353" s="15" t="s">
        <v>72</v>
      </c>
      <c r="N353" s="15" t="s">
        <v>130</v>
      </c>
      <c r="O353" s="15" t="s">
        <v>121</v>
      </c>
      <c r="P353" s="16" t="s">
        <v>341</v>
      </c>
      <c r="Q353" s="17">
        <v>12599</v>
      </c>
      <c r="R353" s="18">
        <v>52.39</v>
      </c>
      <c r="S353" s="19">
        <v>6897.4354999999996</v>
      </c>
      <c r="T353" s="20" t="s">
        <v>75</v>
      </c>
      <c r="U353" s="21" t="s">
        <v>255</v>
      </c>
      <c r="V353" s="22">
        <v>40</v>
      </c>
      <c r="W353" s="22">
        <v>10</v>
      </c>
      <c r="X353" s="23"/>
    </row>
    <row r="354" spans="1:24" s="1" customFormat="1" ht="26" customHeight="1" x14ac:dyDescent="0.3">
      <c r="A354" s="24" t="s">
        <v>23</v>
      </c>
      <c r="B354" s="24" t="s">
        <v>454</v>
      </c>
      <c r="C354" s="12" t="s">
        <v>455</v>
      </c>
      <c r="D354" s="59"/>
      <c r="E354" s="43" t="str">
        <f>HYPERLINK("https://www.google.ru/search?q=22791-0193&amp;newwindow=1&amp;tbm=isch","Еще фото")</f>
        <v>Еще фото</v>
      </c>
      <c r="F354" s="14"/>
      <c r="G354" s="24" t="s">
        <v>237</v>
      </c>
      <c r="H354" s="24" t="s">
        <v>27</v>
      </c>
      <c r="I354" s="24" t="s">
        <v>237</v>
      </c>
      <c r="J354" s="15" t="s">
        <v>28</v>
      </c>
      <c r="K354" s="16" t="s">
        <v>29</v>
      </c>
      <c r="L354" s="62"/>
      <c r="M354" s="15" t="s">
        <v>72</v>
      </c>
      <c r="N354" s="15" t="s">
        <v>130</v>
      </c>
      <c r="O354" s="15" t="s">
        <v>121</v>
      </c>
      <c r="P354" s="16" t="s">
        <v>341</v>
      </c>
      <c r="Q354" s="17">
        <v>12599</v>
      </c>
      <c r="R354" s="18">
        <v>52.39</v>
      </c>
      <c r="S354" s="19">
        <v>6897.4354999999996</v>
      </c>
      <c r="T354" s="20" t="s">
        <v>75</v>
      </c>
      <c r="U354" s="21" t="s">
        <v>45</v>
      </c>
      <c r="V354" s="25" t="s">
        <v>44</v>
      </c>
      <c r="W354" s="22">
        <v>1</v>
      </c>
      <c r="X354" s="23"/>
    </row>
    <row r="355" spans="1:24" s="1" customFormat="1" ht="14" customHeight="1" x14ac:dyDescent="0.3">
      <c r="A355" s="11" t="s">
        <v>23</v>
      </c>
      <c r="B355" s="11" t="s">
        <v>457</v>
      </c>
      <c r="C355" s="12" t="s">
        <v>458</v>
      </c>
      <c r="D355" s="57"/>
      <c r="E355" s="43" t="str">
        <f t="shared" ref="E355:E361" si="19">HYPERLINK("https://www.google.ru/search?q=52797-0399&amp;newwindow=1&amp;tbm=isch","Еще фото")</f>
        <v>Еще фото</v>
      </c>
      <c r="F355" s="14"/>
      <c r="G355" s="11" t="s">
        <v>237</v>
      </c>
      <c r="H355" s="11" t="s">
        <v>27</v>
      </c>
      <c r="I355" s="15" t="s">
        <v>237</v>
      </c>
      <c r="J355" s="15" t="s">
        <v>37</v>
      </c>
      <c r="K355" s="16" t="s">
        <v>29</v>
      </c>
      <c r="L355" s="60" t="s">
        <v>459</v>
      </c>
      <c r="M355" s="15"/>
      <c r="N355" s="15" t="s">
        <v>138</v>
      </c>
      <c r="O355" s="15"/>
      <c r="P355" s="16" t="s">
        <v>460</v>
      </c>
      <c r="Q355" s="17">
        <v>12599</v>
      </c>
      <c r="R355" s="18">
        <v>52.39</v>
      </c>
      <c r="S355" s="19">
        <v>6897.4354999999996</v>
      </c>
      <c r="T355" s="20" t="s">
        <v>75</v>
      </c>
      <c r="U355" s="21" t="s">
        <v>158</v>
      </c>
      <c r="V355" s="22">
        <v>42</v>
      </c>
      <c r="W355" s="22">
        <v>4</v>
      </c>
      <c r="X355" s="23"/>
    </row>
    <row r="356" spans="1:24" s="1" customFormat="1" ht="14" customHeight="1" x14ac:dyDescent="0.3">
      <c r="A356" s="24" t="s">
        <v>23</v>
      </c>
      <c r="B356" s="24" t="s">
        <v>457</v>
      </c>
      <c r="C356" s="12" t="s">
        <v>458</v>
      </c>
      <c r="D356" s="58"/>
      <c r="E356" s="43" t="str">
        <f t="shared" si="19"/>
        <v>Еще фото</v>
      </c>
      <c r="F356" s="14"/>
      <c r="G356" s="24" t="s">
        <v>237</v>
      </c>
      <c r="H356" s="24" t="s">
        <v>27</v>
      </c>
      <c r="I356" s="24" t="s">
        <v>237</v>
      </c>
      <c r="J356" s="15" t="s">
        <v>37</v>
      </c>
      <c r="K356" s="16" t="s">
        <v>29</v>
      </c>
      <c r="L356" s="61"/>
      <c r="M356" s="15"/>
      <c r="N356" s="15" t="s">
        <v>138</v>
      </c>
      <c r="O356" s="15"/>
      <c r="P356" s="16" t="s">
        <v>460</v>
      </c>
      <c r="Q356" s="17">
        <v>12599</v>
      </c>
      <c r="R356" s="18">
        <v>52.39</v>
      </c>
      <c r="S356" s="19">
        <v>6897.4354999999996</v>
      </c>
      <c r="T356" s="20" t="s">
        <v>75</v>
      </c>
      <c r="U356" s="21" t="s">
        <v>50</v>
      </c>
      <c r="V356" s="22">
        <v>44</v>
      </c>
      <c r="W356" s="22">
        <v>1</v>
      </c>
      <c r="X356" s="23"/>
    </row>
    <row r="357" spans="1:24" s="1" customFormat="1" ht="14" customHeight="1" x14ac:dyDescent="0.3">
      <c r="A357" s="24" t="s">
        <v>23</v>
      </c>
      <c r="B357" s="24" t="s">
        <v>457</v>
      </c>
      <c r="C357" s="12" t="s">
        <v>458</v>
      </c>
      <c r="D357" s="58"/>
      <c r="E357" s="43" t="str">
        <f t="shared" si="19"/>
        <v>Еще фото</v>
      </c>
      <c r="F357" s="14"/>
      <c r="G357" s="24" t="s">
        <v>237</v>
      </c>
      <c r="H357" s="24" t="s">
        <v>27</v>
      </c>
      <c r="I357" s="24" t="s">
        <v>237</v>
      </c>
      <c r="J357" s="15" t="s">
        <v>37</v>
      </c>
      <c r="K357" s="16" t="s">
        <v>29</v>
      </c>
      <c r="L357" s="61"/>
      <c r="M357" s="15"/>
      <c r="N357" s="15" t="s">
        <v>138</v>
      </c>
      <c r="O357" s="15"/>
      <c r="P357" s="16" t="s">
        <v>460</v>
      </c>
      <c r="Q357" s="17">
        <v>12599</v>
      </c>
      <c r="R357" s="18">
        <v>52.39</v>
      </c>
      <c r="S357" s="19">
        <v>6897.4354999999996</v>
      </c>
      <c r="T357" s="20" t="s">
        <v>75</v>
      </c>
      <c r="U357" s="21" t="s">
        <v>51</v>
      </c>
      <c r="V357" s="22">
        <v>44</v>
      </c>
      <c r="W357" s="22">
        <v>1</v>
      </c>
      <c r="X357" s="23"/>
    </row>
    <row r="358" spans="1:24" s="1" customFormat="1" ht="14" customHeight="1" x14ac:dyDescent="0.3">
      <c r="A358" s="24" t="s">
        <v>23</v>
      </c>
      <c r="B358" s="24" t="s">
        <v>457</v>
      </c>
      <c r="C358" s="12" t="s">
        <v>458</v>
      </c>
      <c r="D358" s="58"/>
      <c r="E358" s="43" t="str">
        <f t="shared" si="19"/>
        <v>Еще фото</v>
      </c>
      <c r="F358" s="14"/>
      <c r="G358" s="24" t="s">
        <v>237</v>
      </c>
      <c r="H358" s="24" t="s">
        <v>27</v>
      </c>
      <c r="I358" s="24" t="s">
        <v>237</v>
      </c>
      <c r="J358" s="15" t="s">
        <v>37</v>
      </c>
      <c r="K358" s="16" t="s">
        <v>29</v>
      </c>
      <c r="L358" s="61"/>
      <c r="M358" s="15"/>
      <c r="N358" s="15" t="s">
        <v>138</v>
      </c>
      <c r="O358" s="15"/>
      <c r="P358" s="16" t="s">
        <v>460</v>
      </c>
      <c r="Q358" s="17">
        <v>12599</v>
      </c>
      <c r="R358" s="18">
        <v>52.39</v>
      </c>
      <c r="S358" s="19">
        <v>6897.4354999999996</v>
      </c>
      <c r="T358" s="20" t="s">
        <v>75</v>
      </c>
      <c r="U358" s="21" t="s">
        <v>230</v>
      </c>
      <c r="V358" s="22">
        <v>46</v>
      </c>
      <c r="W358" s="22">
        <v>4</v>
      </c>
      <c r="X358" s="23"/>
    </row>
    <row r="359" spans="1:24" s="1" customFormat="1" ht="14" customHeight="1" x14ac:dyDescent="0.3">
      <c r="A359" s="24" t="s">
        <v>23</v>
      </c>
      <c r="B359" s="24" t="s">
        <v>457</v>
      </c>
      <c r="C359" s="12" t="s">
        <v>458</v>
      </c>
      <c r="D359" s="58"/>
      <c r="E359" s="43" t="str">
        <f t="shared" si="19"/>
        <v>Еще фото</v>
      </c>
      <c r="F359" s="14"/>
      <c r="G359" s="24" t="s">
        <v>237</v>
      </c>
      <c r="H359" s="24" t="s">
        <v>27</v>
      </c>
      <c r="I359" s="24" t="s">
        <v>237</v>
      </c>
      <c r="J359" s="15" t="s">
        <v>37</v>
      </c>
      <c r="K359" s="16" t="s">
        <v>29</v>
      </c>
      <c r="L359" s="61"/>
      <c r="M359" s="15"/>
      <c r="N359" s="15" t="s">
        <v>138</v>
      </c>
      <c r="O359" s="15"/>
      <c r="P359" s="16" t="s">
        <v>460</v>
      </c>
      <c r="Q359" s="17">
        <v>12599</v>
      </c>
      <c r="R359" s="18">
        <v>52.39</v>
      </c>
      <c r="S359" s="19">
        <v>6897.4354999999996</v>
      </c>
      <c r="T359" s="20" t="s">
        <v>75</v>
      </c>
      <c r="U359" s="21" t="s">
        <v>173</v>
      </c>
      <c r="V359" s="22">
        <v>46</v>
      </c>
      <c r="W359" s="22">
        <v>1</v>
      </c>
      <c r="X359" s="23"/>
    </row>
    <row r="360" spans="1:24" s="1" customFormat="1" ht="14" customHeight="1" x14ac:dyDescent="0.3">
      <c r="A360" s="24" t="s">
        <v>23</v>
      </c>
      <c r="B360" s="24" t="s">
        <v>457</v>
      </c>
      <c r="C360" s="12" t="s">
        <v>458</v>
      </c>
      <c r="D360" s="58"/>
      <c r="E360" s="43" t="str">
        <f t="shared" si="19"/>
        <v>Еще фото</v>
      </c>
      <c r="F360" s="14"/>
      <c r="G360" s="24" t="s">
        <v>237</v>
      </c>
      <c r="H360" s="24" t="s">
        <v>27</v>
      </c>
      <c r="I360" s="24" t="s">
        <v>237</v>
      </c>
      <c r="J360" s="15" t="s">
        <v>37</v>
      </c>
      <c r="K360" s="16" t="s">
        <v>29</v>
      </c>
      <c r="L360" s="61"/>
      <c r="M360" s="15"/>
      <c r="N360" s="15" t="s">
        <v>138</v>
      </c>
      <c r="O360" s="15"/>
      <c r="P360" s="16" t="s">
        <v>460</v>
      </c>
      <c r="Q360" s="17">
        <v>12599</v>
      </c>
      <c r="R360" s="18">
        <v>52.39</v>
      </c>
      <c r="S360" s="19">
        <v>6897.4354999999996</v>
      </c>
      <c r="T360" s="20" t="s">
        <v>75</v>
      </c>
      <c r="U360" s="21" t="s">
        <v>52</v>
      </c>
      <c r="V360" s="22">
        <v>48</v>
      </c>
      <c r="W360" s="22">
        <v>1</v>
      </c>
      <c r="X360" s="23"/>
    </row>
    <row r="361" spans="1:24" s="1" customFormat="1" ht="17" customHeight="1" x14ac:dyDescent="0.3">
      <c r="A361" s="24" t="s">
        <v>23</v>
      </c>
      <c r="B361" s="24" t="s">
        <v>457</v>
      </c>
      <c r="C361" s="12" t="s">
        <v>458</v>
      </c>
      <c r="D361" s="59"/>
      <c r="E361" s="43" t="str">
        <f t="shared" si="19"/>
        <v>Еще фото</v>
      </c>
      <c r="F361" s="14"/>
      <c r="G361" s="24" t="s">
        <v>237</v>
      </c>
      <c r="H361" s="24" t="s">
        <v>27</v>
      </c>
      <c r="I361" s="24" t="s">
        <v>237</v>
      </c>
      <c r="J361" s="15" t="s">
        <v>37</v>
      </c>
      <c r="K361" s="16" t="s">
        <v>29</v>
      </c>
      <c r="L361" s="62"/>
      <c r="M361" s="15"/>
      <c r="N361" s="15" t="s">
        <v>138</v>
      </c>
      <c r="O361" s="15"/>
      <c r="P361" s="16" t="s">
        <v>460</v>
      </c>
      <c r="Q361" s="17">
        <v>12599</v>
      </c>
      <c r="R361" s="18">
        <v>52.39</v>
      </c>
      <c r="S361" s="19">
        <v>6897.4354999999996</v>
      </c>
      <c r="T361" s="20" t="s">
        <v>75</v>
      </c>
      <c r="U361" s="21" t="s">
        <v>53</v>
      </c>
      <c r="V361" s="22">
        <v>48</v>
      </c>
      <c r="W361" s="22">
        <v>3</v>
      </c>
      <c r="X361" s="23"/>
    </row>
    <row r="362" spans="1:24" s="1" customFormat="1" ht="108" customHeight="1" x14ac:dyDescent="0.3">
      <c r="A362" s="11" t="s">
        <v>23</v>
      </c>
      <c r="B362" s="11" t="s">
        <v>461</v>
      </c>
      <c r="C362" s="12" t="s">
        <v>462</v>
      </c>
      <c r="D362" s="13"/>
      <c r="E362" s="43" t="str">
        <f>HYPERLINK("https://www.google.ru/search?q=A2051-0002&amp;newwindow=1&amp;tbm=isch","Еще фото")</f>
        <v>Еще фото</v>
      </c>
      <c r="F362" s="14"/>
      <c r="G362" s="11" t="s">
        <v>237</v>
      </c>
      <c r="H362" s="11" t="s">
        <v>27</v>
      </c>
      <c r="I362" s="15" t="s">
        <v>237</v>
      </c>
      <c r="J362" s="15" t="s">
        <v>28</v>
      </c>
      <c r="K362" s="16" t="s">
        <v>57</v>
      </c>
      <c r="L362" s="15" t="s">
        <v>463</v>
      </c>
      <c r="M362" s="15"/>
      <c r="N362" s="15" t="s">
        <v>130</v>
      </c>
      <c r="O362" s="15"/>
      <c r="P362" s="16" t="s">
        <v>385</v>
      </c>
      <c r="Q362" s="17">
        <v>12599</v>
      </c>
      <c r="R362" s="18">
        <v>52.39</v>
      </c>
      <c r="S362" s="19">
        <v>6897.4354999999996</v>
      </c>
      <c r="T362" s="20" t="s">
        <v>75</v>
      </c>
      <c r="U362" s="21" t="s">
        <v>212</v>
      </c>
      <c r="V362" s="22">
        <v>44</v>
      </c>
      <c r="W362" s="22">
        <v>2</v>
      </c>
      <c r="X362" s="23"/>
    </row>
    <row r="363" spans="1:24" s="1" customFormat="1" ht="52.05" customHeight="1" x14ac:dyDescent="0.3">
      <c r="A363" s="11" t="s">
        <v>23</v>
      </c>
      <c r="B363" s="11" t="s">
        <v>464</v>
      </c>
      <c r="C363" s="12" t="s">
        <v>465</v>
      </c>
      <c r="D363" s="63"/>
      <c r="E363" s="43" t="str">
        <f>HYPERLINK("https://www.google.ru/search?q=A4677-0017&amp;newwindow=1&amp;tbm=isch","Еще фото")</f>
        <v>Еще фото</v>
      </c>
      <c r="F363" s="14"/>
      <c r="G363" s="11" t="s">
        <v>237</v>
      </c>
      <c r="H363" s="11" t="s">
        <v>27</v>
      </c>
      <c r="I363" s="15" t="s">
        <v>237</v>
      </c>
      <c r="J363" s="15" t="s">
        <v>37</v>
      </c>
      <c r="K363" s="16" t="s">
        <v>57</v>
      </c>
      <c r="L363" s="60" t="s">
        <v>466</v>
      </c>
      <c r="M363" s="15"/>
      <c r="N363" s="15" t="s">
        <v>138</v>
      </c>
      <c r="O363" s="15"/>
      <c r="P363" s="16" t="s">
        <v>32</v>
      </c>
      <c r="Q363" s="17">
        <v>14699</v>
      </c>
      <c r="R363" s="18">
        <v>52.39</v>
      </c>
      <c r="S363" s="19">
        <v>8047.4354999999996</v>
      </c>
      <c r="T363" s="20" t="s">
        <v>75</v>
      </c>
      <c r="U363" s="21" t="s">
        <v>53</v>
      </c>
      <c r="V363" s="22">
        <v>46</v>
      </c>
      <c r="W363" s="22">
        <v>2</v>
      </c>
      <c r="X363" s="23"/>
    </row>
    <row r="364" spans="1:24" s="1" customFormat="1" ht="61.05" customHeight="1" x14ac:dyDescent="0.3">
      <c r="A364" s="24" t="s">
        <v>23</v>
      </c>
      <c r="B364" s="24" t="s">
        <v>464</v>
      </c>
      <c r="C364" s="12" t="s">
        <v>465</v>
      </c>
      <c r="D364" s="64"/>
      <c r="E364" s="43" t="str">
        <f>HYPERLINK("https://www.google.ru/search?q=A4677-0017&amp;newwindow=1&amp;tbm=isch","Еще фото")</f>
        <v>Еще фото</v>
      </c>
      <c r="F364" s="14"/>
      <c r="G364" s="24" t="s">
        <v>237</v>
      </c>
      <c r="H364" s="24" t="s">
        <v>27</v>
      </c>
      <c r="I364" s="24" t="s">
        <v>237</v>
      </c>
      <c r="J364" s="15" t="s">
        <v>37</v>
      </c>
      <c r="K364" s="16" t="s">
        <v>57</v>
      </c>
      <c r="L364" s="62"/>
      <c r="M364" s="15"/>
      <c r="N364" s="15" t="s">
        <v>138</v>
      </c>
      <c r="O364" s="15"/>
      <c r="P364" s="16" t="s">
        <v>32</v>
      </c>
      <c r="Q364" s="17">
        <v>14699</v>
      </c>
      <c r="R364" s="18">
        <v>52.39</v>
      </c>
      <c r="S364" s="19">
        <v>8047.4354999999996</v>
      </c>
      <c r="T364" s="20" t="s">
        <v>75</v>
      </c>
      <c r="U364" s="21" t="s">
        <v>143</v>
      </c>
      <c r="V364" s="22">
        <v>46</v>
      </c>
      <c r="W364" s="22">
        <v>2</v>
      </c>
      <c r="X364" s="23"/>
    </row>
    <row r="365" spans="1:24" s="1" customFormat="1" ht="11" customHeight="1" x14ac:dyDescent="0.3">
      <c r="A365" s="11" t="s">
        <v>23</v>
      </c>
      <c r="B365" s="11" t="s">
        <v>467</v>
      </c>
      <c r="C365" s="12" t="s">
        <v>468</v>
      </c>
      <c r="D365" s="57"/>
      <c r="E365" s="43" t="str">
        <f t="shared" ref="E365:E380" si="20">HYPERLINK("https://www.google.ru/search?q=18882-0626&amp;newwindow=1&amp;tbm=isch","Еще фото")</f>
        <v>Еще фото</v>
      </c>
      <c r="F365" s="34" t="s">
        <v>469</v>
      </c>
      <c r="G365" s="11" t="s">
        <v>237</v>
      </c>
      <c r="H365" s="11" t="s">
        <v>27</v>
      </c>
      <c r="I365" s="15" t="s">
        <v>237</v>
      </c>
      <c r="J365" s="15" t="s">
        <v>37</v>
      </c>
      <c r="K365" s="16" t="s">
        <v>29</v>
      </c>
      <c r="L365" s="60" t="s">
        <v>470</v>
      </c>
      <c r="M365" s="15"/>
      <c r="N365" s="15" t="s">
        <v>130</v>
      </c>
      <c r="O365" s="15"/>
      <c r="P365" s="16" t="s">
        <v>322</v>
      </c>
      <c r="Q365" s="17">
        <v>16799</v>
      </c>
      <c r="R365" s="18">
        <v>52.39</v>
      </c>
      <c r="S365" s="19">
        <v>9197.4354999999996</v>
      </c>
      <c r="T365" s="20" t="s">
        <v>75</v>
      </c>
      <c r="U365" s="21" t="s">
        <v>299</v>
      </c>
      <c r="V365" s="22">
        <v>38</v>
      </c>
      <c r="W365" s="22">
        <v>1</v>
      </c>
      <c r="X365" s="23"/>
    </row>
    <row r="366" spans="1:24" s="1" customFormat="1" ht="11" customHeight="1" x14ac:dyDescent="0.3">
      <c r="A366" s="24" t="s">
        <v>23</v>
      </c>
      <c r="B366" s="24" t="s">
        <v>467</v>
      </c>
      <c r="C366" s="12" t="s">
        <v>468</v>
      </c>
      <c r="D366" s="58"/>
      <c r="E366" s="43" t="str">
        <f t="shared" si="20"/>
        <v>Еще фото</v>
      </c>
      <c r="F366" s="34" t="s">
        <v>469</v>
      </c>
      <c r="G366" s="24" t="s">
        <v>237</v>
      </c>
      <c r="H366" s="24" t="s">
        <v>27</v>
      </c>
      <c r="I366" s="24" t="s">
        <v>237</v>
      </c>
      <c r="J366" s="15" t="s">
        <v>37</v>
      </c>
      <c r="K366" s="16" t="s">
        <v>29</v>
      </c>
      <c r="L366" s="61"/>
      <c r="M366" s="15"/>
      <c r="N366" s="15" t="s">
        <v>130</v>
      </c>
      <c r="O366" s="15"/>
      <c r="P366" s="16" t="s">
        <v>322</v>
      </c>
      <c r="Q366" s="17">
        <v>16799</v>
      </c>
      <c r="R366" s="18">
        <v>52.39</v>
      </c>
      <c r="S366" s="19">
        <v>9197.4354999999996</v>
      </c>
      <c r="T366" s="20" t="s">
        <v>75</v>
      </c>
      <c r="U366" s="21" t="s">
        <v>76</v>
      </c>
      <c r="V366" s="22">
        <v>40</v>
      </c>
      <c r="W366" s="22">
        <v>1</v>
      </c>
      <c r="X366" s="23"/>
    </row>
    <row r="367" spans="1:24" s="1" customFormat="1" ht="11" customHeight="1" x14ac:dyDescent="0.3">
      <c r="A367" s="24" t="s">
        <v>23</v>
      </c>
      <c r="B367" s="24" t="s">
        <v>467</v>
      </c>
      <c r="C367" s="12" t="s">
        <v>468</v>
      </c>
      <c r="D367" s="58"/>
      <c r="E367" s="43" t="str">
        <f t="shared" si="20"/>
        <v>Еще фото</v>
      </c>
      <c r="F367" s="34" t="s">
        <v>469</v>
      </c>
      <c r="G367" s="24" t="s">
        <v>237</v>
      </c>
      <c r="H367" s="24" t="s">
        <v>27</v>
      </c>
      <c r="I367" s="24" t="s">
        <v>237</v>
      </c>
      <c r="J367" s="15" t="s">
        <v>37</v>
      </c>
      <c r="K367" s="16" t="s">
        <v>29</v>
      </c>
      <c r="L367" s="61"/>
      <c r="M367" s="15"/>
      <c r="N367" s="15" t="s">
        <v>130</v>
      </c>
      <c r="O367" s="15"/>
      <c r="P367" s="16" t="s">
        <v>322</v>
      </c>
      <c r="Q367" s="17">
        <v>16799</v>
      </c>
      <c r="R367" s="18">
        <v>52.39</v>
      </c>
      <c r="S367" s="19">
        <v>9197.4354999999996</v>
      </c>
      <c r="T367" s="20" t="s">
        <v>75</v>
      </c>
      <c r="U367" s="21" t="s">
        <v>42</v>
      </c>
      <c r="V367" s="22">
        <v>40</v>
      </c>
      <c r="W367" s="22">
        <v>1</v>
      </c>
      <c r="X367" s="23"/>
    </row>
    <row r="368" spans="1:24" s="1" customFormat="1" ht="11" customHeight="1" x14ac:dyDescent="0.3">
      <c r="A368" s="24" t="s">
        <v>23</v>
      </c>
      <c r="B368" s="24" t="s">
        <v>467</v>
      </c>
      <c r="C368" s="12" t="s">
        <v>468</v>
      </c>
      <c r="D368" s="58"/>
      <c r="E368" s="43" t="str">
        <f t="shared" si="20"/>
        <v>Еще фото</v>
      </c>
      <c r="F368" s="34" t="s">
        <v>469</v>
      </c>
      <c r="G368" s="24" t="s">
        <v>237</v>
      </c>
      <c r="H368" s="24" t="s">
        <v>27</v>
      </c>
      <c r="I368" s="24" t="s">
        <v>237</v>
      </c>
      <c r="J368" s="15" t="s">
        <v>37</v>
      </c>
      <c r="K368" s="16" t="s">
        <v>29</v>
      </c>
      <c r="L368" s="61"/>
      <c r="M368" s="15"/>
      <c r="N368" s="15" t="s">
        <v>130</v>
      </c>
      <c r="O368" s="15"/>
      <c r="P368" s="16" t="s">
        <v>322</v>
      </c>
      <c r="Q368" s="17">
        <v>16799</v>
      </c>
      <c r="R368" s="18">
        <v>52.39</v>
      </c>
      <c r="S368" s="19">
        <v>9197.4354999999996</v>
      </c>
      <c r="T368" s="20" t="s">
        <v>75</v>
      </c>
      <c r="U368" s="21" t="s">
        <v>255</v>
      </c>
      <c r="V368" s="22">
        <v>40</v>
      </c>
      <c r="W368" s="22">
        <v>2</v>
      </c>
      <c r="X368" s="23"/>
    </row>
    <row r="369" spans="1:24" s="1" customFormat="1" ht="11" customHeight="1" x14ac:dyDescent="0.3">
      <c r="A369" s="24" t="s">
        <v>23</v>
      </c>
      <c r="B369" s="24" t="s">
        <v>467</v>
      </c>
      <c r="C369" s="12" t="s">
        <v>468</v>
      </c>
      <c r="D369" s="58"/>
      <c r="E369" s="43" t="str">
        <f t="shared" si="20"/>
        <v>Еще фото</v>
      </c>
      <c r="F369" s="34" t="s">
        <v>469</v>
      </c>
      <c r="G369" s="24" t="s">
        <v>237</v>
      </c>
      <c r="H369" s="24" t="s">
        <v>27</v>
      </c>
      <c r="I369" s="24" t="s">
        <v>237</v>
      </c>
      <c r="J369" s="15" t="s">
        <v>37</v>
      </c>
      <c r="K369" s="16" t="s">
        <v>29</v>
      </c>
      <c r="L369" s="61"/>
      <c r="M369" s="15"/>
      <c r="N369" s="15" t="s">
        <v>130</v>
      </c>
      <c r="O369" s="15"/>
      <c r="P369" s="16" t="s">
        <v>322</v>
      </c>
      <c r="Q369" s="17">
        <v>16799</v>
      </c>
      <c r="R369" s="18">
        <v>52.39</v>
      </c>
      <c r="S369" s="19">
        <v>9197.4354999999996</v>
      </c>
      <c r="T369" s="20" t="s">
        <v>75</v>
      </c>
      <c r="U369" s="21" t="s">
        <v>311</v>
      </c>
      <c r="V369" s="25" t="s">
        <v>44</v>
      </c>
      <c r="W369" s="22">
        <v>2</v>
      </c>
      <c r="X369" s="23"/>
    </row>
    <row r="370" spans="1:24" s="1" customFormat="1" ht="11" customHeight="1" x14ac:dyDescent="0.3">
      <c r="A370" s="24" t="s">
        <v>23</v>
      </c>
      <c r="B370" s="24" t="s">
        <v>467</v>
      </c>
      <c r="C370" s="12" t="s">
        <v>468</v>
      </c>
      <c r="D370" s="58"/>
      <c r="E370" s="43" t="str">
        <f t="shared" si="20"/>
        <v>Еще фото</v>
      </c>
      <c r="F370" s="34" t="s">
        <v>469</v>
      </c>
      <c r="G370" s="24" t="s">
        <v>237</v>
      </c>
      <c r="H370" s="24" t="s">
        <v>27</v>
      </c>
      <c r="I370" s="24" t="s">
        <v>237</v>
      </c>
      <c r="J370" s="15" t="s">
        <v>37</v>
      </c>
      <c r="K370" s="16" t="s">
        <v>29</v>
      </c>
      <c r="L370" s="61"/>
      <c r="M370" s="15"/>
      <c r="N370" s="15" t="s">
        <v>130</v>
      </c>
      <c r="O370" s="15"/>
      <c r="P370" s="16" t="s">
        <v>322</v>
      </c>
      <c r="Q370" s="17">
        <v>16799</v>
      </c>
      <c r="R370" s="18">
        <v>52.39</v>
      </c>
      <c r="S370" s="19">
        <v>9197.4354999999996</v>
      </c>
      <c r="T370" s="20" t="s">
        <v>75</v>
      </c>
      <c r="U370" s="21" t="s">
        <v>43</v>
      </c>
      <c r="V370" s="25" t="s">
        <v>44</v>
      </c>
      <c r="W370" s="22">
        <v>4</v>
      </c>
      <c r="X370" s="23"/>
    </row>
    <row r="371" spans="1:24" s="1" customFormat="1" ht="11" customHeight="1" x14ac:dyDescent="0.3">
      <c r="A371" s="24" t="s">
        <v>23</v>
      </c>
      <c r="B371" s="24" t="s">
        <v>467</v>
      </c>
      <c r="C371" s="12" t="s">
        <v>468</v>
      </c>
      <c r="D371" s="58"/>
      <c r="E371" s="43" t="str">
        <f t="shared" si="20"/>
        <v>Еще фото</v>
      </c>
      <c r="F371" s="34" t="s">
        <v>469</v>
      </c>
      <c r="G371" s="24" t="s">
        <v>237</v>
      </c>
      <c r="H371" s="24" t="s">
        <v>27</v>
      </c>
      <c r="I371" s="24" t="s">
        <v>237</v>
      </c>
      <c r="J371" s="15" t="s">
        <v>37</v>
      </c>
      <c r="K371" s="16" t="s">
        <v>29</v>
      </c>
      <c r="L371" s="61"/>
      <c r="M371" s="15"/>
      <c r="N371" s="15" t="s">
        <v>130</v>
      </c>
      <c r="O371" s="15"/>
      <c r="P371" s="16" t="s">
        <v>322</v>
      </c>
      <c r="Q371" s="17">
        <v>16799</v>
      </c>
      <c r="R371" s="18">
        <v>52.39</v>
      </c>
      <c r="S371" s="19">
        <v>9197.4354999999996</v>
      </c>
      <c r="T371" s="20" t="s">
        <v>75</v>
      </c>
      <c r="U371" s="21" t="s">
        <v>45</v>
      </c>
      <c r="V371" s="25" t="s">
        <v>44</v>
      </c>
      <c r="W371" s="22">
        <v>3</v>
      </c>
      <c r="X371" s="23"/>
    </row>
    <row r="372" spans="1:24" s="1" customFormat="1" ht="11" customHeight="1" x14ac:dyDescent="0.3">
      <c r="A372" s="24" t="s">
        <v>23</v>
      </c>
      <c r="B372" s="24" t="s">
        <v>467</v>
      </c>
      <c r="C372" s="12" t="s">
        <v>468</v>
      </c>
      <c r="D372" s="58"/>
      <c r="E372" s="43" t="str">
        <f t="shared" si="20"/>
        <v>Еще фото</v>
      </c>
      <c r="F372" s="34" t="s">
        <v>469</v>
      </c>
      <c r="G372" s="24" t="s">
        <v>237</v>
      </c>
      <c r="H372" s="24" t="s">
        <v>27</v>
      </c>
      <c r="I372" s="24" t="s">
        <v>237</v>
      </c>
      <c r="J372" s="15" t="s">
        <v>37</v>
      </c>
      <c r="K372" s="16" t="s">
        <v>29</v>
      </c>
      <c r="L372" s="61"/>
      <c r="M372" s="15"/>
      <c r="N372" s="15" t="s">
        <v>130</v>
      </c>
      <c r="O372" s="15"/>
      <c r="P372" s="16" t="s">
        <v>322</v>
      </c>
      <c r="Q372" s="17">
        <v>16799</v>
      </c>
      <c r="R372" s="18">
        <v>52.39</v>
      </c>
      <c r="S372" s="19">
        <v>9197.4354999999996</v>
      </c>
      <c r="T372" s="20" t="s">
        <v>75</v>
      </c>
      <c r="U372" s="21" t="s">
        <v>78</v>
      </c>
      <c r="V372" s="22">
        <v>42</v>
      </c>
      <c r="W372" s="22">
        <v>2</v>
      </c>
      <c r="X372" s="23"/>
    </row>
    <row r="373" spans="1:24" s="1" customFormat="1" ht="11" customHeight="1" x14ac:dyDescent="0.3">
      <c r="A373" s="24" t="s">
        <v>23</v>
      </c>
      <c r="B373" s="24" t="s">
        <v>467</v>
      </c>
      <c r="C373" s="12" t="s">
        <v>468</v>
      </c>
      <c r="D373" s="58"/>
      <c r="E373" s="43" t="str">
        <f t="shared" si="20"/>
        <v>Еще фото</v>
      </c>
      <c r="F373" s="34" t="s">
        <v>469</v>
      </c>
      <c r="G373" s="24" t="s">
        <v>237</v>
      </c>
      <c r="H373" s="24" t="s">
        <v>27</v>
      </c>
      <c r="I373" s="24" t="s">
        <v>237</v>
      </c>
      <c r="J373" s="15" t="s">
        <v>37</v>
      </c>
      <c r="K373" s="16" t="s">
        <v>29</v>
      </c>
      <c r="L373" s="61"/>
      <c r="M373" s="15"/>
      <c r="N373" s="15" t="s">
        <v>130</v>
      </c>
      <c r="O373" s="15"/>
      <c r="P373" s="16" t="s">
        <v>322</v>
      </c>
      <c r="Q373" s="17">
        <v>16799</v>
      </c>
      <c r="R373" s="18">
        <v>52.39</v>
      </c>
      <c r="S373" s="19">
        <v>9197.4354999999996</v>
      </c>
      <c r="T373" s="20" t="s">
        <v>75</v>
      </c>
      <c r="U373" s="21" t="s">
        <v>46</v>
      </c>
      <c r="V373" s="22">
        <v>42</v>
      </c>
      <c r="W373" s="22">
        <v>2</v>
      </c>
      <c r="X373" s="23"/>
    </row>
    <row r="374" spans="1:24" s="1" customFormat="1" ht="11" customHeight="1" x14ac:dyDescent="0.3">
      <c r="A374" s="15" t="s">
        <v>23</v>
      </c>
      <c r="B374" s="15" t="s">
        <v>467</v>
      </c>
      <c r="C374" s="12" t="s">
        <v>468</v>
      </c>
      <c r="D374" s="58"/>
      <c r="E374" s="43" t="str">
        <f t="shared" si="20"/>
        <v>Еще фото</v>
      </c>
      <c r="F374" s="35" t="s">
        <v>469</v>
      </c>
      <c r="G374" s="15" t="s">
        <v>237</v>
      </c>
      <c r="H374" s="15" t="s">
        <v>27</v>
      </c>
      <c r="I374" s="15" t="s">
        <v>237</v>
      </c>
      <c r="J374" s="15" t="s">
        <v>37</v>
      </c>
      <c r="K374" s="15" t="s">
        <v>29</v>
      </c>
      <c r="L374" s="61"/>
      <c r="M374" s="15"/>
      <c r="N374" s="15" t="s">
        <v>130</v>
      </c>
      <c r="O374" s="15"/>
      <c r="P374" s="15" t="s">
        <v>322</v>
      </c>
      <c r="Q374" s="27">
        <v>16799</v>
      </c>
      <c r="R374" s="28">
        <v>52.39</v>
      </c>
      <c r="S374" s="29">
        <v>9197.4354999999996</v>
      </c>
      <c r="T374" s="20" t="s">
        <v>75</v>
      </c>
      <c r="U374" s="21" t="s">
        <v>50</v>
      </c>
      <c r="V374" s="22">
        <v>44</v>
      </c>
      <c r="W374" s="22">
        <v>6</v>
      </c>
      <c r="X374" s="23"/>
    </row>
    <row r="375" spans="1:24" s="1" customFormat="1" ht="11" customHeight="1" x14ac:dyDescent="0.3">
      <c r="A375" s="15" t="s">
        <v>23</v>
      </c>
      <c r="B375" s="15" t="s">
        <v>467</v>
      </c>
      <c r="C375" s="12" t="s">
        <v>468</v>
      </c>
      <c r="D375" s="58"/>
      <c r="E375" s="43" t="str">
        <f t="shared" si="20"/>
        <v>Еще фото</v>
      </c>
      <c r="F375" s="35" t="s">
        <v>469</v>
      </c>
      <c r="G375" s="15" t="s">
        <v>237</v>
      </c>
      <c r="H375" s="15" t="s">
        <v>27</v>
      </c>
      <c r="I375" s="15" t="s">
        <v>237</v>
      </c>
      <c r="J375" s="15" t="s">
        <v>37</v>
      </c>
      <c r="K375" s="15" t="s">
        <v>29</v>
      </c>
      <c r="L375" s="61"/>
      <c r="M375" s="15"/>
      <c r="N375" s="15" t="s">
        <v>130</v>
      </c>
      <c r="O375" s="15"/>
      <c r="P375" s="15" t="s">
        <v>322</v>
      </c>
      <c r="Q375" s="27">
        <v>16799</v>
      </c>
      <c r="R375" s="28">
        <v>52.39</v>
      </c>
      <c r="S375" s="29">
        <v>9197.4354999999996</v>
      </c>
      <c r="T375" s="20" t="s">
        <v>75</v>
      </c>
      <c r="U375" s="21" t="s">
        <v>51</v>
      </c>
      <c r="V375" s="22">
        <v>44</v>
      </c>
      <c r="W375" s="22">
        <v>3</v>
      </c>
      <c r="X375" s="23"/>
    </row>
    <row r="376" spans="1:24" s="1" customFormat="1" ht="11" customHeight="1" x14ac:dyDescent="0.3">
      <c r="A376" s="15" t="s">
        <v>23</v>
      </c>
      <c r="B376" s="15" t="s">
        <v>467</v>
      </c>
      <c r="C376" s="12" t="s">
        <v>468</v>
      </c>
      <c r="D376" s="58"/>
      <c r="E376" s="43" t="str">
        <f t="shared" si="20"/>
        <v>Еще фото</v>
      </c>
      <c r="F376" s="35" t="s">
        <v>469</v>
      </c>
      <c r="G376" s="15" t="s">
        <v>237</v>
      </c>
      <c r="H376" s="15" t="s">
        <v>27</v>
      </c>
      <c r="I376" s="15" t="s">
        <v>237</v>
      </c>
      <c r="J376" s="15" t="s">
        <v>37</v>
      </c>
      <c r="K376" s="15" t="s">
        <v>29</v>
      </c>
      <c r="L376" s="61"/>
      <c r="M376" s="15"/>
      <c r="N376" s="15" t="s">
        <v>130</v>
      </c>
      <c r="O376" s="15"/>
      <c r="P376" s="15" t="s">
        <v>322</v>
      </c>
      <c r="Q376" s="27">
        <v>16799</v>
      </c>
      <c r="R376" s="28">
        <v>52.39</v>
      </c>
      <c r="S376" s="29">
        <v>9197.4354999999996</v>
      </c>
      <c r="T376" s="20" t="s">
        <v>75</v>
      </c>
      <c r="U376" s="21" t="s">
        <v>378</v>
      </c>
      <c r="V376" s="22">
        <v>46</v>
      </c>
      <c r="W376" s="22">
        <v>1</v>
      </c>
      <c r="X376" s="23"/>
    </row>
    <row r="377" spans="1:24" s="1" customFormat="1" ht="11" customHeight="1" x14ac:dyDescent="0.3">
      <c r="A377" s="15" t="s">
        <v>23</v>
      </c>
      <c r="B377" s="15" t="s">
        <v>467</v>
      </c>
      <c r="C377" s="12" t="s">
        <v>468</v>
      </c>
      <c r="D377" s="58"/>
      <c r="E377" s="43" t="str">
        <f t="shared" si="20"/>
        <v>Еще фото</v>
      </c>
      <c r="F377" s="35" t="s">
        <v>469</v>
      </c>
      <c r="G377" s="15" t="s">
        <v>237</v>
      </c>
      <c r="H377" s="15" t="s">
        <v>27</v>
      </c>
      <c r="I377" s="15" t="s">
        <v>237</v>
      </c>
      <c r="J377" s="15" t="s">
        <v>37</v>
      </c>
      <c r="K377" s="15" t="s">
        <v>29</v>
      </c>
      <c r="L377" s="61"/>
      <c r="M377" s="15"/>
      <c r="N377" s="15" t="s">
        <v>130</v>
      </c>
      <c r="O377" s="15"/>
      <c r="P377" s="15" t="s">
        <v>322</v>
      </c>
      <c r="Q377" s="27">
        <v>16799</v>
      </c>
      <c r="R377" s="28">
        <v>52.39</v>
      </c>
      <c r="S377" s="29">
        <v>9197.4354999999996</v>
      </c>
      <c r="T377" s="20" t="s">
        <v>75</v>
      </c>
      <c r="U377" s="21" t="s">
        <v>230</v>
      </c>
      <c r="V377" s="22">
        <v>46</v>
      </c>
      <c r="W377" s="22">
        <v>6</v>
      </c>
      <c r="X377" s="23"/>
    </row>
    <row r="378" spans="1:24" s="1" customFormat="1" ht="11" customHeight="1" x14ac:dyDescent="0.3">
      <c r="A378" s="15" t="s">
        <v>23</v>
      </c>
      <c r="B378" s="15" t="s">
        <v>467</v>
      </c>
      <c r="C378" s="12" t="s">
        <v>468</v>
      </c>
      <c r="D378" s="58"/>
      <c r="E378" s="43" t="str">
        <f t="shared" si="20"/>
        <v>Еще фото</v>
      </c>
      <c r="F378" s="35" t="s">
        <v>469</v>
      </c>
      <c r="G378" s="15" t="s">
        <v>237</v>
      </c>
      <c r="H378" s="15" t="s">
        <v>27</v>
      </c>
      <c r="I378" s="15" t="s">
        <v>237</v>
      </c>
      <c r="J378" s="15" t="s">
        <v>37</v>
      </c>
      <c r="K378" s="15" t="s">
        <v>29</v>
      </c>
      <c r="L378" s="61"/>
      <c r="M378" s="15"/>
      <c r="N378" s="15" t="s">
        <v>130</v>
      </c>
      <c r="O378" s="15"/>
      <c r="P378" s="15" t="s">
        <v>322</v>
      </c>
      <c r="Q378" s="27">
        <v>16799</v>
      </c>
      <c r="R378" s="28">
        <v>52.39</v>
      </c>
      <c r="S378" s="29">
        <v>9197.4354999999996</v>
      </c>
      <c r="T378" s="20" t="s">
        <v>75</v>
      </c>
      <c r="U378" s="21" t="s">
        <v>173</v>
      </c>
      <c r="V378" s="22">
        <v>46</v>
      </c>
      <c r="W378" s="22">
        <v>1</v>
      </c>
      <c r="X378" s="23"/>
    </row>
    <row r="379" spans="1:24" s="1" customFormat="1" ht="11" customHeight="1" x14ac:dyDescent="0.3">
      <c r="A379" s="15" t="s">
        <v>23</v>
      </c>
      <c r="B379" s="15" t="s">
        <v>467</v>
      </c>
      <c r="C379" s="12" t="s">
        <v>468</v>
      </c>
      <c r="D379" s="58"/>
      <c r="E379" s="43" t="str">
        <f t="shared" si="20"/>
        <v>Еще фото</v>
      </c>
      <c r="F379" s="35" t="s">
        <v>469</v>
      </c>
      <c r="G379" s="15" t="s">
        <v>237</v>
      </c>
      <c r="H379" s="15" t="s">
        <v>27</v>
      </c>
      <c r="I379" s="15" t="s">
        <v>237</v>
      </c>
      <c r="J379" s="15" t="s">
        <v>37</v>
      </c>
      <c r="K379" s="15" t="s">
        <v>29</v>
      </c>
      <c r="L379" s="61"/>
      <c r="M379" s="15"/>
      <c r="N379" s="15" t="s">
        <v>130</v>
      </c>
      <c r="O379" s="15"/>
      <c r="P379" s="15" t="s">
        <v>322</v>
      </c>
      <c r="Q379" s="27">
        <v>16799</v>
      </c>
      <c r="R379" s="28">
        <v>52.39</v>
      </c>
      <c r="S379" s="29">
        <v>9197.4354999999996</v>
      </c>
      <c r="T379" s="20" t="s">
        <v>75</v>
      </c>
      <c r="U379" s="21" t="s">
        <v>314</v>
      </c>
      <c r="V379" s="22">
        <v>46</v>
      </c>
      <c r="W379" s="22">
        <v>1</v>
      </c>
      <c r="X379" s="23"/>
    </row>
    <row r="380" spans="1:24" s="1" customFormat="1" ht="11" customHeight="1" x14ac:dyDescent="0.3">
      <c r="A380" s="15" t="s">
        <v>23</v>
      </c>
      <c r="B380" s="15" t="s">
        <v>467</v>
      </c>
      <c r="C380" s="12" t="s">
        <v>468</v>
      </c>
      <c r="D380" s="59"/>
      <c r="E380" s="43" t="str">
        <f t="shared" si="20"/>
        <v>Еще фото</v>
      </c>
      <c r="F380" s="35" t="s">
        <v>469</v>
      </c>
      <c r="G380" s="15" t="s">
        <v>237</v>
      </c>
      <c r="H380" s="15" t="s">
        <v>27</v>
      </c>
      <c r="I380" s="15" t="s">
        <v>237</v>
      </c>
      <c r="J380" s="15" t="s">
        <v>37</v>
      </c>
      <c r="K380" s="15" t="s">
        <v>29</v>
      </c>
      <c r="L380" s="62"/>
      <c r="M380" s="15"/>
      <c r="N380" s="15" t="s">
        <v>130</v>
      </c>
      <c r="O380" s="15"/>
      <c r="P380" s="15" t="s">
        <v>322</v>
      </c>
      <c r="Q380" s="27">
        <v>16799</v>
      </c>
      <c r="R380" s="28">
        <v>52.39</v>
      </c>
      <c r="S380" s="29">
        <v>9197.4354999999996</v>
      </c>
      <c r="T380" s="20" t="s">
        <v>75</v>
      </c>
      <c r="U380" s="21" t="s">
        <v>53</v>
      </c>
      <c r="V380" s="22">
        <v>48</v>
      </c>
      <c r="W380" s="22">
        <v>1</v>
      </c>
      <c r="X380" s="23"/>
    </row>
    <row r="381" spans="1:24" s="1" customFormat="1" ht="21" customHeight="1" x14ac:dyDescent="0.3">
      <c r="A381" s="11" t="s">
        <v>23</v>
      </c>
      <c r="B381" s="11" t="s">
        <v>471</v>
      </c>
      <c r="C381" s="30" t="s">
        <v>472</v>
      </c>
      <c r="D381" s="57"/>
      <c r="E381" s="43" t="str">
        <f>HYPERLINK("https://www.google.ru/search?q=00501-3372&amp;newwindow=1&amp;tbm=isch","Еще фото")</f>
        <v>Еще фото</v>
      </c>
      <c r="F381" s="14"/>
      <c r="G381" s="11" t="s">
        <v>237</v>
      </c>
      <c r="H381" s="11" t="s">
        <v>27</v>
      </c>
      <c r="I381" s="15" t="s">
        <v>237</v>
      </c>
      <c r="J381" s="15" t="s">
        <v>28</v>
      </c>
      <c r="K381" s="16" t="s">
        <v>57</v>
      </c>
      <c r="L381" s="60" t="s">
        <v>473</v>
      </c>
      <c r="M381" s="15"/>
      <c r="N381" s="15" t="s">
        <v>138</v>
      </c>
      <c r="O381" s="15"/>
      <c r="P381" s="16" t="s">
        <v>32</v>
      </c>
      <c r="Q381" s="17">
        <v>16799</v>
      </c>
      <c r="R381" s="18">
        <v>51.26</v>
      </c>
      <c r="S381" s="19">
        <v>9415.9354999999996</v>
      </c>
      <c r="T381" s="20" t="s">
        <v>75</v>
      </c>
      <c r="U381" s="21" t="s">
        <v>53</v>
      </c>
      <c r="V381" s="22">
        <v>46</v>
      </c>
      <c r="W381" s="22">
        <v>1</v>
      </c>
      <c r="X381" s="23"/>
    </row>
    <row r="382" spans="1:24" s="1" customFormat="1" ht="21" customHeight="1" x14ac:dyDescent="0.3">
      <c r="A382" s="24" t="s">
        <v>23</v>
      </c>
      <c r="B382" s="24" t="s">
        <v>471</v>
      </c>
      <c r="C382" s="31" t="s">
        <v>472</v>
      </c>
      <c r="D382" s="58"/>
      <c r="E382" s="43" t="str">
        <f>HYPERLINK("https://www.google.ru/search?q=00501-3372&amp;newwindow=1&amp;tbm=isch","Еще фото")</f>
        <v>Еще фото</v>
      </c>
      <c r="F382" s="14"/>
      <c r="G382" s="24" t="s">
        <v>237</v>
      </c>
      <c r="H382" s="24" t="s">
        <v>27</v>
      </c>
      <c r="I382" s="24" t="s">
        <v>237</v>
      </c>
      <c r="J382" s="15" t="s">
        <v>28</v>
      </c>
      <c r="K382" s="16" t="s">
        <v>57</v>
      </c>
      <c r="L382" s="61"/>
      <c r="M382" s="15"/>
      <c r="N382" s="15" t="s">
        <v>138</v>
      </c>
      <c r="O382" s="15"/>
      <c r="P382" s="16" t="s">
        <v>32</v>
      </c>
      <c r="Q382" s="17">
        <v>16799</v>
      </c>
      <c r="R382" s="18">
        <v>51.26</v>
      </c>
      <c r="S382" s="19">
        <v>9415.9354999999996</v>
      </c>
      <c r="T382" s="20" t="s">
        <v>75</v>
      </c>
      <c r="U382" s="21" t="s">
        <v>109</v>
      </c>
      <c r="V382" s="25" t="s">
        <v>65</v>
      </c>
      <c r="W382" s="22">
        <v>1</v>
      </c>
      <c r="X382" s="23"/>
    </row>
    <row r="383" spans="1:24" s="1" customFormat="1" ht="21" customHeight="1" x14ac:dyDescent="0.3">
      <c r="A383" s="24" t="s">
        <v>23</v>
      </c>
      <c r="B383" s="24" t="s">
        <v>471</v>
      </c>
      <c r="C383" s="31" t="s">
        <v>472</v>
      </c>
      <c r="D383" s="58"/>
      <c r="E383" s="43" t="str">
        <f>HYPERLINK("https://www.google.ru/search?q=00501-3372&amp;newwindow=1&amp;tbm=isch","Еще фото")</f>
        <v>Еще фото</v>
      </c>
      <c r="F383" s="14"/>
      <c r="G383" s="24" t="s">
        <v>237</v>
      </c>
      <c r="H383" s="24" t="s">
        <v>27</v>
      </c>
      <c r="I383" s="24" t="s">
        <v>237</v>
      </c>
      <c r="J383" s="15" t="s">
        <v>28</v>
      </c>
      <c r="K383" s="16" t="s">
        <v>57</v>
      </c>
      <c r="L383" s="61"/>
      <c r="M383" s="15"/>
      <c r="N383" s="15" t="s">
        <v>138</v>
      </c>
      <c r="O383" s="15"/>
      <c r="P383" s="16" t="s">
        <v>32</v>
      </c>
      <c r="Q383" s="17">
        <v>16799</v>
      </c>
      <c r="R383" s="18">
        <v>51.26</v>
      </c>
      <c r="S383" s="19">
        <v>9415.9354999999996</v>
      </c>
      <c r="T383" s="20" t="s">
        <v>75</v>
      </c>
      <c r="U383" s="21" t="s">
        <v>165</v>
      </c>
      <c r="V383" s="22">
        <v>48</v>
      </c>
      <c r="W383" s="22">
        <v>1</v>
      </c>
      <c r="X383" s="23"/>
    </row>
    <row r="384" spans="1:24" s="1" customFormat="1" ht="21" customHeight="1" x14ac:dyDescent="0.3">
      <c r="A384" s="24" t="s">
        <v>23</v>
      </c>
      <c r="B384" s="24" t="s">
        <v>471</v>
      </c>
      <c r="C384" s="31" t="s">
        <v>472</v>
      </c>
      <c r="D384" s="58"/>
      <c r="E384" s="43" t="str">
        <f>HYPERLINK("https://www.google.ru/search?q=00501-3372&amp;newwindow=1&amp;tbm=isch","Еще фото")</f>
        <v>Еще фото</v>
      </c>
      <c r="F384" s="14"/>
      <c r="G384" s="24" t="s">
        <v>237</v>
      </c>
      <c r="H384" s="24" t="s">
        <v>27</v>
      </c>
      <c r="I384" s="24" t="s">
        <v>237</v>
      </c>
      <c r="J384" s="15" t="s">
        <v>28</v>
      </c>
      <c r="K384" s="16" t="s">
        <v>57</v>
      </c>
      <c r="L384" s="61"/>
      <c r="M384" s="15"/>
      <c r="N384" s="15" t="s">
        <v>138</v>
      </c>
      <c r="O384" s="15"/>
      <c r="P384" s="16" t="s">
        <v>32</v>
      </c>
      <c r="Q384" s="17">
        <v>16799</v>
      </c>
      <c r="R384" s="18">
        <v>51.26</v>
      </c>
      <c r="S384" s="19">
        <v>9415.9354999999996</v>
      </c>
      <c r="T384" s="20" t="s">
        <v>75</v>
      </c>
      <c r="U384" s="21" t="s">
        <v>166</v>
      </c>
      <c r="V384" s="25" t="s">
        <v>96</v>
      </c>
      <c r="W384" s="22">
        <v>1</v>
      </c>
      <c r="X384" s="23"/>
    </row>
    <row r="385" spans="1:24" s="1" customFormat="1" ht="32" customHeight="1" x14ac:dyDescent="0.3">
      <c r="A385" s="24" t="s">
        <v>23</v>
      </c>
      <c r="B385" s="24" t="s">
        <v>471</v>
      </c>
      <c r="C385" s="31" t="s">
        <v>472</v>
      </c>
      <c r="D385" s="59"/>
      <c r="E385" s="43" t="str">
        <f>HYPERLINK("https://www.google.ru/search?q=00501-3372&amp;newwindow=1&amp;tbm=isch","Еще фото")</f>
        <v>Еще фото</v>
      </c>
      <c r="F385" s="14"/>
      <c r="G385" s="24" t="s">
        <v>237</v>
      </c>
      <c r="H385" s="24" t="s">
        <v>27</v>
      </c>
      <c r="I385" s="24" t="s">
        <v>237</v>
      </c>
      <c r="J385" s="15" t="s">
        <v>28</v>
      </c>
      <c r="K385" s="16" t="s">
        <v>57</v>
      </c>
      <c r="L385" s="62"/>
      <c r="M385" s="15"/>
      <c r="N385" s="15" t="s">
        <v>138</v>
      </c>
      <c r="O385" s="15"/>
      <c r="P385" s="16" t="s">
        <v>32</v>
      </c>
      <c r="Q385" s="17">
        <v>16799</v>
      </c>
      <c r="R385" s="18">
        <v>51.26</v>
      </c>
      <c r="S385" s="19">
        <v>9415.9354999999996</v>
      </c>
      <c r="T385" s="20" t="s">
        <v>75</v>
      </c>
      <c r="U385" s="21" t="s">
        <v>359</v>
      </c>
      <c r="V385" s="25" t="s">
        <v>96</v>
      </c>
      <c r="W385" s="22">
        <v>1</v>
      </c>
      <c r="X385" s="23"/>
    </row>
    <row r="386" spans="1:24" s="1" customFormat="1" ht="108" customHeight="1" x14ac:dyDescent="0.3">
      <c r="A386" s="11" t="s">
        <v>23</v>
      </c>
      <c r="B386" s="11" t="s">
        <v>474</v>
      </c>
      <c r="C386" s="12" t="s">
        <v>475</v>
      </c>
      <c r="D386" s="13"/>
      <c r="E386" s="43" t="str">
        <f>HYPERLINK("https://www.google.ru/search?q=A0366-0003&amp;newwindow=1&amp;tbm=isch","Еще фото")</f>
        <v>Еще фото</v>
      </c>
      <c r="F386" s="14"/>
      <c r="G386" s="11" t="s">
        <v>237</v>
      </c>
      <c r="H386" s="11" t="s">
        <v>27</v>
      </c>
      <c r="I386" s="15" t="s">
        <v>237</v>
      </c>
      <c r="J386" s="15" t="s">
        <v>37</v>
      </c>
      <c r="K386" s="16" t="s">
        <v>57</v>
      </c>
      <c r="L386" s="15" t="s">
        <v>476</v>
      </c>
      <c r="M386" s="15"/>
      <c r="N386" s="15" t="s">
        <v>477</v>
      </c>
      <c r="O386" s="15" t="s">
        <v>113</v>
      </c>
      <c r="P386" s="16" t="s">
        <v>32</v>
      </c>
      <c r="Q386" s="17">
        <v>20999</v>
      </c>
      <c r="R386" s="18">
        <v>50.25</v>
      </c>
      <c r="S386" s="19">
        <v>12014.9355</v>
      </c>
      <c r="T386" s="20" t="s">
        <v>75</v>
      </c>
      <c r="U386" s="21" t="s">
        <v>214</v>
      </c>
      <c r="V386" s="22">
        <v>46</v>
      </c>
      <c r="W386" s="22">
        <v>1</v>
      </c>
      <c r="X386" s="23"/>
    </row>
    <row r="387" spans="1:24" s="1" customFormat="1" ht="26" customHeight="1" x14ac:dyDescent="0.3">
      <c r="A387" s="11" t="s">
        <v>23</v>
      </c>
      <c r="B387" s="11" t="s">
        <v>478</v>
      </c>
      <c r="C387" s="12" t="s">
        <v>479</v>
      </c>
      <c r="D387" s="57"/>
      <c r="E387" s="43" t="str">
        <f>HYPERLINK("https://www.google.ru/search?q=18882-0281&amp;newwindow=1&amp;tbm=isch","Еще фото")</f>
        <v>Еще фото</v>
      </c>
      <c r="F387" s="14"/>
      <c r="G387" s="11" t="s">
        <v>237</v>
      </c>
      <c r="H387" s="11" t="s">
        <v>27</v>
      </c>
      <c r="I387" s="15" t="s">
        <v>237</v>
      </c>
      <c r="J387" s="15" t="s">
        <v>28</v>
      </c>
      <c r="K387" s="16" t="s">
        <v>29</v>
      </c>
      <c r="L387" s="60" t="s">
        <v>480</v>
      </c>
      <c r="M387" s="15" t="s">
        <v>72</v>
      </c>
      <c r="N387" s="15" t="s">
        <v>138</v>
      </c>
      <c r="O387" s="15"/>
      <c r="P387" s="16" t="s">
        <v>329</v>
      </c>
      <c r="Q387" s="17">
        <v>9599</v>
      </c>
      <c r="R387" s="18">
        <v>50.02</v>
      </c>
      <c r="S387" s="19">
        <v>5517.4355000000005</v>
      </c>
      <c r="T387" s="20" t="s">
        <v>75</v>
      </c>
      <c r="U387" s="21" t="s">
        <v>43</v>
      </c>
      <c r="V387" s="25" t="s">
        <v>44</v>
      </c>
      <c r="W387" s="22">
        <v>2</v>
      </c>
      <c r="X387" s="23"/>
    </row>
    <row r="388" spans="1:24" s="1" customFormat="1" ht="26" customHeight="1" x14ac:dyDescent="0.3">
      <c r="A388" s="24" t="s">
        <v>23</v>
      </c>
      <c r="B388" s="24" t="s">
        <v>478</v>
      </c>
      <c r="C388" s="12" t="s">
        <v>479</v>
      </c>
      <c r="D388" s="58"/>
      <c r="E388" s="43" t="str">
        <f>HYPERLINK("https://www.google.ru/search?q=18882-0281&amp;newwindow=1&amp;tbm=isch","Еще фото")</f>
        <v>Еще фото</v>
      </c>
      <c r="F388" s="14"/>
      <c r="G388" s="24" t="s">
        <v>237</v>
      </c>
      <c r="H388" s="24" t="s">
        <v>27</v>
      </c>
      <c r="I388" s="24" t="s">
        <v>237</v>
      </c>
      <c r="J388" s="15" t="s">
        <v>28</v>
      </c>
      <c r="K388" s="16" t="s">
        <v>29</v>
      </c>
      <c r="L388" s="61"/>
      <c r="M388" s="15" t="s">
        <v>72</v>
      </c>
      <c r="N388" s="15" t="s">
        <v>138</v>
      </c>
      <c r="O388" s="15"/>
      <c r="P388" s="16" t="s">
        <v>329</v>
      </c>
      <c r="Q388" s="17">
        <v>9599</v>
      </c>
      <c r="R388" s="18">
        <v>50.02</v>
      </c>
      <c r="S388" s="19">
        <v>5517.4355000000005</v>
      </c>
      <c r="T388" s="20" t="s">
        <v>75</v>
      </c>
      <c r="U388" s="21" t="s">
        <v>45</v>
      </c>
      <c r="V388" s="25" t="s">
        <v>44</v>
      </c>
      <c r="W388" s="22">
        <v>12</v>
      </c>
      <c r="X388" s="23"/>
    </row>
    <row r="389" spans="1:24" s="1" customFormat="1" ht="26" customHeight="1" x14ac:dyDescent="0.3">
      <c r="A389" s="24" t="s">
        <v>23</v>
      </c>
      <c r="B389" s="24" t="s">
        <v>478</v>
      </c>
      <c r="C389" s="12" t="s">
        <v>479</v>
      </c>
      <c r="D389" s="58"/>
      <c r="E389" s="43" t="str">
        <f>HYPERLINK("https://www.google.ru/search?q=18882-0281&amp;newwindow=1&amp;tbm=isch","Еще фото")</f>
        <v>Еще фото</v>
      </c>
      <c r="F389" s="14"/>
      <c r="G389" s="24" t="s">
        <v>237</v>
      </c>
      <c r="H389" s="24" t="s">
        <v>27</v>
      </c>
      <c r="I389" s="24" t="s">
        <v>237</v>
      </c>
      <c r="J389" s="15" t="s">
        <v>28</v>
      </c>
      <c r="K389" s="16" t="s">
        <v>29</v>
      </c>
      <c r="L389" s="61"/>
      <c r="M389" s="15" t="s">
        <v>72</v>
      </c>
      <c r="N389" s="15" t="s">
        <v>138</v>
      </c>
      <c r="O389" s="15"/>
      <c r="P389" s="16" t="s">
        <v>329</v>
      </c>
      <c r="Q389" s="17">
        <v>9599</v>
      </c>
      <c r="R389" s="18">
        <v>50.02</v>
      </c>
      <c r="S389" s="19">
        <v>5517.4355000000005</v>
      </c>
      <c r="T389" s="20" t="s">
        <v>75</v>
      </c>
      <c r="U389" s="21" t="s">
        <v>158</v>
      </c>
      <c r="V389" s="22">
        <v>42</v>
      </c>
      <c r="W389" s="22">
        <v>3</v>
      </c>
      <c r="X389" s="23"/>
    </row>
    <row r="390" spans="1:24" s="1" customFormat="1" ht="26" customHeight="1" x14ac:dyDescent="0.3">
      <c r="A390" s="24" t="s">
        <v>23</v>
      </c>
      <c r="B390" s="24" t="s">
        <v>478</v>
      </c>
      <c r="C390" s="12" t="s">
        <v>479</v>
      </c>
      <c r="D390" s="59"/>
      <c r="E390" s="43" t="str">
        <f>HYPERLINK("https://www.google.ru/search?q=18882-0281&amp;newwindow=1&amp;tbm=isch","Еще фото")</f>
        <v>Еще фото</v>
      </c>
      <c r="F390" s="14"/>
      <c r="G390" s="24" t="s">
        <v>237</v>
      </c>
      <c r="H390" s="24" t="s">
        <v>27</v>
      </c>
      <c r="I390" s="24" t="s">
        <v>237</v>
      </c>
      <c r="J390" s="15" t="s">
        <v>28</v>
      </c>
      <c r="K390" s="16" t="s">
        <v>29</v>
      </c>
      <c r="L390" s="62"/>
      <c r="M390" s="15" t="s">
        <v>72</v>
      </c>
      <c r="N390" s="15" t="s">
        <v>138</v>
      </c>
      <c r="O390" s="15"/>
      <c r="P390" s="16" t="s">
        <v>329</v>
      </c>
      <c r="Q390" s="17">
        <v>9599</v>
      </c>
      <c r="R390" s="18">
        <v>50.02</v>
      </c>
      <c r="S390" s="19">
        <v>5517.4355000000005</v>
      </c>
      <c r="T390" s="20" t="s">
        <v>75</v>
      </c>
      <c r="U390" s="21" t="s">
        <v>481</v>
      </c>
      <c r="V390" s="25" t="s">
        <v>48</v>
      </c>
      <c r="W390" s="22">
        <v>1</v>
      </c>
      <c r="X390" s="23"/>
    </row>
    <row r="391" spans="1:24" s="1" customFormat="1" ht="35" customHeight="1" x14ac:dyDescent="0.3">
      <c r="A391" s="11" t="s">
        <v>23</v>
      </c>
      <c r="B391" s="11" t="s">
        <v>482</v>
      </c>
      <c r="C391" s="12" t="s">
        <v>483</v>
      </c>
      <c r="D391" s="57"/>
      <c r="E391" s="43" t="str">
        <f>HYPERLINK("https://www.google.ru/search?q=18882-0233&amp;newwindow=1&amp;tbm=isch","Еще фото")</f>
        <v>Еще фото</v>
      </c>
      <c r="F391" s="14"/>
      <c r="G391" s="11" t="s">
        <v>237</v>
      </c>
      <c r="H391" s="11" t="s">
        <v>27</v>
      </c>
      <c r="I391" s="15" t="s">
        <v>237</v>
      </c>
      <c r="J391" s="15" t="s">
        <v>28</v>
      </c>
      <c r="K391" s="16" t="s">
        <v>29</v>
      </c>
      <c r="L391" s="60" t="s">
        <v>484</v>
      </c>
      <c r="M391" s="15" t="s">
        <v>72</v>
      </c>
      <c r="N391" s="15" t="s">
        <v>39</v>
      </c>
      <c r="O391" s="15" t="s">
        <v>308</v>
      </c>
      <c r="P391" s="16" t="s">
        <v>485</v>
      </c>
      <c r="Q391" s="17">
        <v>16699</v>
      </c>
      <c r="R391" s="18">
        <v>49.29</v>
      </c>
      <c r="S391" s="19">
        <v>9737.9354999999996</v>
      </c>
      <c r="T391" s="20" t="s">
        <v>75</v>
      </c>
      <c r="U391" s="21" t="s">
        <v>299</v>
      </c>
      <c r="V391" s="22">
        <v>38</v>
      </c>
      <c r="W391" s="22">
        <v>1</v>
      </c>
      <c r="X391" s="23"/>
    </row>
    <row r="392" spans="1:24" s="1" customFormat="1" ht="35" customHeight="1" x14ac:dyDescent="0.3">
      <c r="A392" s="24" t="s">
        <v>23</v>
      </c>
      <c r="B392" s="24" t="s">
        <v>482</v>
      </c>
      <c r="C392" s="12" t="s">
        <v>483</v>
      </c>
      <c r="D392" s="58"/>
      <c r="E392" s="43" t="str">
        <f>HYPERLINK("https://www.google.ru/search?q=18882-0233&amp;newwindow=1&amp;tbm=isch","Еще фото")</f>
        <v>Еще фото</v>
      </c>
      <c r="F392" s="14"/>
      <c r="G392" s="24" t="s">
        <v>237</v>
      </c>
      <c r="H392" s="24" t="s">
        <v>27</v>
      </c>
      <c r="I392" s="24" t="s">
        <v>237</v>
      </c>
      <c r="J392" s="15" t="s">
        <v>28</v>
      </c>
      <c r="K392" s="16" t="s">
        <v>29</v>
      </c>
      <c r="L392" s="61"/>
      <c r="M392" s="15" t="s">
        <v>72</v>
      </c>
      <c r="N392" s="15" t="s">
        <v>39</v>
      </c>
      <c r="O392" s="15" t="s">
        <v>308</v>
      </c>
      <c r="P392" s="16" t="s">
        <v>485</v>
      </c>
      <c r="Q392" s="17">
        <v>16699</v>
      </c>
      <c r="R392" s="18">
        <v>49.29</v>
      </c>
      <c r="S392" s="19">
        <v>9737.9354999999996</v>
      </c>
      <c r="T392" s="20" t="s">
        <v>75</v>
      </c>
      <c r="U392" s="21" t="s">
        <v>76</v>
      </c>
      <c r="V392" s="22">
        <v>40</v>
      </c>
      <c r="W392" s="22">
        <v>1</v>
      </c>
      <c r="X392" s="23"/>
    </row>
    <row r="393" spans="1:24" s="1" customFormat="1" ht="37.049999999999997" customHeight="1" x14ac:dyDescent="0.3">
      <c r="A393" s="24" t="s">
        <v>23</v>
      </c>
      <c r="B393" s="24" t="s">
        <v>482</v>
      </c>
      <c r="C393" s="12" t="s">
        <v>483</v>
      </c>
      <c r="D393" s="59"/>
      <c r="E393" s="43" t="str">
        <f>HYPERLINK("https://www.google.ru/search?q=18882-0233&amp;newwindow=1&amp;tbm=isch","Еще фото")</f>
        <v>Еще фото</v>
      </c>
      <c r="F393" s="14"/>
      <c r="G393" s="24" t="s">
        <v>237</v>
      </c>
      <c r="H393" s="24" t="s">
        <v>27</v>
      </c>
      <c r="I393" s="24" t="s">
        <v>237</v>
      </c>
      <c r="J393" s="15" t="s">
        <v>28</v>
      </c>
      <c r="K393" s="16" t="s">
        <v>29</v>
      </c>
      <c r="L393" s="62"/>
      <c r="M393" s="15" t="s">
        <v>72</v>
      </c>
      <c r="N393" s="15" t="s">
        <v>39</v>
      </c>
      <c r="O393" s="15" t="s">
        <v>308</v>
      </c>
      <c r="P393" s="16" t="s">
        <v>485</v>
      </c>
      <c r="Q393" s="17">
        <v>16699</v>
      </c>
      <c r="R393" s="18">
        <v>49.29</v>
      </c>
      <c r="S393" s="19">
        <v>9737.9354999999996</v>
      </c>
      <c r="T393" s="20" t="s">
        <v>75</v>
      </c>
      <c r="U393" s="21" t="s">
        <v>255</v>
      </c>
      <c r="V393" s="22">
        <v>40</v>
      </c>
      <c r="W393" s="22">
        <v>9</v>
      </c>
      <c r="X393" s="23"/>
    </row>
    <row r="394" spans="1:24" s="1" customFormat="1" ht="108" customHeight="1" x14ac:dyDescent="0.3">
      <c r="A394" s="11" t="s">
        <v>23</v>
      </c>
      <c r="B394" s="11" t="s">
        <v>486</v>
      </c>
      <c r="C394" s="12" t="s">
        <v>487</v>
      </c>
      <c r="D394" s="13"/>
      <c r="E394" s="43" t="str">
        <f>HYPERLINK("https://www.google.ru/search?q=17778-0047&amp;newwindow=1&amp;tbm=isch","Еще фото")</f>
        <v>Еще фото</v>
      </c>
      <c r="F394" s="14"/>
      <c r="G394" s="11" t="s">
        <v>237</v>
      </c>
      <c r="H394" s="11" t="s">
        <v>27</v>
      </c>
      <c r="I394" s="15" t="s">
        <v>237</v>
      </c>
      <c r="J394" s="15" t="s">
        <v>37</v>
      </c>
      <c r="K394" s="16" t="s">
        <v>29</v>
      </c>
      <c r="L394" s="15" t="s">
        <v>238</v>
      </c>
      <c r="M394" s="15"/>
      <c r="N394" s="15" t="s">
        <v>130</v>
      </c>
      <c r="O394" s="15"/>
      <c r="P394" s="16" t="s">
        <v>488</v>
      </c>
      <c r="Q394" s="17">
        <v>13699</v>
      </c>
      <c r="R394" s="18">
        <v>49.06</v>
      </c>
      <c r="S394" s="19">
        <v>8024.4354999999996</v>
      </c>
      <c r="T394" s="20" t="s">
        <v>75</v>
      </c>
      <c r="U394" s="21" t="s">
        <v>43</v>
      </c>
      <c r="V394" s="25" t="s">
        <v>44</v>
      </c>
      <c r="W394" s="22">
        <v>2</v>
      </c>
      <c r="X394" s="23"/>
    </row>
    <row r="395" spans="1:24" s="1" customFormat="1" ht="108" customHeight="1" x14ac:dyDescent="0.3">
      <c r="A395" s="11" t="s">
        <v>23</v>
      </c>
      <c r="B395" s="11" t="s">
        <v>489</v>
      </c>
      <c r="C395" s="12" t="s">
        <v>490</v>
      </c>
      <c r="D395" s="13"/>
      <c r="E395" s="43" t="str">
        <f>HYPERLINK("https://www.google.ru/search?q=18881-0292&amp;newwindow=1&amp;tbm=isch","Еще фото")</f>
        <v>Еще фото</v>
      </c>
      <c r="F395" s="14"/>
      <c r="G395" s="11" t="s">
        <v>237</v>
      </c>
      <c r="H395" s="11" t="s">
        <v>27</v>
      </c>
      <c r="I395" s="15" t="s">
        <v>237</v>
      </c>
      <c r="J395" s="15" t="s">
        <v>37</v>
      </c>
      <c r="K395" s="16" t="s">
        <v>29</v>
      </c>
      <c r="L395" s="15" t="s">
        <v>258</v>
      </c>
      <c r="M395" s="15"/>
      <c r="N395" s="15" t="s">
        <v>130</v>
      </c>
      <c r="O395" s="15"/>
      <c r="P395" s="16" t="s">
        <v>242</v>
      </c>
      <c r="Q395" s="17">
        <v>13699</v>
      </c>
      <c r="R395" s="18">
        <v>49.06</v>
      </c>
      <c r="S395" s="19">
        <v>8024.4354999999996</v>
      </c>
      <c r="T395" s="20" t="s">
        <v>75</v>
      </c>
      <c r="U395" s="21" t="s">
        <v>42</v>
      </c>
      <c r="V395" s="22">
        <v>40</v>
      </c>
      <c r="W395" s="22">
        <v>2</v>
      </c>
      <c r="X395" s="23"/>
    </row>
    <row r="396" spans="1:24" s="1" customFormat="1" ht="108" customHeight="1" x14ac:dyDescent="0.3">
      <c r="A396" s="11" t="s">
        <v>23</v>
      </c>
      <c r="B396" s="11" t="s">
        <v>491</v>
      </c>
      <c r="C396" s="12" t="s">
        <v>492</v>
      </c>
      <c r="D396" s="13"/>
      <c r="E396" s="43" t="str">
        <f>HYPERLINK("https://www.google.ru/search?q=52797-0365&amp;newwindow=1&amp;tbm=isch","Еще фото")</f>
        <v>Еще фото</v>
      </c>
      <c r="F396" s="14"/>
      <c r="G396" s="11" t="s">
        <v>237</v>
      </c>
      <c r="H396" s="11" t="s">
        <v>27</v>
      </c>
      <c r="I396" s="15" t="s">
        <v>237</v>
      </c>
      <c r="J396" s="15" t="s">
        <v>37</v>
      </c>
      <c r="K396" s="16" t="s">
        <v>29</v>
      </c>
      <c r="L396" s="15" t="s">
        <v>459</v>
      </c>
      <c r="M396" s="15"/>
      <c r="N396" s="15" t="s">
        <v>130</v>
      </c>
      <c r="O396" s="15"/>
      <c r="P396" s="16" t="s">
        <v>493</v>
      </c>
      <c r="Q396" s="17">
        <v>22099</v>
      </c>
      <c r="R396" s="18">
        <v>49.06</v>
      </c>
      <c r="S396" s="19">
        <v>12946.4355</v>
      </c>
      <c r="T396" s="20" t="s">
        <v>75</v>
      </c>
      <c r="U396" s="21" t="s">
        <v>76</v>
      </c>
      <c r="V396" s="22">
        <v>40</v>
      </c>
      <c r="W396" s="22">
        <v>1</v>
      </c>
      <c r="X396" s="23"/>
    </row>
    <row r="397" spans="1:24" s="1" customFormat="1" ht="52.05" customHeight="1" x14ac:dyDescent="0.3">
      <c r="A397" s="11" t="s">
        <v>23</v>
      </c>
      <c r="B397" s="11" t="s">
        <v>494</v>
      </c>
      <c r="C397" s="12" t="s">
        <v>495</v>
      </c>
      <c r="D397" s="63"/>
      <c r="E397" s="43" t="str">
        <f>HYPERLINK("https://www.google.ru/search?q=22791-0096&amp;newwindow=1&amp;tbm=isch","Еще фото")</f>
        <v>Еще фото</v>
      </c>
      <c r="F397" s="14"/>
      <c r="G397" s="11" t="s">
        <v>237</v>
      </c>
      <c r="H397" s="11" t="s">
        <v>27</v>
      </c>
      <c r="I397" s="15" t="s">
        <v>237</v>
      </c>
      <c r="J397" s="15" t="s">
        <v>28</v>
      </c>
      <c r="K397" s="16" t="s">
        <v>29</v>
      </c>
      <c r="L397" s="60" t="s">
        <v>496</v>
      </c>
      <c r="M397" s="15" t="s">
        <v>72</v>
      </c>
      <c r="N397" s="15" t="s">
        <v>130</v>
      </c>
      <c r="O397" s="15"/>
      <c r="P397" s="16" t="s">
        <v>497</v>
      </c>
      <c r="Q397" s="17">
        <v>15699</v>
      </c>
      <c r="R397" s="18">
        <v>49.06</v>
      </c>
      <c r="S397" s="19">
        <v>9197.4354999999996</v>
      </c>
      <c r="T397" s="20" t="s">
        <v>75</v>
      </c>
      <c r="U397" s="21" t="s">
        <v>76</v>
      </c>
      <c r="V397" s="22">
        <v>40</v>
      </c>
      <c r="W397" s="22">
        <v>5</v>
      </c>
      <c r="X397" s="23"/>
    </row>
    <row r="398" spans="1:24" s="1" customFormat="1" ht="61.05" customHeight="1" x14ac:dyDescent="0.3">
      <c r="A398" s="24" t="s">
        <v>23</v>
      </c>
      <c r="B398" s="24" t="s">
        <v>494</v>
      </c>
      <c r="C398" s="12" t="s">
        <v>495</v>
      </c>
      <c r="D398" s="64"/>
      <c r="E398" s="43" t="str">
        <f>HYPERLINK("https://www.google.ru/search?q=22791-0096&amp;newwindow=1&amp;tbm=isch","Еще фото")</f>
        <v>Еще фото</v>
      </c>
      <c r="F398" s="14"/>
      <c r="G398" s="24" t="s">
        <v>237</v>
      </c>
      <c r="H398" s="24" t="s">
        <v>27</v>
      </c>
      <c r="I398" s="24" t="s">
        <v>237</v>
      </c>
      <c r="J398" s="15" t="s">
        <v>28</v>
      </c>
      <c r="K398" s="16" t="s">
        <v>29</v>
      </c>
      <c r="L398" s="62"/>
      <c r="M398" s="15" t="s">
        <v>72</v>
      </c>
      <c r="N398" s="15" t="s">
        <v>130</v>
      </c>
      <c r="O398" s="15"/>
      <c r="P398" s="16" t="s">
        <v>497</v>
      </c>
      <c r="Q398" s="17">
        <v>15699</v>
      </c>
      <c r="R398" s="18">
        <v>49.06</v>
      </c>
      <c r="S398" s="19">
        <v>9197.4354999999996</v>
      </c>
      <c r="T398" s="20" t="s">
        <v>75</v>
      </c>
      <c r="U398" s="21" t="s">
        <v>255</v>
      </c>
      <c r="V398" s="22">
        <v>40</v>
      </c>
      <c r="W398" s="22">
        <v>2</v>
      </c>
      <c r="X398" s="23"/>
    </row>
    <row r="399" spans="1:24" s="1" customFormat="1" ht="14" customHeight="1" x14ac:dyDescent="0.3">
      <c r="A399" s="11" t="s">
        <v>23</v>
      </c>
      <c r="B399" s="11" t="s">
        <v>498</v>
      </c>
      <c r="C399" s="12" t="s">
        <v>499</v>
      </c>
      <c r="D399" s="57"/>
      <c r="E399" s="43" t="str">
        <f t="shared" ref="E399:E405" si="21">HYPERLINK("https://www.google.ru/search?q=28833-1163&amp;newwindow=1&amp;tbm=isch","Еще фото")</f>
        <v>Еще фото</v>
      </c>
      <c r="F399" s="14"/>
      <c r="G399" s="11" t="s">
        <v>237</v>
      </c>
      <c r="H399" s="11" t="s">
        <v>27</v>
      </c>
      <c r="I399" s="15" t="s">
        <v>237</v>
      </c>
      <c r="J399" s="15" t="s">
        <v>28</v>
      </c>
      <c r="K399" s="16" t="s">
        <v>57</v>
      </c>
      <c r="L399" s="60" t="s">
        <v>500</v>
      </c>
      <c r="M399" s="15"/>
      <c r="N399" s="15" t="s">
        <v>138</v>
      </c>
      <c r="O399" s="15"/>
      <c r="P399" s="16" t="s">
        <v>254</v>
      </c>
      <c r="Q399" s="17">
        <v>19999</v>
      </c>
      <c r="R399" s="18">
        <v>48.86</v>
      </c>
      <c r="S399" s="19">
        <v>11761.9355</v>
      </c>
      <c r="T399" s="20" t="s">
        <v>75</v>
      </c>
      <c r="U399" s="21" t="s">
        <v>173</v>
      </c>
      <c r="V399" s="25" t="s">
        <v>63</v>
      </c>
      <c r="W399" s="22">
        <v>1</v>
      </c>
      <c r="X399" s="23"/>
    </row>
    <row r="400" spans="1:24" s="1" customFormat="1" ht="14" customHeight="1" x14ac:dyDescent="0.3">
      <c r="A400" s="24" t="s">
        <v>23</v>
      </c>
      <c r="B400" s="24" t="s">
        <v>498</v>
      </c>
      <c r="C400" s="12" t="s">
        <v>499</v>
      </c>
      <c r="D400" s="58"/>
      <c r="E400" s="43" t="str">
        <f t="shared" si="21"/>
        <v>Еще фото</v>
      </c>
      <c r="F400" s="14"/>
      <c r="G400" s="24" t="s">
        <v>237</v>
      </c>
      <c r="H400" s="24" t="s">
        <v>27</v>
      </c>
      <c r="I400" s="24" t="s">
        <v>237</v>
      </c>
      <c r="J400" s="15" t="s">
        <v>28</v>
      </c>
      <c r="K400" s="16" t="s">
        <v>57</v>
      </c>
      <c r="L400" s="61"/>
      <c r="M400" s="15"/>
      <c r="N400" s="15" t="s">
        <v>138</v>
      </c>
      <c r="O400" s="15"/>
      <c r="P400" s="16" t="s">
        <v>254</v>
      </c>
      <c r="Q400" s="17">
        <v>19999</v>
      </c>
      <c r="R400" s="18">
        <v>48.86</v>
      </c>
      <c r="S400" s="19">
        <v>11761.9355</v>
      </c>
      <c r="T400" s="20" t="s">
        <v>75</v>
      </c>
      <c r="U400" s="21" t="s">
        <v>53</v>
      </c>
      <c r="V400" s="22">
        <v>46</v>
      </c>
      <c r="W400" s="22">
        <v>1</v>
      </c>
      <c r="X400" s="23"/>
    </row>
    <row r="401" spans="1:24" s="1" customFormat="1" ht="14" customHeight="1" x14ac:dyDescent="0.3">
      <c r="A401" s="24" t="s">
        <v>23</v>
      </c>
      <c r="B401" s="24" t="s">
        <v>498</v>
      </c>
      <c r="C401" s="12" t="s">
        <v>499</v>
      </c>
      <c r="D401" s="58"/>
      <c r="E401" s="43" t="str">
        <f t="shared" si="21"/>
        <v>Еще фото</v>
      </c>
      <c r="F401" s="14"/>
      <c r="G401" s="24" t="s">
        <v>237</v>
      </c>
      <c r="H401" s="24" t="s">
        <v>27</v>
      </c>
      <c r="I401" s="24" t="s">
        <v>237</v>
      </c>
      <c r="J401" s="15" t="s">
        <v>28</v>
      </c>
      <c r="K401" s="16" t="s">
        <v>57</v>
      </c>
      <c r="L401" s="61"/>
      <c r="M401" s="15"/>
      <c r="N401" s="15" t="s">
        <v>138</v>
      </c>
      <c r="O401" s="15"/>
      <c r="P401" s="16" t="s">
        <v>254</v>
      </c>
      <c r="Q401" s="17">
        <v>19999</v>
      </c>
      <c r="R401" s="18">
        <v>48.86</v>
      </c>
      <c r="S401" s="19">
        <v>11761.9355</v>
      </c>
      <c r="T401" s="20" t="s">
        <v>75</v>
      </c>
      <c r="U401" s="21" t="s">
        <v>109</v>
      </c>
      <c r="V401" s="25" t="s">
        <v>65</v>
      </c>
      <c r="W401" s="22">
        <v>1</v>
      </c>
      <c r="X401" s="23"/>
    </row>
    <row r="402" spans="1:24" s="1" customFormat="1" ht="14" customHeight="1" x14ac:dyDescent="0.3">
      <c r="A402" s="24" t="s">
        <v>23</v>
      </c>
      <c r="B402" s="24" t="s">
        <v>498</v>
      </c>
      <c r="C402" s="12" t="s">
        <v>499</v>
      </c>
      <c r="D402" s="58"/>
      <c r="E402" s="43" t="str">
        <f t="shared" si="21"/>
        <v>Еще фото</v>
      </c>
      <c r="F402" s="14"/>
      <c r="G402" s="24" t="s">
        <v>237</v>
      </c>
      <c r="H402" s="24" t="s">
        <v>27</v>
      </c>
      <c r="I402" s="24" t="s">
        <v>237</v>
      </c>
      <c r="J402" s="15" t="s">
        <v>28</v>
      </c>
      <c r="K402" s="16" t="s">
        <v>57</v>
      </c>
      <c r="L402" s="61"/>
      <c r="M402" s="15"/>
      <c r="N402" s="15" t="s">
        <v>138</v>
      </c>
      <c r="O402" s="15"/>
      <c r="P402" s="16" t="s">
        <v>254</v>
      </c>
      <c r="Q402" s="17">
        <v>19999</v>
      </c>
      <c r="R402" s="18">
        <v>48.86</v>
      </c>
      <c r="S402" s="19">
        <v>11761.9355</v>
      </c>
      <c r="T402" s="20" t="s">
        <v>75</v>
      </c>
      <c r="U402" s="21" t="s">
        <v>140</v>
      </c>
      <c r="V402" s="25" t="s">
        <v>65</v>
      </c>
      <c r="W402" s="22">
        <v>1</v>
      </c>
      <c r="X402" s="23"/>
    </row>
    <row r="403" spans="1:24" s="1" customFormat="1" ht="14" customHeight="1" x14ac:dyDescent="0.3">
      <c r="A403" s="24" t="s">
        <v>23</v>
      </c>
      <c r="B403" s="24" t="s">
        <v>498</v>
      </c>
      <c r="C403" s="12" t="s">
        <v>499</v>
      </c>
      <c r="D403" s="58"/>
      <c r="E403" s="43" t="str">
        <f t="shared" si="21"/>
        <v>Еще фото</v>
      </c>
      <c r="F403" s="14"/>
      <c r="G403" s="24" t="s">
        <v>237</v>
      </c>
      <c r="H403" s="24" t="s">
        <v>27</v>
      </c>
      <c r="I403" s="24" t="s">
        <v>237</v>
      </c>
      <c r="J403" s="15" t="s">
        <v>28</v>
      </c>
      <c r="K403" s="16" t="s">
        <v>57</v>
      </c>
      <c r="L403" s="61"/>
      <c r="M403" s="15"/>
      <c r="N403" s="15" t="s">
        <v>138</v>
      </c>
      <c r="O403" s="15"/>
      <c r="P403" s="16" t="s">
        <v>254</v>
      </c>
      <c r="Q403" s="17">
        <v>19999</v>
      </c>
      <c r="R403" s="18">
        <v>48.86</v>
      </c>
      <c r="S403" s="19">
        <v>11761.9355</v>
      </c>
      <c r="T403" s="20" t="s">
        <v>75</v>
      </c>
      <c r="U403" s="21" t="s">
        <v>104</v>
      </c>
      <c r="V403" s="22">
        <v>48</v>
      </c>
      <c r="W403" s="22">
        <v>3</v>
      </c>
      <c r="X403" s="23"/>
    </row>
    <row r="404" spans="1:24" s="1" customFormat="1" ht="14" customHeight="1" x14ac:dyDescent="0.3">
      <c r="A404" s="24" t="s">
        <v>23</v>
      </c>
      <c r="B404" s="24" t="s">
        <v>498</v>
      </c>
      <c r="C404" s="12" t="s">
        <v>499</v>
      </c>
      <c r="D404" s="58"/>
      <c r="E404" s="43" t="str">
        <f t="shared" si="21"/>
        <v>Еще фото</v>
      </c>
      <c r="F404" s="14"/>
      <c r="G404" s="24" t="s">
        <v>237</v>
      </c>
      <c r="H404" s="24" t="s">
        <v>27</v>
      </c>
      <c r="I404" s="24" t="s">
        <v>237</v>
      </c>
      <c r="J404" s="15" t="s">
        <v>28</v>
      </c>
      <c r="K404" s="16" t="s">
        <v>57</v>
      </c>
      <c r="L404" s="61"/>
      <c r="M404" s="15"/>
      <c r="N404" s="15" t="s">
        <v>138</v>
      </c>
      <c r="O404" s="15"/>
      <c r="P404" s="16" t="s">
        <v>254</v>
      </c>
      <c r="Q404" s="17">
        <v>19999</v>
      </c>
      <c r="R404" s="18">
        <v>48.86</v>
      </c>
      <c r="S404" s="19">
        <v>11761.9355</v>
      </c>
      <c r="T404" s="20" t="s">
        <v>75</v>
      </c>
      <c r="U404" s="21" t="s">
        <v>166</v>
      </c>
      <c r="V404" s="25" t="s">
        <v>96</v>
      </c>
      <c r="W404" s="22">
        <v>2</v>
      </c>
      <c r="X404" s="23"/>
    </row>
    <row r="405" spans="1:24" s="1" customFormat="1" ht="17" customHeight="1" x14ac:dyDescent="0.3">
      <c r="A405" s="24" t="s">
        <v>23</v>
      </c>
      <c r="B405" s="24" t="s">
        <v>498</v>
      </c>
      <c r="C405" s="12" t="s">
        <v>499</v>
      </c>
      <c r="D405" s="59"/>
      <c r="E405" s="43" t="str">
        <f t="shared" si="21"/>
        <v>Еще фото</v>
      </c>
      <c r="F405" s="14"/>
      <c r="G405" s="24" t="s">
        <v>237</v>
      </c>
      <c r="H405" s="24" t="s">
        <v>27</v>
      </c>
      <c r="I405" s="24" t="s">
        <v>237</v>
      </c>
      <c r="J405" s="15" t="s">
        <v>28</v>
      </c>
      <c r="K405" s="16" t="s">
        <v>57</v>
      </c>
      <c r="L405" s="62"/>
      <c r="M405" s="15"/>
      <c r="N405" s="15" t="s">
        <v>138</v>
      </c>
      <c r="O405" s="15"/>
      <c r="P405" s="16" t="s">
        <v>254</v>
      </c>
      <c r="Q405" s="17">
        <v>19999</v>
      </c>
      <c r="R405" s="18">
        <v>48.86</v>
      </c>
      <c r="S405" s="19">
        <v>11761.9355</v>
      </c>
      <c r="T405" s="20" t="s">
        <v>75</v>
      </c>
      <c r="U405" s="21" t="s">
        <v>100</v>
      </c>
      <c r="V405" s="22">
        <v>50</v>
      </c>
      <c r="W405" s="22">
        <v>1</v>
      </c>
      <c r="X405" s="23"/>
    </row>
    <row r="406" spans="1:24" s="1" customFormat="1" ht="21" customHeight="1" x14ac:dyDescent="0.3">
      <c r="A406" s="11" t="s">
        <v>23</v>
      </c>
      <c r="B406" s="11" t="s">
        <v>501</v>
      </c>
      <c r="C406" s="30" t="s">
        <v>502</v>
      </c>
      <c r="D406" s="57"/>
      <c r="E406" s="43" t="str">
        <f>HYPERLINK("https://www.google.ru/search?q=00501-3467&amp;newwindow=1&amp;tbm=isch","Еще фото")</f>
        <v>Еще фото</v>
      </c>
      <c r="F406" s="14"/>
      <c r="G406" s="11" t="s">
        <v>237</v>
      </c>
      <c r="H406" s="11" t="s">
        <v>27</v>
      </c>
      <c r="I406" s="15" t="s">
        <v>237</v>
      </c>
      <c r="J406" s="15" t="s">
        <v>37</v>
      </c>
      <c r="K406" s="16" t="s">
        <v>57</v>
      </c>
      <c r="L406" s="60" t="s">
        <v>503</v>
      </c>
      <c r="M406" s="15"/>
      <c r="N406" s="15" t="s">
        <v>130</v>
      </c>
      <c r="O406" s="15"/>
      <c r="P406" s="16" t="s">
        <v>32</v>
      </c>
      <c r="Q406" s="17">
        <v>22099</v>
      </c>
      <c r="R406" s="18">
        <v>48.83</v>
      </c>
      <c r="S406" s="19">
        <v>13003.9355</v>
      </c>
      <c r="T406" s="20" t="s">
        <v>75</v>
      </c>
      <c r="U406" s="21" t="s">
        <v>95</v>
      </c>
      <c r="V406" s="22">
        <v>48</v>
      </c>
      <c r="W406" s="22">
        <v>4</v>
      </c>
      <c r="X406" s="23"/>
    </row>
    <row r="407" spans="1:24" s="1" customFormat="1" ht="21" customHeight="1" x14ac:dyDescent="0.3">
      <c r="A407" s="24" t="s">
        <v>23</v>
      </c>
      <c r="B407" s="24" t="s">
        <v>501</v>
      </c>
      <c r="C407" s="31" t="s">
        <v>502</v>
      </c>
      <c r="D407" s="58"/>
      <c r="E407" s="43" t="str">
        <f>HYPERLINK("https://www.google.ru/search?q=00501-3467&amp;newwindow=1&amp;tbm=isch","Еще фото")</f>
        <v>Еще фото</v>
      </c>
      <c r="F407" s="14"/>
      <c r="G407" s="24" t="s">
        <v>237</v>
      </c>
      <c r="H407" s="24" t="s">
        <v>27</v>
      </c>
      <c r="I407" s="24" t="s">
        <v>237</v>
      </c>
      <c r="J407" s="15" t="s">
        <v>37</v>
      </c>
      <c r="K407" s="16" t="s">
        <v>57</v>
      </c>
      <c r="L407" s="61"/>
      <c r="M407" s="15"/>
      <c r="N407" s="15" t="s">
        <v>130</v>
      </c>
      <c r="O407" s="15"/>
      <c r="P407" s="16" t="s">
        <v>32</v>
      </c>
      <c r="Q407" s="17">
        <v>22099</v>
      </c>
      <c r="R407" s="18">
        <v>48.83</v>
      </c>
      <c r="S407" s="19">
        <v>13003.9355</v>
      </c>
      <c r="T407" s="20" t="s">
        <v>75</v>
      </c>
      <c r="U407" s="21" t="s">
        <v>104</v>
      </c>
      <c r="V407" s="22">
        <v>48</v>
      </c>
      <c r="W407" s="22">
        <v>1</v>
      </c>
      <c r="X407" s="23"/>
    </row>
    <row r="408" spans="1:24" s="1" customFormat="1" ht="21" customHeight="1" x14ac:dyDescent="0.3">
      <c r="A408" s="24" t="s">
        <v>23</v>
      </c>
      <c r="B408" s="24" t="s">
        <v>501</v>
      </c>
      <c r="C408" s="31" t="s">
        <v>502</v>
      </c>
      <c r="D408" s="58"/>
      <c r="E408" s="43" t="str">
        <f>HYPERLINK("https://www.google.ru/search?q=00501-3467&amp;newwindow=1&amp;tbm=isch","Еще фото")</f>
        <v>Еще фото</v>
      </c>
      <c r="F408" s="14"/>
      <c r="G408" s="24" t="s">
        <v>237</v>
      </c>
      <c r="H408" s="24" t="s">
        <v>27</v>
      </c>
      <c r="I408" s="24" t="s">
        <v>237</v>
      </c>
      <c r="J408" s="15" t="s">
        <v>37</v>
      </c>
      <c r="K408" s="16" t="s">
        <v>57</v>
      </c>
      <c r="L408" s="61"/>
      <c r="M408" s="15"/>
      <c r="N408" s="15" t="s">
        <v>130</v>
      </c>
      <c r="O408" s="15"/>
      <c r="P408" s="16" t="s">
        <v>32</v>
      </c>
      <c r="Q408" s="17">
        <v>22099</v>
      </c>
      <c r="R408" s="18">
        <v>48.83</v>
      </c>
      <c r="S408" s="19">
        <v>13003.9355</v>
      </c>
      <c r="T408" s="20" t="s">
        <v>75</v>
      </c>
      <c r="U408" s="21" t="s">
        <v>203</v>
      </c>
      <c r="V408" s="22">
        <v>50</v>
      </c>
      <c r="W408" s="22">
        <v>1</v>
      </c>
      <c r="X408" s="23"/>
    </row>
    <row r="409" spans="1:24" s="1" customFormat="1" ht="21" customHeight="1" x14ac:dyDescent="0.3">
      <c r="A409" s="24" t="s">
        <v>23</v>
      </c>
      <c r="B409" s="24" t="s">
        <v>501</v>
      </c>
      <c r="C409" s="31" t="s">
        <v>502</v>
      </c>
      <c r="D409" s="58"/>
      <c r="E409" s="43" t="str">
        <f>HYPERLINK("https://www.google.ru/search?q=00501-3467&amp;newwindow=1&amp;tbm=isch","Еще фото")</f>
        <v>Еще фото</v>
      </c>
      <c r="F409" s="14"/>
      <c r="G409" s="24" t="s">
        <v>237</v>
      </c>
      <c r="H409" s="24" t="s">
        <v>27</v>
      </c>
      <c r="I409" s="24" t="s">
        <v>237</v>
      </c>
      <c r="J409" s="15" t="s">
        <v>37</v>
      </c>
      <c r="K409" s="16" t="s">
        <v>57</v>
      </c>
      <c r="L409" s="61"/>
      <c r="M409" s="15"/>
      <c r="N409" s="15" t="s">
        <v>130</v>
      </c>
      <c r="O409" s="15"/>
      <c r="P409" s="16" t="s">
        <v>32</v>
      </c>
      <c r="Q409" s="17">
        <v>22099</v>
      </c>
      <c r="R409" s="18">
        <v>48.83</v>
      </c>
      <c r="S409" s="19">
        <v>13003.9355</v>
      </c>
      <c r="T409" s="20" t="s">
        <v>75</v>
      </c>
      <c r="U409" s="21" t="s">
        <v>100</v>
      </c>
      <c r="V409" s="22">
        <v>50</v>
      </c>
      <c r="W409" s="22">
        <v>2</v>
      </c>
      <c r="X409" s="23"/>
    </row>
    <row r="410" spans="1:24" s="1" customFormat="1" ht="32" customHeight="1" x14ac:dyDescent="0.3">
      <c r="A410" s="24" t="s">
        <v>23</v>
      </c>
      <c r="B410" s="24" t="s">
        <v>501</v>
      </c>
      <c r="C410" s="31" t="s">
        <v>502</v>
      </c>
      <c r="D410" s="59"/>
      <c r="E410" s="43" t="str">
        <f>HYPERLINK("https://www.google.ru/search?q=00501-3467&amp;newwindow=1&amp;tbm=isch","Еще фото")</f>
        <v>Еще фото</v>
      </c>
      <c r="F410" s="14"/>
      <c r="G410" s="24" t="s">
        <v>237</v>
      </c>
      <c r="H410" s="24" t="s">
        <v>27</v>
      </c>
      <c r="I410" s="24" t="s">
        <v>237</v>
      </c>
      <c r="J410" s="15" t="s">
        <v>37</v>
      </c>
      <c r="K410" s="16" t="s">
        <v>57</v>
      </c>
      <c r="L410" s="62"/>
      <c r="M410" s="15"/>
      <c r="N410" s="15" t="s">
        <v>130</v>
      </c>
      <c r="O410" s="15"/>
      <c r="P410" s="16" t="s">
        <v>32</v>
      </c>
      <c r="Q410" s="17">
        <v>22099</v>
      </c>
      <c r="R410" s="18">
        <v>48.83</v>
      </c>
      <c r="S410" s="19">
        <v>13003.9355</v>
      </c>
      <c r="T410" s="20" t="s">
        <v>75</v>
      </c>
      <c r="U410" s="21" t="s">
        <v>168</v>
      </c>
      <c r="V410" s="22">
        <v>52</v>
      </c>
      <c r="W410" s="22">
        <v>2</v>
      </c>
      <c r="X410" s="23"/>
    </row>
    <row r="411" spans="1:24" s="1" customFormat="1" ht="11" customHeight="1" x14ac:dyDescent="0.3">
      <c r="A411" s="11" t="s">
        <v>23</v>
      </c>
      <c r="B411" s="11" t="s">
        <v>363</v>
      </c>
      <c r="C411" s="12" t="s">
        <v>504</v>
      </c>
      <c r="D411" s="57"/>
      <c r="E411" s="43" t="str">
        <f t="shared" ref="E411:E422" si="22">HYPERLINK("https://www.google.ru/search?q=18882-0888&amp;newwindow=1&amp;tbm=isch","Еще фото")</f>
        <v>Еще фото</v>
      </c>
      <c r="F411" s="14" t="s">
        <v>182</v>
      </c>
      <c r="G411" s="11" t="s">
        <v>237</v>
      </c>
      <c r="H411" s="11" t="s">
        <v>27</v>
      </c>
      <c r="I411" s="15" t="s">
        <v>237</v>
      </c>
      <c r="J411" s="15" t="s">
        <v>37</v>
      </c>
      <c r="K411" s="16" t="s">
        <v>29</v>
      </c>
      <c r="L411" s="60" t="s">
        <v>505</v>
      </c>
      <c r="M411" s="15"/>
      <c r="N411" s="15" t="s">
        <v>138</v>
      </c>
      <c r="O411" s="15"/>
      <c r="P411" s="16" t="s">
        <v>506</v>
      </c>
      <c r="Q411" s="17">
        <v>15199</v>
      </c>
      <c r="R411" s="18">
        <v>48.83</v>
      </c>
      <c r="S411" s="19">
        <v>8944.4354999999996</v>
      </c>
      <c r="T411" s="20" t="s">
        <v>75</v>
      </c>
      <c r="U411" s="21" t="s">
        <v>46</v>
      </c>
      <c r="V411" s="22">
        <v>42</v>
      </c>
      <c r="W411" s="22">
        <v>8</v>
      </c>
      <c r="X411" s="23"/>
    </row>
    <row r="412" spans="1:24" s="1" customFormat="1" ht="11" customHeight="1" x14ac:dyDescent="0.3">
      <c r="A412" s="24" t="s">
        <v>23</v>
      </c>
      <c r="B412" s="24" t="s">
        <v>363</v>
      </c>
      <c r="C412" s="12" t="s">
        <v>504</v>
      </c>
      <c r="D412" s="58"/>
      <c r="E412" s="43" t="str">
        <f t="shared" si="22"/>
        <v>Еще фото</v>
      </c>
      <c r="F412" s="14" t="s">
        <v>182</v>
      </c>
      <c r="G412" s="24" t="s">
        <v>237</v>
      </c>
      <c r="H412" s="24" t="s">
        <v>27</v>
      </c>
      <c r="I412" s="24" t="s">
        <v>237</v>
      </c>
      <c r="J412" s="15" t="s">
        <v>37</v>
      </c>
      <c r="K412" s="16" t="s">
        <v>29</v>
      </c>
      <c r="L412" s="61"/>
      <c r="M412" s="15"/>
      <c r="N412" s="15" t="s">
        <v>138</v>
      </c>
      <c r="O412" s="15"/>
      <c r="P412" s="16" t="s">
        <v>506</v>
      </c>
      <c r="Q412" s="17">
        <v>15199</v>
      </c>
      <c r="R412" s="18">
        <v>48.83</v>
      </c>
      <c r="S412" s="19">
        <v>8944.4354999999996</v>
      </c>
      <c r="T412" s="20" t="s">
        <v>75</v>
      </c>
      <c r="U412" s="21" t="s">
        <v>158</v>
      </c>
      <c r="V412" s="22">
        <v>42</v>
      </c>
      <c r="W412" s="22">
        <v>8</v>
      </c>
      <c r="X412" s="23"/>
    </row>
    <row r="413" spans="1:24" s="1" customFormat="1" ht="11" customHeight="1" x14ac:dyDescent="0.3">
      <c r="A413" s="24" t="s">
        <v>23</v>
      </c>
      <c r="B413" s="24" t="s">
        <v>363</v>
      </c>
      <c r="C413" s="12" t="s">
        <v>504</v>
      </c>
      <c r="D413" s="58"/>
      <c r="E413" s="43" t="str">
        <f t="shared" si="22"/>
        <v>Еще фото</v>
      </c>
      <c r="F413" s="14" t="s">
        <v>182</v>
      </c>
      <c r="G413" s="24" t="s">
        <v>237</v>
      </c>
      <c r="H413" s="24" t="s">
        <v>27</v>
      </c>
      <c r="I413" s="24" t="s">
        <v>237</v>
      </c>
      <c r="J413" s="15" t="s">
        <v>37</v>
      </c>
      <c r="K413" s="16" t="s">
        <v>29</v>
      </c>
      <c r="L413" s="61"/>
      <c r="M413" s="15"/>
      <c r="N413" s="15" t="s">
        <v>138</v>
      </c>
      <c r="O413" s="15"/>
      <c r="P413" s="16" t="s">
        <v>506</v>
      </c>
      <c r="Q413" s="17">
        <v>15199</v>
      </c>
      <c r="R413" s="18">
        <v>48.83</v>
      </c>
      <c r="S413" s="19">
        <v>8944.4354999999996</v>
      </c>
      <c r="T413" s="20" t="s">
        <v>75</v>
      </c>
      <c r="U413" s="21" t="s">
        <v>47</v>
      </c>
      <c r="V413" s="25" t="s">
        <v>48</v>
      </c>
      <c r="W413" s="22">
        <v>5</v>
      </c>
      <c r="X413" s="23"/>
    </row>
    <row r="414" spans="1:24" s="1" customFormat="1" ht="11" customHeight="1" x14ac:dyDescent="0.3">
      <c r="A414" s="24" t="s">
        <v>23</v>
      </c>
      <c r="B414" s="24" t="s">
        <v>363</v>
      </c>
      <c r="C414" s="12" t="s">
        <v>504</v>
      </c>
      <c r="D414" s="58"/>
      <c r="E414" s="43" t="str">
        <f t="shared" si="22"/>
        <v>Еще фото</v>
      </c>
      <c r="F414" s="14" t="s">
        <v>182</v>
      </c>
      <c r="G414" s="24" t="s">
        <v>237</v>
      </c>
      <c r="H414" s="24" t="s">
        <v>27</v>
      </c>
      <c r="I414" s="24" t="s">
        <v>237</v>
      </c>
      <c r="J414" s="15" t="s">
        <v>37</v>
      </c>
      <c r="K414" s="16" t="s">
        <v>29</v>
      </c>
      <c r="L414" s="61"/>
      <c r="M414" s="15"/>
      <c r="N414" s="15" t="s">
        <v>138</v>
      </c>
      <c r="O414" s="15"/>
      <c r="P414" s="16" t="s">
        <v>506</v>
      </c>
      <c r="Q414" s="17">
        <v>15199</v>
      </c>
      <c r="R414" s="18">
        <v>48.83</v>
      </c>
      <c r="S414" s="19">
        <v>8944.4354999999996</v>
      </c>
      <c r="T414" s="20" t="s">
        <v>75</v>
      </c>
      <c r="U414" s="21" t="s">
        <v>49</v>
      </c>
      <c r="V414" s="25" t="s">
        <v>48</v>
      </c>
      <c r="W414" s="22">
        <v>6</v>
      </c>
      <c r="X414" s="23"/>
    </row>
    <row r="415" spans="1:24" s="1" customFormat="1" ht="11" customHeight="1" x14ac:dyDescent="0.3">
      <c r="A415" s="24" t="s">
        <v>23</v>
      </c>
      <c r="B415" s="24" t="s">
        <v>363</v>
      </c>
      <c r="C415" s="12" t="s">
        <v>504</v>
      </c>
      <c r="D415" s="58"/>
      <c r="E415" s="43" t="str">
        <f t="shared" si="22"/>
        <v>Еще фото</v>
      </c>
      <c r="F415" s="14" t="s">
        <v>182</v>
      </c>
      <c r="G415" s="24" t="s">
        <v>237</v>
      </c>
      <c r="H415" s="24" t="s">
        <v>27</v>
      </c>
      <c r="I415" s="24" t="s">
        <v>237</v>
      </c>
      <c r="J415" s="15" t="s">
        <v>37</v>
      </c>
      <c r="K415" s="16" t="s">
        <v>29</v>
      </c>
      <c r="L415" s="61"/>
      <c r="M415" s="15"/>
      <c r="N415" s="15" t="s">
        <v>138</v>
      </c>
      <c r="O415" s="15"/>
      <c r="P415" s="16" t="s">
        <v>506</v>
      </c>
      <c r="Q415" s="17">
        <v>15199</v>
      </c>
      <c r="R415" s="18">
        <v>48.83</v>
      </c>
      <c r="S415" s="19">
        <v>8944.4354999999996</v>
      </c>
      <c r="T415" s="20" t="s">
        <v>75</v>
      </c>
      <c r="U415" s="21" t="s">
        <v>50</v>
      </c>
      <c r="V415" s="22">
        <v>44</v>
      </c>
      <c r="W415" s="22">
        <v>3</v>
      </c>
      <c r="X415" s="23"/>
    </row>
    <row r="416" spans="1:24" s="1" customFormat="1" ht="11" customHeight="1" x14ac:dyDescent="0.3">
      <c r="A416" s="24" t="s">
        <v>23</v>
      </c>
      <c r="B416" s="24" t="s">
        <v>363</v>
      </c>
      <c r="C416" s="12" t="s">
        <v>504</v>
      </c>
      <c r="D416" s="58"/>
      <c r="E416" s="43" t="str">
        <f t="shared" si="22"/>
        <v>Еще фото</v>
      </c>
      <c r="F416" s="14" t="s">
        <v>182</v>
      </c>
      <c r="G416" s="24" t="s">
        <v>237</v>
      </c>
      <c r="H416" s="24" t="s">
        <v>27</v>
      </c>
      <c r="I416" s="24" t="s">
        <v>237</v>
      </c>
      <c r="J416" s="15" t="s">
        <v>37</v>
      </c>
      <c r="K416" s="16" t="s">
        <v>29</v>
      </c>
      <c r="L416" s="61"/>
      <c r="M416" s="15"/>
      <c r="N416" s="15" t="s">
        <v>138</v>
      </c>
      <c r="O416" s="15"/>
      <c r="P416" s="16" t="s">
        <v>506</v>
      </c>
      <c r="Q416" s="17">
        <v>15199</v>
      </c>
      <c r="R416" s="18">
        <v>48.83</v>
      </c>
      <c r="S416" s="19">
        <v>8944.4354999999996</v>
      </c>
      <c r="T416" s="20" t="s">
        <v>75</v>
      </c>
      <c r="U416" s="21" t="s">
        <v>51</v>
      </c>
      <c r="V416" s="22">
        <v>44</v>
      </c>
      <c r="W416" s="22">
        <v>3</v>
      </c>
      <c r="X416" s="23"/>
    </row>
    <row r="417" spans="1:24" s="1" customFormat="1" ht="11" customHeight="1" x14ac:dyDescent="0.3">
      <c r="A417" s="24" t="s">
        <v>23</v>
      </c>
      <c r="B417" s="24" t="s">
        <v>363</v>
      </c>
      <c r="C417" s="12" t="s">
        <v>504</v>
      </c>
      <c r="D417" s="58"/>
      <c r="E417" s="43" t="str">
        <f t="shared" si="22"/>
        <v>Еще фото</v>
      </c>
      <c r="F417" s="14" t="s">
        <v>182</v>
      </c>
      <c r="G417" s="24" t="s">
        <v>237</v>
      </c>
      <c r="H417" s="24" t="s">
        <v>27</v>
      </c>
      <c r="I417" s="24" t="s">
        <v>237</v>
      </c>
      <c r="J417" s="15" t="s">
        <v>37</v>
      </c>
      <c r="K417" s="16" t="s">
        <v>29</v>
      </c>
      <c r="L417" s="61"/>
      <c r="M417" s="15"/>
      <c r="N417" s="15" t="s">
        <v>138</v>
      </c>
      <c r="O417" s="15"/>
      <c r="P417" s="16" t="s">
        <v>506</v>
      </c>
      <c r="Q417" s="17">
        <v>15199</v>
      </c>
      <c r="R417" s="18">
        <v>48.83</v>
      </c>
      <c r="S417" s="19">
        <v>8944.4354999999996</v>
      </c>
      <c r="T417" s="20" t="s">
        <v>75</v>
      </c>
      <c r="U417" s="21" t="s">
        <v>230</v>
      </c>
      <c r="V417" s="22">
        <v>46</v>
      </c>
      <c r="W417" s="22">
        <v>10</v>
      </c>
      <c r="X417" s="23"/>
    </row>
    <row r="418" spans="1:24" s="1" customFormat="1" ht="11" customHeight="1" x14ac:dyDescent="0.3">
      <c r="A418" s="24" t="s">
        <v>23</v>
      </c>
      <c r="B418" s="24" t="s">
        <v>363</v>
      </c>
      <c r="C418" s="12" t="s">
        <v>504</v>
      </c>
      <c r="D418" s="58"/>
      <c r="E418" s="43" t="str">
        <f t="shared" si="22"/>
        <v>Еще фото</v>
      </c>
      <c r="F418" s="14" t="s">
        <v>182</v>
      </c>
      <c r="G418" s="24" t="s">
        <v>237</v>
      </c>
      <c r="H418" s="24" t="s">
        <v>27</v>
      </c>
      <c r="I418" s="24" t="s">
        <v>237</v>
      </c>
      <c r="J418" s="15" t="s">
        <v>37</v>
      </c>
      <c r="K418" s="16" t="s">
        <v>29</v>
      </c>
      <c r="L418" s="61"/>
      <c r="M418" s="15"/>
      <c r="N418" s="15" t="s">
        <v>138</v>
      </c>
      <c r="O418" s="15"/>
      <c r="P418" s="16" t="s">
        <v>506</v>
      </c>
      <c r="Q418" s="17">
        <v>15199</v>
      </c>
      <c r="R418" s="18">
        <v>48.83</v>
      </c>
      <c r="S418" s="19">
        <v>8944.4354999999996</v>
      </c>
      <c r="T418" s="20" t="s">
        <v>75</v>
      </c>
      <c r="U418" s="21" t="s">
        <v>173</v>
      </c>
      <c r="V418" s="22">
        <v>46</v>
      </c>
      <c r="W418" s="22">
        <v>9</v>
      </c>
      <c r="X418" s="23"/>
    </row>
    <row r="419" spans="1:24" s="1" customFormat="1" ht="11" customHeight="1" x14ac:dyDescent="0.3">
      <c r="A419" s="24" t="s">
        <v>23</v>
      </c>
      <c r="B419" s="24" t="s">
        <v>363</v>
      </c>
      <c r="C419" s="12" t="s">
        <v>504</v>
      </c>
      <c r="D419" s="58"/>
      <c r="E419" s="43" t="str">
        <f t="shared" si="22"/>
        <v>Еще фото</v>
      </c>
      <c r="F419" s="14" t="s">
        <v>182</v>
      </c>
      <c r="G419" s="24" t="s">
        <v>237</v>
      </c>
      <c r="H419" s="24" t="s">
        <v>27</v>
      </c>
      <c r="I419" s="24" t="s">
        <v>237</v>
      </c>
      <c r="J419" s="15" t="s">
        <v>37</v>
      </c>
      <c r="K419" s="16" t="s">
        <v>29</v>
      </c>
      <c r="L419" s="61"/>
      <c r="M419" s="15"/>
      <c r="N419" s="15" t="s">
        <v>138</v>
      </c>
      <c r="O419" s="15"/>
      <c r="P419" s="16" t="s">
        <v>506</v>
      </c>
      <c r="Q419" s="17">
        <v>15199</v>
      </c>
      <c r="R419" s="18">
        <v>48.83</v>
      </c>
      <c r="S419" s="19">
        <v>8944.4354999999996</v>
      </c>
      <c r="T419" s="20" t="s">
        <v>75</v>
      </c>
      <c r="U419" s="21" t="s">
        <v>52</v>
      </c>
      <c r="V419" s="22">
        <v>48</v>
      </c>
      <c r="W419" s="22">
        <v>8</v>
      </c>
      <c r="X419" s="23"/>
    </row>
    <row r="420" spans="1:24" s="1" customFormat="1" ht="11" customHeight="1" x14ac:dyDescent="0.3">
      <c r="A420" s="15" t="s">
        <v>23</v>
      </c>
      <c r="B420" s="15" t="s">
        <v>363</v>
      </c>
      <c r="C420" s="12" t="s">
        <v>504</v>
      </c>
      <c r="D420" s="58"/>
      <c r="E420" s="43" t="str">
        <f t="shared" si="22"/>
        <v>Еще фото</v>
      </c>
      <c r="F420" s="26" t="s">
        <v>182</v>
      </c>
      <c r="G420" s="15" t="s">
        <v>237</v>
      </c>
      <c r="H420" s="15" t="s">
        <v>27</v>
      </c>
      <c r="I420" s="15" t="s">
        <v>237</v>
      </c>
      <c r="J420" s="15" t="s">
        <v>37</v>
      </c>
      <c r="K420" s="15" t="s">
        <v>29</v>
      </c>
      <c r="L420" s="61"/>
      <c r="M420" s="15"/>
      <c r="N420" s="15" t="s">
        <v>138</v>
      </c>
      <c r="O420" s="15"/>
      <c r="P420" s="15" t="s">
        <v>506</v>
      </c>
      <c r="Q420" s="27">
        <v>15199</v>
      </c>
      <c r="R420" s="28">
        <v>48.83</v>
      </c>
      <c r="S420" s="29">
        <v>8944.4354999999996</v>
      </c>
      <c r="T420" s="20" t="s">
        <v>75</v>
      </c>
      <c r="U420" s="21" t="s">
        <v>53</v>
      </c>
      <c r="V420" s="22">
        <v>48</v>
      </c>
      <c r="W420" s="22">
        <v>8</v>
      </c>
      <c r="X420" s="23"/>
    </row>
    <row r="421" spans="1:24" s="1" customFormat="1" ht="11" customHeight="1" x14ac:dyDescent="0.3">
      <c r="A421" s="15" t="s">
        <v>23</v>
      </c>
      <c r="B421" s="15" t="s">
        <v>363</v>
      </c>
      <c r="C421" s="12" t="s">
        <v>504</v>
      </c>
      <c r="D421" s="58"/>
      <c r="E421" s="43" t="str">
        <f t="shared" si="22"/>
        <v>Еще фото</v>
      </c>
      <c r="F421" s="26" t="s">
        <v>182</v>
      </c>
      <c r="G421" s="15" t="s">
        <v>237</v>
      </c>
      <c r="H421" s="15" t="s">
        <v>27</v>
      </c>
      <c r="I421" s="15" t="s">
        <v>237</v>
      </c>
      <c r="J421" s="15" t="s">
        <v>37</v>
      </c>
      <c r="K421" s="15" t="s">
        <v>29</v>
      </c>
      <c r="L421" s="61"/>
      <c r="M421" s="15"/>
      <c r="N421" s="15" t="s">
        <v>138</v>
      </c>
      <c r="O421" s="15"/>
      <c r="P421" s="15" t="s">
        <v>506</v>
      </c>
      <c r="Q421" s="27">
        <v>15199</v>
      </c>
      <c r="R421" s="28">
        <v>48.83</v>
      </c>
      <c r="S421" s="29">
        <v>8944.4354999999996</v>
      </c>
      <c r="T421" s="20" t="s">
        <v>75</v>
      </c>
      <c r="U421" s="21" t="s">
        <v>188</v>
      </c>
      <c r="V421" s="25" t="s">
        <v>96</v>
      </c>
      <c r="W421" s="22">
        <v>8</v>
      </c>
      <c r="X421" s="23"/>
    </row>
    <row r="422" spans="1:24" s="1" customFormat="1" ht="11" customHeight="1" x14ac:dyDescent="0.3">
      <c r="A422" s="15" t="s">
        <v>23</v>
      </c>
      <c r="B422" s="15" t="s">
        <v>363</v>
      </c>
      <c r="C422" s="12" t="s">
        <v>504</v>
      </c>
      <c r="D422" s="59"/>
      <c r="E422" s="43" t="str">
        <f t="shared" si="22"/>
        <v>Еще фото</v>
      </c>
      <c r="F422" s="26" t="s">
        <v>182</v>
      </c>
      <c r="G422" s="15" t="s">
        <v>237</v>
      </c>
      <c r="H422" s="15" t="s">
        <v>27</v>
      </c>
      <c r="I422" s="15" t="s">
        <v>237</v>
      </c>
      <c r="J422" s="15" t="s">
        <v>37</v>
      </c>
      <c r="K422" s="15" t="s">
        <v>29</v>
      </c>
      <c r="L422" s="62"/>
      <c r="M422" s="15"/>
      <c r="N422" s="15" t="s">
        <v>138</v>
      </c>
      <c r="O422" s="15"/>
      <c r="P422" s="15" t="s">
        <v>506</v>
      </c>
      <c r="Q422" s="27">
        <v>15199</v>
      </c>
      <c r="R422" s="28">
        <v>48.83</v>
      </c>
      <c r="S422" s="29">
        <v>8944.4354999999996</v>
      </c>
      <c r="T422" s="20" t="s">
        <v>75</v>
      </c>
      <c r="U422" s="21" t="s">
        <v>109</v>
      </c>
      <c r="V422" s="25" t="s">
        <v>96</v>
      </c>
      <c r="W422" s="22">
        <v>8</v>
      </c>
      <c r="X422" s="23"/>
    </row>
    <row r="423" spans="1:24" s="1" customFormat="1" ht="13.05" customHeight="1" x14ac:dyDescent="0.3">
      <c r="A423" s="11" t="s">
        <v>23</v>
      </c>
      <c r="B423" s="11" t="s">
        <v>507</v>
      </c>
      <c r="C423" s="12" t="s">
        <v>508</v>
      </c>
      <c r="D423" s="57"/>
      <c r="E423" s="43" t="str">
        <f t="shared" ref="E423:E430" si="23">HYPERLINK("https://www.google.ru/search?q=52797-0292&amp;newwindow=1&amp;tbm=isch","Еще фото")</f>
        <v>Еще фото</v>
      </c>
      <c r="F423" s="14"/>
      <c r="G423" s="11" t="s">
        <v>237</v>
      </c>
      <c r="H423" s="11" t="s">
        <v>27</v>
      </c>
      <c r="I423" s="15" t="s">
        <v>237</v>
      </c>
      <c r="J423" s="15" t="s">
        <v>28</v>
      </c>
      <c r="K423" s="16" t="s">
        <v>29</v>
      </c>
      <c r="L423" s="60" t="s">
        <v>509</v>
      </c>
      <c r="M423" s="15" t="s">
        <v>72</v>
      </c>
      <c r="N423" s="15" t="s">
        <v>138</v>
      </c>
      <c r="O423" s="15"/>
      <c r="P423" s="16" t="s">
        <v>510</v>
      </c>
      <c r="Q423" s="17">
        <v>14899</v>
      </c>
      <c r="R423" s="18">
        <v>48.8</v>
      </c>
      <c r="S423" s="19">
        <v>8771.9354999999996</v>
      </c>
      <c r="T423" s="20" t="s">
        <v>75</v>
      </c>
      <c r="U423" s="33" t="s">
        <v>311</v>
      </c>
      <c r="V423" s="25" t="s">
        <v>44</v>
      </c>
      <c r="W423" s="22">
        <v>1</v>
      </c>
      <c r="X423" s="23"/>
    </row>
    <row r="424" spans="1:24" s="1" customFormat="1" ht="13.05" customHeight="1" x14ac:dyDescent="0.3">
      <c r="A424" s="24" t="s">
        <v>23</v>
      </c>
      <c r="B424" s="24" t="s">
        <v>507</v>
      </c>
      <c r="C424" s="12" t="s">
        <v>508</v>
      </c>
      <c r="D424" s="58"/>
      <c r="E424" s="43" t="str">
        <f t="shared" si="23"/>
        <v>Еще фото</v>
      </c>
      <c r="F424" s="14"/>
      <c r="G424" s="24" t="s">
        <v>237</v>
      </c>
      <c r="H424" s="24" t="s">
        <v>27</v>
      </c>
      <c r="I424" s="24" t="s">
        <v>237</v>
      </c>
      <c r="J424" s="15" t="s">
        <v>28</v>
      </c>
      <c r="K424" s="16" t="s">
        <v>29</v>
      </c>
      <c r="L424" s="61"/>
      <c r="M424" s="15" t="s">
        <v>72</v>
      </c>
      <c r="N424" s="15" t="s">
        <v>138</v>
      </c>
      <c r="O424" s="15"/>
      <c r="P424" s="16" t="s">
        <v>510</v>
      </c>
      <c r="Q424" s="17">
        <v>14899</v>
      </c>
      <c r="R424" s="18">
        <v>48.8</v>
      </c>
      <c r="S424" s="19">
        <v>8771.9354999999996</v>
      </c>
      <c r="T424" s="20" t="s">
        <v>75</v>
      </c>
      <c r="U424" s="21" t="s">
        <v>45</v>
      </c>
      <c r="V424" s="25" t="s">
        <v>44</v>
      </c>
      <c r="W424" s="22">
        <v>10</v>
      </c>
      <c r="X424" s="23"/>
    </row>
    <row r="425" spans="1:24" s="1" customFormat="1" ht="13.05" customHeight="1" x14ac:dyDescent="0.3">
      <c r="A425" s="24" t="s">
        <v>23</v>
      </c>
      <c r="B425" s="24" t="s">
        <v>507</v>
      </c>
      <c r="C425" s="12" t="s">
        <v>508</v>
      </c>
      <c r="D425" s="58"/>
      <c r="E425" s="43" t="str">
        <f t="shared" si="23"/>
        <v>Еще фото</v>
      </c>
      <c r="F425" s="14"/>
      <c r="G425" s="24" t="s">
        <v>237</v>
      </c>
      <c r="H425" s="24" t="s">
        <v>27</v>
      </c>
      <c r="I425" s="24" t="s">
        <v>237</v>
      </c>
      <c r="J425" s="15" t="s">
        <v>28</v>
      </c>
      <c r="K425" s="16" t="s">
        <v>29</v>
      </c>
      <c r="L425" s="61"/>
      <c r="M425" s="15" t="s">
        <v>72</v>
      </c>
      <c r="N425" s="15" t="s">
        <v>138</v>
      </c>
      <c r="O425" s="15"/>
      <c r="P425" s="16" t="s">
        <v>510</v>
      </c>
      <c r="Q425" s="17">
        <v>14899</v>
      </c>
      <c r="R425" s="18">
        <v>48.8</v>
      </c>
      <c r="S425" s="19">
        <v>8771.9354999999996</v>
      </c>
      <c r="T425" s="20" t="s">
        <v>75</v>
      </c>
      <c r="U425" s="21" t="s">
        <v>158</v>
      </c>
      <c r="V425" s="22">
        <v>42</v>
      </c>
      <c r="W425" s="22">
        <v>11</v>
      </c>
      <c r="X425" s="23"/>
    </row>
    <row r="426" spans="1:24" s="1" customFormat="1" ht="13.05" customHeight="1" x14ac:dyDescent="0.3">
      <c r="A426" s="24" t="s">
        <v>23</v>
      </c>
      <c r="B426" s="24" t="s">
        <v>507</v>
      </c>
      <c r="C426" s="12" t="s">
        <v>508</v>
      </c>
      <c r="D426" s="58"/>
      <c r="E426" s="43" t="str">
        <f t="shared" si="23"/>
        <v>Еще фото</v>
      </c>
      <c r="F426" s="14"/>
      <c r="G426" s="24" t="s">
        <v>237</v>
      </c>
      <c r="H426" s="24" t="s">
        <v>27</v>
      </c>
      <c r="I426" s="24" t="s">
        <v>237</v>
      </c>
      <c r="J426" s="15" t="s">
        <v>28</v>
      </c>
      <c r="K426" s="16" t="s">
        <v>29</v>
      </c>
      <c r="L426" s="61"/>
      <c r="M426" s="15" t="s">
        <v>72</v>
      </c>
      <c r="N426" s="15" t="s">
        <v>138</v>
      </c>
      <c r="O426" s="15"/>
      <c r="P426" s="16" t="s">
        <v>510</v>
      </c>
      <c r="Q426" s="17">
        <v>14899</v>
      </c>
      <c r="R426" s="18">
        <v>48.8</v>
      </c>
      <c r="S426" s="19">
        <v>8771.9354999999996</v>
      </c>
      <c r="T426" s="20" t="s">
        <v>75</v>
      </c>
      <c r="U426" s="21" t="s">
        <v>481</v>
      </c>
      <c r="V426" s="25" t="s">
        <v>48</v>
      </c>
      <c r="W426" s="22">
        <v>1</v>
      </c>
      <c r="X426" s="23"/>
    </row>
    <row r="427" spans="1:24" s="1" customFormat="1" ht="13.05" customHeight="1" x14ac:dyDescent="0.3">
      <c r="A427" s="24" t="s">
        <v>23</v>
      </c>
      <c r="B427" s="24" t="s">
        <v>507</v>
      </c>
      <c r="C427" s="12" t="s">
        <v>508</v>
      </c>
      <c r="D427" s="58"/>
      <c r="E427" s="43" t="str">
        <f t="shared" si="23"/>
        <v>Еще фото</v>
      </c>
      <c r="F427" s="14"/>
      <c r="G427" s="24" t="s">
        <v>237</v>
      </c>
      <c r="H427" s="24" t="s">
        <v>27</v>
      </c>
      <c r="I427" s="24" t="s">
        <v>237</v>
      </c>
      <c r="J427" s="15" t="s">
        <v>28</v>
      </c>
      <c r="K427" s="16" t="s">
        <v>29</v>
      </c>
      <c r="L427" s="61"/>
      <c r="M427" s="15" t="s">
        <v>72</v>
      </c>
      <c r="N427" s="15" t="s">
        <v>138</v>
      </c>
      <c r="O427" s="15"/>
      <c r="P427" s="16" t="s">
        <v>510</v>
      </c>
      <c r="Q427" s="17">
        <v>14899</v>
      </c>
      <c r="R427" s="18">
        <v>48.8</v>
      </c>
      <c r="S427" s="19">
        <v>8771.9354999999996</v>
      </c>
      <c r="T427" s="20" t="s">
        <v>75</v>
      </c>
      <c r="U427" s="21" t="s">
        <v>49</v>
      </c>
      <c r="V427" s="25" t="s">
        <v>48</v>
      </c>
      <c r="W427" s="22">
        <v>7</v>
      </c>
      <c r="X427" s="23"/>
    </row>
    <row r="428" spans="1:24" s="1" customFormat="1" ht="13.05" customHeight="1" x14ac:dyDescent="0.3">
      <c r="A428" s="24" t="s">
        <v>23</v>
      </c>
      <c r="B428" s="24" t="s">
        <v>507</v>
      </c>
      <c r="C428" s="12" t="s">
        <v>508</v>
      </c>
      <c r="D428" s="58"/>
      <c r="E428" s="43" t="str">
        <f t="shared" si="23"/>
        <v>Еще фото</v>
      </c>
      <c r="F428" s="14"/>
      <c r="G428" s="24" t="s">
        <v>237</v>
      </c>
      <c r="H428" s="24" t="s">
        <v>27</v>
      </c>
      <c r="I428" s="24" t="s">
        <v>237</v>
      </c>
      <c r="J428" s="15" t="s">
        <v>28</v>
      </c>
      <c r="K428" s="16" t="s">
        <v>29</v>
      </c>
      <c r="L428" s="61"/>
      <c r="M428" s="15" t="s">
        <v>72</v>
      </c>
      <c r="N428" s="15" t="s">
        <v>138</v>
      </c>
      <c r="O428" s="15"/>
      <c r="P428" s="16" t="s">
        <v>510</v>
      </c>
      <c r="Q428" s="17">
        <v>14899</v>
      </c>
      <c r="R428" s="18">
        <v>48.8</v>
      </c>
      <c r="S428" s="19">
        <v>8771.9354999999996</v>
      </c>
      <c r="T428" s="20" t="s">
        <v>75</v>
      </c>
      <c r="U428" s="21" t="s">
        <v>362</v>
      </c>
      <c r="V428" s="22">
        <v>44</v>
      </c>
      <c r="W428" s="22">
        <v>1</v>
      </c>
      <c r="X428" s="23"/>
    </row>
    <row r="429" spans="1:24" s="1" customFormat="1" ht="13.05" customHeight="1" x14ac:dyDescent="0.3">
      <c r="A429" s="24" t="s">
        <v>23</v>
      </c>
      <c r="B429" s="24" t="s">
        <v>507</v>
      </c>
      <c r="C429" s="12" t="s">
        <v>508</v>
      </c>
      <c r="D429" s="58"/>
      <c r="E429" s="43" t="str">
        <f t="shared" si="23"/>
        <v>Еще фото</v>
      </c>
      <c r="F429" s="14"/>
      <c r="G429" s="24" t="s">
        <v>237</v>
      </c>
      <c r="H429" s="24" t="s">
        <v>27</v>
      </c>
      <c r="I429" s="24" t="s">
        <v>237</v>
      </c>
      <c r="J429" s="15" t="s">
        <v>28</v>
      </c>
      <c r="K429" s="16" t="s">
        <v>29</v>
      </c>
      <c r="L429" s="61"/>
      <c r="M429" s="15" t="s">
        <v>72</v>
      </c>
      <c r="N429" s="15" t="s">
        <v>138</v>
      </c>
      <c r="O429" s="15"/>
      <c r="P429" s="16" t="s">
        <v>510</v>
      </c>
      <c r="Q429" s="17">
        <v>14899</v>
      </c>
      <c r="R429" s="18">
        <v>48.8</v>
      </c>
      <c r="S429" s="19">
        <v>8771.9354999999996</v>
      </c>
      <c r="T429" s="20" t="s">
        <v>75</v>
      </c>
      <c r="U429" s="21" t="s">
        <v>51</v>
      </c>
      <c r="V429" s="22">
        <v>44</v>
      </c>
      <c r="W429" s="22">
        <v>5</v>
      </c>
      <c r="X429" s="23"/>
    </row>
    <row r="430" spans="1:24" s="1" customFormat="1" ht="18" customHeight="1" x14ac:dyDescent="0.3">
      <c r="A430" s="24" t="s">
        <v>23</v>
      </c>
      <c r="B430" s="24" t="s">
        <v>507</v>
      </c>
      <c r="C430" s="12" t="s">
        <v>508</v>
      </c>
      <c r="D430" s="59"/>
      <c r="E430" s="43" t="str">
        <f t="shared" si="23"/>
        <v>Еще фото</v>
      </c>
      <c r="F430" s="14"/>
      <c r="G430" s="24" t="s">
        <v>237</v>
      </c>
      <c r="H430" s="24" t="s">
        <v>27</v>
      </c>
      <c r="I430" s="24" t="s">
        <v>237</v>
      </c>
      <c r="J430" s="15" t="s">
        <v>28</v>
      </c>
      <c r="K430" s="16" t="s">
        <v>29</v>
      </c>
      <c r="L430" s="62"/>
      <c r="M430" s="15" t="s">
        <v>72</v>
      </c>
      <c r="N430" s="15" t="s">
        <v>138</v>
      </c>
      <c r="O430" s="15"/>
      <c r="P430" s="16" t="s">
        <v>510</v>
      </c>
      <c r="Q430" s="17">
        <v>14899</v>
      </c>
      <c r="R430" s="18">
        <v>48.8</v>
      </c>
      <c r="S430" s="19">
        <v>8771.9354999999996</v>
      </c>
      <c r="T430" s="20" t="s">
        <v>75</v>
      </c>
      <c r="U430" s="21" t="s">
        <v>378</v>
      </c>
      <c r="V430" s="22">
        <v>46</v>
      </c>
      <c r="W430" s="22">
        <v>1</v>
      </c>
      <c r="X430" s="23"/>
    </row>
    <row r="431" spans="1:24" s="1" customFormat="1" ht="108" customHeight="1" x14ac:dyDescent="0.3">
      <c r="A431" s="11" t="s">
        <v>23</v>
      </c>
      <c r="B431" s="11" t="s">
        <v>511</v>
      </c>
      <c r="C431" s="12" t="s">
        <v>512</v>
      </c>
      <c r="D431" s="13"/>
      <c r="E431" s="43" t="str">
        <f>HYPERLINK("https://www.google.ru/search?q=17778-0515&amp;newwindow=1&amp;tbm=isch","Еще фото")</f>
        <v>Еще фото</v>
      </c>
      <c r="F431" s="14"/>
      <c r="G431" s="11" t="s">
        <v>237</v>
      </c>
      <c r="H431" s="11" t="s">
        <v>27</v>
      </c>
      <c r="I431" s="15" t="s">
        <v>237</v>
      </c>
      <c r="J431" s="15" t="s">
        <v>37</v>
      </c>
      <c r="K431" s="16" t="s">
        <v>29</v>
      </c>
      <c r="L431" s="15" t="s">
        <v>238</v>
      </c>
      <c r="M431" s="15"/>
      <c r="N431" s="15" t="s">
        <v>130</v>
      </c>
      <c r="O431" s="15"/>
      <c r="P431" s="16" t="s">
        <v>460</v>
      </c>
      <c r="Q431" s="17">
        <v>7799</v>
      </c>
      <c r="R431" s="18">
        <v>46.15</v>
      </c>
      <c r="S431" s="19">
        <v>4829.9884999999995</v>
      </c>
      <c r="T431" s="20" t="s">
        <v>75</v>
      </c>
      <c r="U431" s="21" t="s">
        <v>78</v>
      </c>
      <c r="V431" s="22">
        <v>42</v>
      </c>
      <c r="W431" s="22">
        <v>1</v>
      </c>
      <c r="X431" s="23"/>
    </row>
    <row r="432" spans="1:24" s="1" customFormat="1" ht="52.05" customHeight="1" x14ac:dyDescent="0.3">
      <c r="A432" s="11" t="s">
        <v>23</v>
      </c>
      <c r="B432" s="11" t="s">
        <v>513</v>
      </c>
      <c r="C432" s="12" t="s">
        <v>514</v>
      </c>
      <c r="D432" s="63"/>
      <c r="E432" s="43" t="str">
        <f>HYPERLINK("https://www.google.ru/search?q=18882-0933&amp;newwindow=1&amp;tbm=isch","Еще фото")</f>
        <v>Еще фото</v>
      </c>
      <c r="F432" s="14"/>
      <c r="G432" s="11" t="s">
        <v>237</v>
      </c>
      <c r="H432" s="11" t="s">
        <v>27</v>
      </c>
      <c r="I432" s="15" t="s">
        <v>237</v>
      </c>
      <c r="J432" s="15" t="s">
        <v>37</v>
      </c>
      <c r="K432" s="16" t="s">
        <v>29</v>
      </c>
      <c r="L432" s="60" t="s">
        <v>505</v>
      </c>
      <c r="M432" s="15"/>
      <c r="N432" s="15" t="s">
        <v>138</v>
      </c>
      <c r="O432" s="15"/>
      <c r="P432" s="16" t="s">
        <v>515</v>
      </c>
      <c r="Q432" s="17">
        <v>8899</v>
      </c>
      <c r="R432" s="18">
        <v>46.06</v>
      </c>
      <c r="S432" s="19">
        <v>5519.9884999999995</v>
      </c>
      <c r="T432" s="20" t="s">
        <v>75</v>
      </c>
      <c r="U432" s="21" t="s">
        <v>43</v>
      </c>
      <c r="V432" s="25" t="s">
        <v>44</v>
      </c>
      <c r="W432" s="22">
        <v>1</v>
      </c>
      <c r="X432" s="23"/>
    </row>
    <row r="433" spans="1:24" s="1" customFormat="1" ht="61.05" customHeight="1" x14ac:dyDescent="0.3">
      <c r="A433" s="24" t="s">
        <v>23</v>
      </c>
      <c r="B433" s="24" t="s">
        <v>513</v>
      </c>
      <c r="C433" s="12" t="s">
        <v>514</v>
      </c>
      <c r="D433" s="64"/>
      <c r="E433" s="43" t="str">
        <f>HYPERLINK("https://www.google.ru/search?q=18882-0933&amp;newwindow=1&amp;tbm=isch","Еще фото")</f>
        <v>Еще фото</v>
      </c>
      <c r="F433" s="14"/>
      <c r="G433" s="24" t="s">
        <v>237</v>
      </c>
      <c r="H433" s="24" t="s">
        <v>27</v>
      </c>
      <c r="I433" s="24" t="s">
        <v>237</v>
      </c>
      <c r="J433" s="15" t="s">
        <v>37</v>
      </c>
      <c r="K433" s="16" t="s">
        <v>29</v>
      </c>
      <c r="L433" s="62"/>
      <c r="M433" s="15"/>
      <c r="N433" s="15" t="s">
        <v>138</v>
      </c>
      <c r="O433" s="15"/>
      <c r="P433" s="16" t="s">
        <v>515</v>
      </c>
      <c r="Q433" s="17">
        <v>8899</v>
      </c>
      <c r="R433" s="18">
        <v>46.06</v>
      </c>
      <c r="S433" s="19">
        <v>5519.9884999999995</v>
      </c>
      <c r="T433" s="20" t="s">
        <v>75</v>
      </c>
      <c r="U433" s="21" t="s">
        <v>46</v>
      </c>
      <c r="V433" s="22">
        <v>42</v>
      </c>
      <c r="W433" s="22">
        <v>1</v>
      </c>
      <c r="X433" s="23"/>
    </row>
    <row r="434" spans="1:24" s="1" customFormat="1" ht="108" customHeight="1" x14ac:dyDescent="0.3">
      <c r="A434" s="11" t="s">
        <v>23</v>
      </c>
      <c r="B434" s="11" t="s">
        <v>516</v>
      </c>
      <c r="C434" s="12" t="s">
        <v>517</v>
      </c>
      <c r="D434" s="13"/>
      <c r="E434" s="43" t="str">
        <f>HYPERLINK("https://www.google.ru/search?q=28833-1187-1&amp;newwindow=1&amp;tbm=isch","Еще фото")</f>
        <v>Еще фото</v>
      </c>
      <c r="F434" s="14"/>
      <c r="G434" s="11" t="s">
        <v>237</v>
      </c>
      <c r="H434" s="11" t="s">
        <v>27</v>
      </c>
      <c r="I434" s="15" t="s">
        <v>237</v>
      </c>
      <c r="J434" s="15" t="s">
        <v>37</v>
      </c>
      <c r="K434" s="16" t="s">
        <v>57</v>
      </c>
      <c r="L434" s="15" t="s">
        <v>518</v>
      </c>
      <c r="M434" s="15"/>
      <c r="N434" s="15" t="s">
        <v>249</v>
      </c>
      <c r="O434" s="15"/>
      <c r="P434" s="16" t="s">
        <v>358</v>
      </c>
      <c r="Q434" s="17">
        <v>8899</v>
      </c>
      <c r="R434" s="18">
        <v>46.06</v>
      </c>
      <c r="S434" s="19">
        <v>5519.9884999999995</v>
      </c>
      <c r="T434" s="20" t="s">
        <v>75</v>
      </c>
      <c r="U434" s="21" t="s">
        <v>51</v>
      </c>
      <c r="V434" s="22">
        <v>44</v>
      </c>
      <c r="W434" s="22">
        <v>1</v>
      </c>
      <c r="X434" s="23"/>
    </row>
    <row r="435" spans="1:24" s="1" customFormat="1" ht="108" customHeight="1" x14ac:dyDescent="0.3">
      <c r="A435" s="11" t="s">
        <v>23</v>
      </c>
      <c r="B435" s="11" t="s">
        <v>519</v>
      </c>
      <c r="C435" s="12" t="s">
        <v>520</v>
      </c>
      <c r="D435" s="13"/>
      <c r="E435" s="43" t="str">
        <f>HYPERLINK("https://www.google.ru/search?q=A3410-0170&amp;newwindow=1&amp;tbm=isch","Еще фото")</f>
        <v>Еще фото</v>
      </c>
      <c r="F435" s="14"/>
      <c r="G435" s="11" t="s">
        <v>237</v>
      </c>
      <c r="H435" s="11" t="s">
        <v>27</v>
      </c>
      <c r="I435" s="15" t="s">
        <v>237</v>
      </c>
      <c r="J435" s="15" t="s">
        <v>37</v>
      </c>
      <c r="K435" s="16" t="s">
        <v>29</v>
      </c>
      <c r="L435" s="15"/>
      <c r="M435" s="15"/>
      <c r="N435" s="15" t="s">
        <v>130</v>
      </c>
      <c r="O435" s="15"/>
      <c r="P435" s="16" t="s">
        <v>515</v>
      </c>
      <c r="Q435" s="17">
        <v>8899</v>
      </c>
      <c r="R435" s="18">
        <v>46.06</v>
      </c>
      <c r="S435" s="19">
        <v>5519.9884999999995</v>
      </c>
      <c r="T435" s="20" t="s">
        <v>75</v>
      </c>
      <c r="U435" s="21" t="s">
        <v>47</v>
      </c>
      <c r="V435" s="25" t="s">
        <v>48</v>
      </c>
      <c r="W435" s="22">
        <v>1</v>
      </c>
      <c r="X435" s="23"/>
    </row>
    <row r="436" spans="1:24" s="1" customFormat="1" ht="108" customHeight="1" x14ac:dyDescent="0.3">
      <c r="A436" s="11" t="s">
        <v>23</v>
      </c>
      <c r="B436" s="11" t="s">
        <v>521</v>
      </c>
      <c r="C436" s="12" t="s">
        <v>522</v>
      </c>
      <c r="D436" s="13"/>
      <c r="E436" s="43" t="str">
        <f>HYPERLINK("https://www.google.ru/search?q=A6199-0008&amp;newwindow=1&amp;tbm=isch","Еще фото")</f>
        <v>Еще фото</v>
      </c>
      <c r="F436" s="14"/>
      <c r="G436" s="11" t="s">
        <v>237</v>
      </c>
      <c r="H436" s="11" t="s">
        <v>27</v>
      </c>
      <c r="I436" s="15" t="s">
        <v>237</v>
      </c>
      <c r="J436" s="15" t="s">
        <v>37</v>
      </c>
      <c r="K436" s="16" t="s">
        <v>29</v>
      </c>
      <c r="L436" s="15"/>
      <c r="M436" s="15"/>
      <c r="N436" s="15" t="s">
        <v>130</v>
      </c>
      <c r="O436" s="15"/>
      <c r="P436" s="16" t="s">
        <v>322</v>
      </c>
      <c r="Q436" s="17">
        <v>9999</v>
      </c>
      <c r="R436" s="18">
        <v>45.99</v>
      </c>
      <c r="S436" s="19">
        <v>6209.9884999999995</v>
      </c>
      <c r="T436" s="20" t="s">
        <v>75</v>
      </c>
      <c r="U436" s="21" t="s">
        <v>109</v>
      </c>
      <c r="V436" s="25" t="s">
        <v>96</v>
      </c>
      <c r="W436" s="22">
        <v>1</v>
      </c>
      <c r="X436" s="23"/>
    </row>
    <row r="437" spans="1:24" s="1" customFormat="1" ht="108" customHeight="1" x14ac:dyDescent="0.3">
      <c r="A437" s="11" t="s">
        <v>23</v>
      </c>
      <c r="B437" s="11" t="s">
        <v>523</v>
      </c>
      <c r="C437" s="12" t="s">
        <v>524</v>
      </c>
      <c r="D437" s="13"/>
      <c r="E437" s="43" t="str">
        <f>HYPERLINK("https://www.google.ru/search?q=18882-0434&amp;newwindow=1&amp;tbm=isch","Еще фото")</f>
        <v>Еще фото</v>
      </c>
      <c r="F437" s="14"/>
      <c r="G437" s="11" t="s">
        <v>237</v>
      </c>
      <c r="H437" s="11" t="s">
        <v>27</v>
      </c>
      <c r="I437" s="15" t="s">
        <v>237</v>
      </c>
      <c r="J437" s="15" t="s">
        <v>28</v>
      </c>
      <c r="K437" s="16" t="s">
        <v>29</v>
      </c>
      <c r="L437" s="15" t="s">
        <v>248</v>
      </c>
      <c r="M437" s="15" t="s">
        <v>72</v>
      </c>
      <c r="N437" s="15" t="s">
        <v>249</v>
      </c>
      <c r="O437" s="15" t="s">
        <v>121</v>
      </c>
      <c r="P437" s="16" t="s">
        <v>525</v>
      </c>
      <c r="Q437" s="17">
        <v>9799</v>
      </c>
      <c r="R437" s="18">
        <v>45.91</v>
      </c>
      <c r="S437" s="19">
        <v>6094.9884999999995</v>
      </c>
      <c r="T437" s="20" t="s">
        <v>75</v>
      </c>
      <c r="U437" s="21" t="s">
        <v>42</v>
      </c>
      <c r="V437" s="22">
        <v>40</v>
      </c>
      <c r="W437" s="22">
        <v>1</v>
      </c>
      <c r="X437" s="23"/>
    </row>
    <row r="438" spans="1:24" s="1" customFormat="1" ht="35" customHeight="1" x14ac:dyDescent="0.3">
      <c r="A438" s="11" t="s">
        <v>23</v>
      </c>
      <c r="B438" s="11" t="s">
        <v>526</v>
      </c>
      <c r="C438" s="12" t="s">
        <v>527</v>
      </c>
      <c r="D438" s="57"/>
      <c r="E438" s="43" t="str">
        <f>HYPERLINK("https://www.google.ru/search?q=A1959-0108&amp;newwindow=1&amp;tbm=isch","Еще фото")</f>
        <v>Еще фото</v>
      </c>
      <c r="F438" s="14"/>
      <c r="G438" s="11" t="s">
        <v>237</v>
      </c>
      <c r="H438" s="11" t="s">
        <v>27</v>
      </c>
      <c r="I438" s="15" t="s">
        <v>237</v>
      </c>
      <c r="J438" s="15" t="s">
        <v>37</v>
      </c>
      <c r="K438" s="16" t="s">
        <v>29</v>
      </c>
      <c r="L438" s="60" t="s">
        <v>528</v>
      </c>
      <c r="M438" s="15"/>
      <c r="N438" s="15" t="s">
        <v>39</v>
      </c>
      <c r="O438" s="15"/>
      <c r="P438" s="16" t="s">
        <v>32</v>
      </c>
      <c r="Q438" s="17">
        <v>10899</v>
      </c>
      <c r="R438" s="18">
        <v>45.87</v>
      </c>
      <c r="S438" s="19">
        <v>6784.9884999999995</v>
      </c>
      <c r="T438" s="20" t="s">
        <v>75</v>
      </c>
      <c r="U438" s="21" t="s">
        <v>50</v>
      </c>
      <c r="V438" s="22">
        <v>44</v>
      </c>
      <c r="W438" s="22">
        <v>1</v>
      </c>
      <c r="X438" s="23"/>
    </row>
    <row r="439" spans="1:24" s="1" customFormat="1" ht="35" customHeight="1" x14ac:dyDescent="0.3">
      <c r="A439" s="24" t="s">
        <v>23</v>
      </c>
      <c r="B439" s="24" t="s">
        <v>526</v>
      </c>
      <c r="C439" s="12" t="s">
        <v>527</v>
      </c>
      <c r="D439" s="58"/>
      <c r="E439" s="43" t="str">
        <f>HYPERLINK("https://www.google.ru/search?q=A1959-0108&amp;newwindow=1&amp;tbm=isch","Еще фото")</f>
        <v>Еще фото</v>
      </c>
      <c r="F439" s="14"/>
      <c r="G439" s="24" t="s">
        <v>237</v>
      </c>
      <c r="H439" s="24" t="s">
        <v>27</v>
      </c>
      <c r="I439" s="24" t="s">
        <v>237</v>
      </c>
      <c r="J439" s="15" t="s">
        <v>37</v>
      </c>
      <c r="K439" s="16" t="s">
        <v>29</v>
      </c>
      <c r="L439" s="61"/>
      <c r="M439" s="15"/>
      <c r="N439" s="15" t="s">
        <v>39</v>
      </c>
      <c r="O439" s="15"/>
      <c r="P439" s="16" t="s">
        <v>32</v>
      </c>
      <c r="Q439" s="17">
        <v>10899</v>
      </c>
      <c r="R439" s="18">
        <v>45.87</v>
      </c>
      <c r="S439" s="19">
        <v>6784.9884999999995</v>
      </c>
      <c r="T439" s="20" t="s">
        <v>75</v>
      </c>
      <c r="U439" s="21" t="s">
        <v>230</v>
      </c>
      <c r="V439" s="22">
        <v>46</v>
      </c>
      <c r="W439" s="22">
        <v>3</v>
      </c>
      <c r="X439" s="23"/>
    </row>
    <row r="440" spans="1:24" s="1" customFormat="1" ht="37.049999999999997" customHeight="1" x14ac:dyDescent="0.3">
      <c r="A440" s="24" t="s">
        <v>23</v>
      </c>
      <c r="B440" s="24" t="s">
        <v>526</v>
      </c>
      <c r="C440" s="12" t="s">
        <v>527</v>
      </c>
      <c r="D440" s="59"/>
      <c r="E440" s="43" t="str">
        <f>HYPERLINK("https://www.google.ru/search?q=A1959-0108&amp;newwindow=1&amp;tbm=isch","Еще фото")</f>
        <v>Еще фото</v>
      </c>
      <c r="F440" s="14"/>
      <c r="G440" s="24" t="s">
        <v>237</v>
      </c>
      <c r="H440" s="24" t="s">
        <v>27</v>
      </c>
      <c r="I440" s="24" t="s">
        <v>237</v>
      </c>
      <c r="J440" s="15" t="s">
        <v>37</v>
      </c>
      <c r="K440" s="16" t="s">
        <v>29</v>
      </c>
      <c r="L440" s="62"/>
      <c r="M440" s="15"/>
      <c r="N440" s="15" t="s">
        <v>39</v>
      </c>
      <c r="O440" s="15"/>
      <c r="P440" s="16" t="s">
        <v>32</v>
      </c>
      <c r="Q440" s="17">
        <v>10899</v>
      </c>
      <c r="R440" s="18">
        <v>45.87</v>
      </c>
      <c r="S440" s="19">
        <v>6784.9884999999995</v>
      </c>
      <c r="T440" s="20" t="s">
        <v>75</v>
      </c>
      <c r="U440" s="21" t="s">
        <v>52</v>
      </c>
      <c r="V440" s="22">
        <v>48</v>
      </c>
      <c r="W440" s="22">
        <v>1</v>
      </c>
      <c r="X440" s="23"/>
    </row>
    <row r="441" spans="1:24" s="1" customFormat="1" ht="108" customHeight="1" x14ac:dyDescent="0.3">
      <c r="A441" s="11" t="s">
        <v>23</v>
      </c>
      <c r="B441" s="11" t="s">
        <v>529</v>
      </c>
      <c r="C441" s="12" t="s">
        <v>530</v>
      </c>
      <c r="D441" s="13"/>
      <c r="E441" s="43" t="str">
        <f>HYPERLINK("https://www.google.ru/search?q=A1959-0109&amp;newwindow=1&amp;tbm=isch","Еще фото")</f>
        <v>Еще фото</v>
      </c>
      <c r="F441" s="14"/>
      <c r="G441" s="11" t="s">
        <v>237</v>
      </c>
      <c r="H441" s="11" t="s">
        <v>27</v>
      </c>
      <c r="I441" s="15" t="s">
        <v>237</v>
      </c>
      <c r="J441" s="15" t="s">
        <v>37</v>
      </c>
      <c r="K441" s="16" t="s">
        <v>29</v>
      </c>
      <c r="L441" s="15" t="s">
        <v>528</v>
      </c>
      <c r="M441" s="15"/>
      <c r="N441" s="15" t="s">
        <v>130</v>
      </c>
      <c r="O441" s="15"/>
      <c r="P441" s="16" t="s">
        <v>32</v>
      </c>
      <c r="Q441" s="17">
        <v>10899</v>
      </c>
      <c r="R441" s="18">
        <v>45.87</v>
      </c>
      <c r="S441" s="19">
        <v>6784.9884999999995</v>
      </c>
      <c r="T441" s="20" t="s">
        <v>75</v>
      </c>
      <c r="U441" s="21" t="s">
        <v>230</v>
      </c>
      <c r="V441" s="22">
        <v>46</v>
      </c>
      <c r="W441" s="22">
        <v>1</v>
      </c>
      <c r="X441" s="23"/>
    </row>
    <row r="442" spans="1:24" s="1" customFormat="1" ht="108" customHeight="1" x14ac:dyDescent="0.3">
      <c r="A442" s="11" t="s">
        <v>23</v>
      </c>
      <c r="B442" s="11" t="s">
        <v>531</v>
      </c>
      <c r="C442" s="12" t="s">
        <v>532</v>
      </c>
      <c r="D442" s="13"/>
      <c r="E442" s="43" t="str">
        <f>HYPERLINK("https://www.google.ru/search?q=04511-6353&amp;newwindow=1&amp;tbm=isch","Еще фото")</f>
        <v>Еще фото</v>
      </c>
      <c r="F442" s="14"/>
      <c r="G442" s="11" t="s">
        <v>237</v>
      </c>
      <c r="H442" s="11" t="s">
        <v>27</v>
      </c>
      <c r="I442" s="15" t="s">
        <v>237</v>
      </c>
      <c r="J442" s="15" t="s">
        <v>37</v>
      </c>
      <c r="K442" s="16" t="s">
        <v>57</v>
      </c>
      <c r="L442" s="15" t="s">
        <v>533</v>
      </c>
      <c r="M442" s="15"/>
      <c r="N442" s="15" t="s">
        <v>87</v>
      </c>
      <c r="O442" s="15"/>
      <c r="P442" s="16" t="s">
        <v>254</v>
      </c>
      <c r="Q442" s="17">
        <v>10699</v>
      </c>
      <c r="R442" s="18">
        <v>45.79</v>
      </c>
      <c r="S442" s="19">
        <v>6669.9884999999995</v>
      </c>
      <c r="T442" s="20" t="s">
        <v>75</v>
      </c>
      <c r="U442" s="21" t="s">
        <v>53</v>
      </c>
      <c r="V442" s="22">
        <v>46</v>
      </c>
      <c r="W442" s="22">
        <v>3</v>
      </c>
      <c r="X442" s="23"/>
    </row>
    <row r="443" spans="1:24" s="1" customFormat="1" ht="52.05" customHeight="1" x14ac:dyDescent="0.3">
      <c r="A443" s="11" t="s">
        <v>23</v>
      </c>
      <c r="B443" s="11" t="s">
        <v>534</v>
      </c>
      <c r="C443" s="12" t="s">
        <v>535</v>
      </c>
      <c r="D443" s="63"/>
      <c r="E443" s="43" t="str">
        <f>HYPERLINK("https://www.google.ru/search?q=83368-0048&amp;newwindow=1&amp;tbm=isch","Еще фото")</f>
        <v>Еще фото</v>
      </c>
      <c r="F443" s="14"/>
      <c r="G443" s="11" t="s">
        <v>237</v>
      </c>
      <c r="H443" s="11" t="s">
        <v>27</v>
      </c>
      <c r="I443" s="15" t="s">
        <v>237</v>
      </c>
      <c r="J443" s="15" t="s">
        <v>28</v>
      </c>
      <c r="K443" s="16" t="s">
        <v>29</v>
      </c>
      <c r="L443" s="60" t="s">
        <v>536</v>
      </c>
      <c r="M443" s="15"/>
      <c r="N443" s="15" t="s">
        <v>87</v>
      </c>
      <c r="O443" s="15"/>
      <c r="P443" s="16" t="s">
        <v>318</v>
      </c>
      <c r="Q443" s="17">
        <v>12900</v>
      </c>
      <c r="R443" s="18">
        <v>45.74</v>
      </c>
      <c r="S443" s="19">
        <v>8049.9884999999995</v>
      </c>
      <c r="T443" s="20" t="s">
        <v>75</v>
      </c>
      <c r="U443" s="21" t="s">
        <v>537</v>
      </c>
      <c r="V443" s="25" t="s">
        <v>538</v>
      </c>
      <c r="W443" s="22">
        <v>1</v>
      </c>
      <c r="X443" s="23"/>
    </row>
    <row r="444" spans="1:24" s="1" customFormat="1" ht="61.05" customHeight="1" x14ac:dyDescent="0.3">
      <c r="A444" s="24" t="s">
        <v>23</v>
      </c>
      <c r="B444" s="24" t="s">
        <v>534</v>
      </c>
      <c r="C444" s="12" t="s">
        <v>535</v>
      </c>
      <c r="D444" s="64"/>
      <c r="E444" s="43" t="str">
        <f>HYPERLINK("https://www.google.ru/search?q=83368-0048&amp;newwindow=1&amp;tbm=isch","Еще фото")</f>
        <v>Еще фото</v>
      </c>
      <c r="F444" s="14"/>
      <c r="G444" s="24" t="s">
        <v>237</v>
      </c>
      <c r="H444" s="24" t="s">
        <v>27</v>
      </c>
      <c r="I444" s="24" t="s">
        <v>237</v>
      </c>
      <c r="J444" s="15" t="s">
        <v>28</v>
      </c>
      <c r="K444" s="16" t="s">
        <v>29</v>
      </c>
      <c r="L444" s="62"/>
      <c r="M444" s="15"/>
      <c r="N444" s="15" t="s">
        <v>87</v>
      </c>
      <c r="O444" s="15"/>
      <c r="P444" s="16" t="s">
        <v>318</v>
      </c>
      <c r="Q444" s="17">
        <v>12900</v>
      </c>
      <c r="R444" s="18">
        <v>45.74</v>
      </c>
      <c r="S444" s="19">
        <v>8049.9884999999995</v>
      </c>
      <c r="T444" s="20" t="s">
        <v>75</v>
      </c>
      <c r="U444" s="21" t="s">
        <v>539</v>
      </c>
      <c r="V444" s="25" t="s">
        <v>538</v>
      </c>
      <c r="W444" s="22">
        <v>1</v>
      </c>
      <c r="X444" s="23"/>
    </row>
    <row r="445" spans="1:24" s="1" customFormat="1" ht="52.05" customHeight="1" x14ac:dyDescent="0.3">
      <c r="A445" s="11" t="s">
        <v>23</v>
      </c>
      <c r="B445" s="11" t="s">
        <v>540</v>
      </c>
      <c r="C445" s="12" t="s">
        <v>541</v>
      </c>
      <c r="D445" s="63"/>
      <c r="E445" s="43" t="str">
        <f>HYPERLINK("https://www.google.ru/search?q=18882-0536&amp;newwindow=1&amp;tbm=isch","Еще фото")</f>
        <v>Еще фото</v>
      </c>
      <c r="F445" s="14"/>
      <c r="G445" s="11" t="s">
        <v>237</v>
      </c>
      <c r="H445" s="11" t="s">
        <v>27</v>
      </c>
      <c r="I445" s="15" t="s">
        <v>237</v>
      </c>
      <c r="J445" s="15" t="s">
        <v>28</v>
      </c>
      <c r="K445" s="16" t="s">
        <v>29</v>
      </c>
      <c r="L445" s="60" t="s">
        <v>542</v>
      </c>
      <c r="M445" s="15" t="s">
        <v>72</v>
      </c>
      <c r="N445" s="15" t="s">
        <v>138</v>
      </c>
      <c r="O445" s="15"/>
      <c r="P445" s="16" t="s">
        <v>329</v>
      </c>
      <c r="Q445" s="17">
        <v>12899</v>
      </c>
      <c r="R445" s="18">
        <v>45.73</v>
      </c>
      <c r="S445" s="19">
        <v>8049.9884999999995</v>
      </c>
      <c r="T445" s="20" t="s">
        <v>75</v>
      </c>
      <c r="U445" s="21" t="s">
        <v>311</v>
      </c>
      <c r="V445" s="25" t="s">
        <v>44</v>
      </c>
      <c r="W445" s="22">
        <v>1</v>
      </c>
      <c r="X445" s="23"/>
    </row>
    <row r="446" spans="1:24" s="1" customFormat="1" ht="61.05" customHeight="1" x14ac:dyDescent="0.3">
      <c r="A446" s="24" t="s">
        <v>23</v>
      </c>
      <c r="B446" s="24" t="s">
        <v>540</v>
      </c>
      <c r="C446" s="12" t="s">
        <v>541</v>
      </c>
      <c r="D446" s="64"/>
      <c r="E446" s="43" t="str">
        <f>HYPERLINK("https://www.google.ru/search?q=18882-0536&amp;newwindow=1&amp;tbm=isch","Еще фото")</f>
        <v>Еще фото</v>
      </c>
      <c r="F446" s="14"/>
      <c r="G446" s="24" t="s">
        <v>237</v>
      </c>
      <c r="H446" s="24" t="s">
        <v>27</v>
      </c>
      <c r="I446" s="24" t="s">
        <v>237</v>
      </c>
      <c r="J446" s="15" t="s">
        <v>28</v>
      </c>
      <c r="K446" s="16" t="s">
        <v>29</v>
      </c>
      <c r="L446" s="62"/>
      <c r="M446" s="15" t="s">
        <v>72</v>
      </c>
      <c r="N446" s="15" t="s">
        <v>138</v>
      </c>
      <c r="O446" s="15"/>
      <c r="P446" s="16" t="s">
        <v>329</v>
      </c>
      <c r="Q446" s="17">
        <v>12899</v>
      </c>
      <c r="R446" s="18">
        <v>45.73</v>
      </c>
      <c r="S446" s="19">
        <v>8049.9884999999995</v>
      </c>
      <c r="T446" s="20" t="s">
        <v>75</v>
      </c>
      <c r="U446" s="21" t="s">
        <v>45</v>
      </c>
      <c r="V446" s="25" t="s">
        <v>44</v>
      </c>
      <c r="W446" s="22">
        <v>2</v>
      </c>
      <c r="X446" s="23"/>
    </row>
    <row r="447" spans="1:24" s="1" customFormat="1" ht="108" customHeight="1" x14ac:dyDescent="0.3">
      <c r="A447" s="11" t="s">
        <v>23</v>
      </c>
      <c r="B447" s="11" t="s">
        <v>543</v>
      </c>
      <c r="C447" s="12" t="s">
        <v>544</v>
      </c>
      <c r="D447" s="13"/>
      <c r="E447" s="43" t="str">
        <f>HYPERLINK("https://www.google.ru/search?q=A2051-0001&amp;newwindow=1&amp;tbm=isch","Еще фото")</f>
        <v>Еще фото</v>
      </c>
      <c r="F447" s="14"/>
      <c r="G447" s="11" t="s">
        <v>237</v>
      </c>
      <c r="H447" s="11" t="s">
        <v>27</v>
      </c>
      <c r="I447" s="15" t="s">
        <v>237</v>
      </c>
      <c r="J447" s="15" t="s">
        <v>28</v>
      </c>
      <c r="K447" s="16" t="s">
        <v>57</v>
      </c>
      <c r="L447" s="15" t="s">
        <v>545</v>
      </c>
      <c r="M447" s="15"/>
      <c r="N447" s="15" t="s">
        <v>39</v>
      </c>
      <c r="O447" s="15"/>
      <c r="P447" s="16" t="s">
        <v>385</v>
      </c>
      <c r="Q447" s="17">
        <v>12899</v>
      </c>
      <c r="R447" s="18">
        <v>45.73</v>
      </c>
      <c r="S447" s="19">
        <v>8049.9884999999995</v>
      </c>
      <c r="T447" s="20" t="s">
        <v>75</v>
      </c>
      <c r="U447" s="21" t="s">
        <v>213</v>
      </c>
      <c r="V447" s="25" t="s">
        <v>63</v>
      </c>
      <c r="W447" s="22">
        <v>1</v>
      </c>
      <c r="X447" s="23"/>
    </row>
    <row r="448" spans="1:24" s="1" customFormat="1" ht="108" customHeight="1" x14ac:dyDescent="0.3">
      <c r="A448" s="11" t="s">
        <v>23</v>
      </c>
      <c r="B448" s="11" t="s">
        <v>546</v>
      </c>
      <c r="C448" s="12" t="s">
        <v>547</v>
      </c>
      <c r="D448" s="13"/>
      <c r="E448" s="43" t="str">
        <f>HYPERLINK("https://www.google.ru/search?q=18881-0708&amp;newwindow=1&amp;tbm=isch","Еще фото")</f>
        <v>Еще фото</v>
      </c>
      <c r="F448" s="14"/>
      <c r="G448" s="11" t="s">
        <v>237</v>
      </c>
      <c r="H448" s="11" t="s">
        <v>27</v>
      </c>
      <c r="I448" s="15" t="s">
        <v>237</v>
      </c>
      <c r="J448" s="15" t="s">
        <v>37</v>
      </c>
      <c r="K448" s="16" t="s">
        <v>29</v>
      </c>
      <c r="L448" s="15" t="s">
        <v>258</v>
      </c>
      <c r="M448" s="15"/>
      <c r="N448" s="15" t="s">
        <v>130</v>
      </c>
      <c r="O448" s="15"/>
      <c r="P448" s="16" t="s">
        <v>548</v>
      </c>
      <c r="Q448" s="17">
        <v>9199</v>
      </c>
      <c r="R448" s="18">
        <v>45.65</v>
      </c>
      <c r="S448" s="19">
        <v>5749.9884999999995</v>
      </c>
      <c r="T448" s="20" t="s">
        <v>75</v>
      </c>
      <c r="U448" s="21" t="s">
        <v>311</v>
      </c>
      <c r="V448" s="25" t="s">
        <v>44</v>
      </c>
      <c r="W448" s="22">
        <v>1</v>
      </c>
      <c r="X448" s="23"/>
    </row>
    <row r="449" spans="1:24" s="1" customFormat="1" ht="108" customHeight="1" x14ac:dyDescent="0.3">
      <c r="A449" s="11" t="s">
        <v>23</v>
      </c>
      <c r="B449" s="11" t="s">
        <v>549</v>
      </c>
      <c r="C449" s="12" t="s">
        <v>550</v>
      </c>
      <c r="D449" s="13"/>
      <c r="E449" s="43" t="str">
        <f>HYPERLINK("https://www.google.ru/search?q=05510-1181&amp;newwindow=1&amp;tbm=isch","Еще фото")</f>
        <v>Еще фото</v>
      </c>
      <c r="F449" s="14"/>
      <c r="G449" s="11" t="s">
        <v>237</v>
      </c>
      <c r="H449" s="11" t="s">
        <v>27</v>
      </c>
      <c r="I449" s="15" t="s">
        <v>237</v>
      </c>
      <c r="J449" s="15" t="s">
        <v>28</v>
      </c>
      <c r="K449" s="16" t="s">
        <v>57</v>
      </c>
      <c r="L449" s="15" t="s">
        <v>357</v>
      </c>
      <c r="M449" s="15" t="s">
        <v>72</v>
      </c>
      <c r="N449" s="15" t="s">
        <v>138</v>
      </c>
      <c r="O449" s="15"/>
      <c r="P449" s="16" t="s">
        <v>551</v>
      </c>
      <c r="Q449" s="17">
        <v>14900</v>
      </c>
      <c r="R449" s="18">
        <v>45.64</v>
      </c>
      <c r="S449" s="19">
        <v>9314.9884999999995</v>
      </c>
      <c r="T449" s="20" t="s">
        <v>75</v>
      </c>
      <c r="U449" s="21" t="s">
        <v>143</v>
      </c>
      <c r="V449" s="22">
        <v>46</v>
      </c>
      <c r="W449" s="22">
        <v>1</v>
      </c>
      <c r="X449" s="23"/>
    </row>
    <row r="450" spans="1:24" s="1" customFormat="1" ht="108" customHeight="1" x14ac:dyDescent="0.3">
      <c r="A450" s="11" t="s">
        <v>23</v>
      </c>
      <c r="B450" s="11" t="s">
        <v>552</v>
      </c>
      <c r="C450" s="12" t="s">
        <v>553</v>
      </c>
      <c r="D450" s="13"/>
      <c r="E450" s="43" t="str">
        <f>HYPERLINK("https://www.google.ru/search?q=19627-0225&amp;newwindow=1&amp;tbm=isch","Еще фото")</f>
        <v>Еще фото</v>
      </c>
      <c r="F450" s="14"/>
      <c r="G450" s="11" t="s">
        <v>237</v>
      </c>
      <c r="H450" s="11" t="s">
        <v>27</v>
      </c>
      <c r="I450" s="15" t="s">
        <v>237</v>
      </c>
      <c r="J450" s="15" t="s">
        <v>37</v>
      </c>
      <c r="K450" s="16" t="s">
        <v>29</v>
      </c>
      <c r="L450" s="15" t="s">
        <v>453</v>
      </c>
      <c r="M450" s="15"/>
      <c r="N450" s="15" t="s">
        <v>138</v>
      </c>
      <c r="O450" s="15"/>
      <c r="P450" s="16" t="s">
        <v>554</v>
      </c>
      <c r="Q450" s="17">
        <v>14899</v>
      </c>
      <c r="R450" s="18">
        <v>45.63</v>
      </c>
      <c r="S450" s="19">
        <v>9314.9884999999995</v>
      </c>
      <c r="T450" s="20" t="s">
        <v>75</v>
      </c>
      <c r="U450" s="21" t="s">
        <v>158</v>
      </c>
      <c r="V450" s="22">
        <v>42</v>
      </c>
      <c r="W450" s="22">
        <v>1</v>
      </c>
      <c r="X450" s="23"/>
    </row>
    <row r="451" spans="1:24" s="1" customFormat="1" ht="108" customHeight="1" x14ac:dyDescent="0.3">
      <c r="A451" s="11" t="s">
        <v>23</v>
      </c>
      <c r="B451" s="11" t="s">
        <v>555</v>
      </c>
      <c r="C451" s="12" t="s">
        <v>556</v>
      </c>
      <c r="D451" s="13"/>
      <c r="E451" s="43" t="str">
        <f>HYPERLINK("https://www.google.ru/search?q=36200-0167&amp;newwindow=1&amp;tbm=isch","Еще фото")</f>
        <v>Еще фото</v>
      </c>
      <c r="F451" s="14"/>
      <c r="G451" s="11" t="s">
        <v>237</v>
      </c>
      <c r="H451" s="11" t="s">
        <v>27</v>
      </c>
      <c r="I451" s="15" t="s">
        <v>237</v>
      </c>
      <c r="J451" s="15" t="s">
        <v>28</v>
      </c>
      <c r="K451" s="16" t="s">
        <v>29</v>
      </c>
      <c r="L451" s="15" t="s">
        <v>557</v>
      </c>
      <c r="M451" s="15" t="s">
        <v>72</v>
      </c>
      <c r="N451" s="15" t="s">
        <v>138</v>
      </c>
      <c r="O451" s="15" t="s">
        <v>121</v>
      </c>
      <c r="P451" s="16" t="s">
        <v>32</v>
      </c>
      <c r="Q451" s="17">
        <v>14899</v>
      </c>
      <c r="R451" s="18">
        <v>45.63</v>
      </c>
      <c r="S451" s="19">
        <v>9314.9884999999995</v>
      </c>
      <c r="T451" s="20" t="s">
        <v>75</v>
      </c>
      <c r="U451" s="21" t="s">
        <v>481</v>
      </c>
      <c r="V451" s="25" t="s">
        <v>48</v>
      </c>
      <c r="W451" s="22">
        <v>1</v>
      </c>
      <c r="X451" s="23"/>
    </row>
    <row r="452" spans="1:24" s="1" customFormat="1" ht="108" customHeight="1" x14ac:dyDescent="0.3">
      <c r="A452" s="11" t="s">
        <v>23</v>
      </c>
      <c r="B452" s="11" t="s">
        <v>558</v>
      </c>
      <c r="C452" s="12" t="s">
        <v>559</v>
      </c>
      <c r="D452" s="13"/>
      <c r="E452" s="43" t="str">
        <f>HYPERLINK("https://www.google.ru/search?q=A6199-0002&amp;newwindow=1&amp;tbm=isch","Еще фото")</f>
        <v>Еще фото</v>
      </c>
      <c r="F452" s="14"/>
      <c r="G452" s="11" t="s">
        <v>237</v>
      </c>
      <c r="H452" s="11" t="s">
        <v>27</v>
      </c>
      <c r="I452" s="15" t="s">
        <v>237</v>
      </c>
      <c r="J452" s="15" t="s">
        <v>37</v>
      </c>
      <c r="K452" s="16" t="s">
        <v>29</v>
      </c>
      <c r="L452" s="15" t="s">
        <v>560</v>
      </c>
      <c r="M452" s="15"/>
      <c r="N452" s="15" t="s">
        <v>130</v>
      </c>
      <c r="O452" s="15"/>
      <c r="P452" s="16" t="s">
        <v>322</v>
      </c>
      <c r="Q452" s="17">
        <v>10299</v>
      </c>
      <c r="R452" s="18">
        <v>45.63</v>
      </c>
      <c r="S452" s="19">
        <v>6439.9884999999995</v>
      </c>
      <c r="T452" s="20" t="s">
        <v>75</v>
      </c>
      <c r="U452" s="21" t="s">
        <v>47</v>
      </c>
      <c r="V452" s="25" t="s">
        <v>48</v>
      </c>
      <c r="W452" s="22">
        <v>1</v>
      </c>
      <c r="X452" s="23"/>
    </row>
    <row r="453" spans="1:24" s="1" customFormat="1" ht="108" customHeight="1" x14ac:dyDescent="0.3">
      <c r="A453" s="11" t="s">
        <v>23</v>
      </c>
      <c r="B453" s="11" t="s">
        <v>498</v>
      </c>
      <c r="C453" s="12" t="s">
        <v>561</v>
      </c>
      <c r="D453" s="13"/>
      <c r="E453" s="43" t="str">
        <f>HYPERLINK("https://www.google.ru/search?q=28833-0442&amp;newwindow=1&amp;tbm=isch","Еще фото")</f>
        <v>Еще фото</v>
      </c>
      <c r="F453" s="14"/>
      <c r="G453" s="11" t="s">
        <v>237</v>
      </c>
      <c r="H453" s="11" t="s">
        <v>27</v>
      </c>
      <c r="I453" s="15" t="s">
        <v>237</v>
      </c>
      <c r="J453" s="15" t="s">
        <v>37</v>
      </c>
      <c r="K453" s="16" t="s">
        <v>57</v>
      </c>
      <c r="L453" s="15" t="s">
        <v>518</v>
      </c>
      <c r="M453" s="15"/>
      <c r="N453" s="15" t="s">
        <v>130</v>
      </c>
      <c r="O453" s="15"/>
      <c r="P453" s="16" t="s">
        <v>242</v>
      </c>
      <c r="Q453" s="17">
        <v>14699</v>
      </c>
      <c r="R453" s="18">
        <v>45.57</v>
      </c>
      <c r="S453" s="19">
        <v>9199.9884999999995</v>
      </c>
      <c r="T453" s="20" t="s">
        <v>75</v>
      </c>
      <c r="U453" s="21" t="s">
        <v>53</v>
      </c>
      <c r="V453" s="22">
        <v>46</v>
      </c>
      <c r="W453" s="22">
        <v>1</v>
      </c>
      <c r="X453" s="23"/>
    </row>
    <row r="454" spans="1:24" s="1" customFormat="1" ht="108" customHeight="1" x14ac:dyDescent="0.3">
      <c r="A454" s="11" t="s">
        <v>23</v>
      </c>
      <c r="B454" s="11" t="s">
        <v>562</v>
      </c>
      <c r="C454" s="12" t="s">
        <v>563</v>
      </c>
      <c r="D454" s="13"/>
      <c r="E454" s="43" t="str">
        <f>HYPERLINK("https://www.google.ru/search?q=28833-1191&amp;newwindow=1&amp;tbm=isch","Еще фото")</f>
        <v>Еще фото</v>
      </c>
      <c r="F454" s="14"/>
      <c r="G454" s="11" t="s">
        <v>237</v>
      </c>
      <c r="H454" s="11" t="s">
        <v>27</v>
      </c>
      <c r="I454" s="15" t="s">
        <v>237</v>
      </c>
      <c r="J454" s="15" t="s">
        <v>37</v>
      </c>
      <c r="K454" s="16" t="s">
        <v>57</v>
      </c>
      <c r="L454" s="15" t="s">
        <v>518</v>
      </c>
      <c r="M454" s="15"/>
      <c r="N454" s="15" t="s">
        <v>130</v>
      </c>
      <c r="O454" s="15"/>
      <c r="P454" s="16" t="s">
        <v>564</v>
      </c>
      <c r="Q454" s="17">
        <v>14699</v>
      </c>
      <c r="R454" s="18">
        <v>45.57</v>
      </c>
      <c r="S454" s="19">
        <v>9199.9884999999995</v>
      </c>
      <c r="T454" s="20" t="s">
        <v>75</v>
      </c>
      <c r="U454" s="21" t="s">
        <v>173</v>
      </c>
      <c r="V454" s="25" t="s">
        <v>63</v>
      </c>
      <c r="W454" s="22">
        <v>1</v>
      </c>
      <c r="X454" s="23"/>
    </row>
    <row r="455" spans="1:24" s="1" customFormat="1" ht="108" customHeight="1" x14ac:dyDescent="0.3">
      <c r="A455" s="11" t="s">
        <v>23</v>
      </c>
      <c r="B455" s="11" t="s">
        <v>565</v>
      </c>
      <c r="C455" s="12" t="s">
        <v>566</v>
      </c>
      <c r="D455" s="13"/>
      <c r="E455" s="43" t="str">
        <f>HYPERLINK("https://www.google.ru/search?q=52797-0357&amp;newwindow=1&amp;tbm=isch","Еще фото")</f>
        <v>Еще фото</v>
      </c>
      <c r="F455" s="14"/>
      <c r="G455" s="11" t="s">
        <v>237</v>
      </c>
      <c r="H455" s="11" t="s">
        <v>27</v>
      </c>
      <c r="I455" s="15" t="s">
        <v>237</v>
      </c>
      <c r="J455" s="15" t="s">
        <v>37</v>
      </c>
      <c r="K455" s="16" t="s">
        <v>29</v>
      </c>
      <c r="L455" s="15" t="s">
        <v>459</v>
      </c>
      <c r="M455" s="15"/>
      <c r="N455" s="15" t="s">
        <v>138</v>
      </c>
      <c r="O455" s="15"/>
      <c r="P455" s="16" t="s">
        <v>567</v>
      </c>
      <c r="Q455" s="17">
        <v>14699</v>
      </c>
      <c r="R455" s="18">
        <v>45.57</v>
      </c>
      <c r="S455" s="19">
        <v>9199.9884999999995</v>
      </c>
      <c r="T455" s="20" t="s">
        <v>75</v>
      </c>
      <c r="U455" s="21" t="s">
        <v>378</v>
      </c>
      <c r="V455" s="22">
        <v>46</v>
      </c>
      <c r="W455" s="22">
        <v>1</v>
      </c>
      <c r="X455" s="23"/>
    </row>
    <row r="456" spans="1:24" s="1" customFormat="1" ht="52.05" customHeight="1" x14ac:dyDescent="0.3">
      <c r="A456" s="11" t="s">
        <v>23</v>
      </c>
      <c r="B456" s="11" t="s">
        <v>568</v>
      </c>
      <c r="C456" s="12" t="s">
        <v>569</v>
      </c>
      <c r="D456" s="63"/>
      <c r="E456" s="43" t="str">
        <f>HYPERLINK("https://www.google.ru/search?q=A2087-0087&amp;newwindow=1&amp;tbm=isch","Еще фото")</f>
        <v>Еще фото</v>
      </c>
      <c r="F456" s="14"/>
      <c r="G456" s="11" t="s">
        <v>237</v>
      </c>
      <c r="H456" s="11" t="s">
        <v>27</v>
      </c>
      <c r="I456" s="15" t="s">
        <v>237</v>
      </c>
      <c r="J456" s="15" t="s">
        <v>37</v>
      </c>
      <c r="K456" s="16" t="s">
        <v>57</v>
      </c>
      <c r="L456" s="60" t="s">
        <v>570</v>
      </c>
      <c r="M456" s="15"/>
      <c r="N456" s="15" t="s">
        <v>130</v>
      </c>
      <c r="O456" s="15"/>
      <c r="P456" s="16" t="s">
        <v>254</v>
      </c>
      <c r="Q456" s="17">
        <v>14699</v>
      </c>
      <c r="R456" s="18">
        <v>45.57</v>
      </c>
      <c r="S456" s="19">
        <v>9199.9884999999995</v>
      </c>
      <c r="T456" s="20" t="s">
        <v>75</v>
      </c>
      <c r="U456" s="21" t="s">
        <v>53</v>
      </c>
      <c r="V456" s="22">
        <v>46</v>
      </c>
      <c r="W456" s="22">
        <v>4</v>
      </c>
      <c r="X456" s="23"/>
    </row>
    <row r="457" spans="1:24" s="1" customFormat="1" ht="61.05" customHeight="1" x14ac:dyDescent="0.3">
      <c r="A457" s="24" t="s">
        <v>23</v>
      </c>
      <c r="B457" s="24" t="s">
        <v>568</v>
      </c>
      <c r="C457" s="12" t="s">
        <v>569</v>
      </c>
      <c r="D457" s="64"/>
      <c r="E457" s="43" t="str">
        <f>HYPERLINK("https://www.google.ru/search?q=A2087-0087&amp;newwindow=1&amp;tbm=isch","Еще фото")</f>
        <v>Еще фото</v>
      </c>
      <c r="F457" s="14"/>
      <c r="G457" s="24" t="s">
        <v>237</v>
      </c>
      <c r="H457" s="24" t="s">
        <v>27</v>
      </c>
      <c r="I457" s="24" t="s">
        <v>237</v>
      </c>
      <c r="J457" s="15" t="s">
        <v>37</v>
      </c>
      <c r="K457" s="16" t="s">
        <v>57</v>
      </c>
      <c r="L457" s="62"/>
      <c r="M457" s="15"/>
      <c r="N457" s="15" t="s">
        <v>130</v>
      </c>
      <c r="O457" s="15"/>
      <c r="P457" s="16" t="s">
        <v>254</v>
      </c>
      <c r="Q457" s="17">
        <v>14699</v>
      </c>
      <c r="R457" s="18">
        <v>45.57</v>
      </c>
      <c r="S457" s="19">
        <v>9199.9884999999995</v>
      </c>
      <c r="T457" s="20" t="s">
        <v>75</v>
      </c>
      <c r="U457" s="21" t="s">
        <v>165</v>
      </c>
      <c r="V457" s="22">
        <v>48</v>
      </c>
      <c r="W457" s="22">
        <v>1</v>
      </c>
      <c r="X457" s="23"/>
    </row>
    <row r="458" spans="1:24" s="1" customFormat="1" ht="52.05" customHeight="1" x14ac:dyDescent="0.3">
      <c r="A458" s="11" t="s">
        <v>23</v>
      </c>
      <c r="B458" s="11" t="s">
        <v>571</v>
      </c>
      <c r="C458" s="12" t="s">
        <v>572</v>
      </c>
      <c r="D458" s="63"/>
      <c r="E458" s="43" t="str">
        <f>HYPERLINK("https://www.google.ru/search?q=18759-0096&amp;newwindow=1&amp;tbm=isch","Еще фото")</f>
        <v>Еще фото</v>
      </c>
      <c r="F458" s="14"/>
      <c r="G458" s="11" t="s">
        <v>237</v>
      </c>
      <c r="H458" s="11" t="s">
        <v>27</v>
      </c>
      <c r="I458" s="15" t="s">
        <v>237</v>
      </c>
      <c r="J458" s="15" t="s">
        <v>28</v>
      </c>
      <c r="K458" s="16" t="s">
        <v>29</v>
      </c>
      <c r="L458" s="60" t="s">
        <v>573</v>
      </c>
      <c r="M458" s="15" t="s">
        <v>72</v>
      </c>
      <c r="N458" s="15" t="s">
        <v>130</v>
      </c>
      <c r="O458" s="15" t="s">
        <v>113</v>
      </c>
      <c r="P458" s="16" t="s">
        <v>318</v>
      </c>
      <c r="Q458" s="17">
        <v>15799</v>
      </c>
      <c r="R458" s="18">
        <v>45.57</v>
      </c>
      <c r="S458" s="19">
        <v>9889.9884999999995</v>
      </c>
      <c r="T458" s="20" t="s">
        <v>75</v>
      </c>
      <c r="U458" s="21" t="s">
        <v>49</v>
      </c>
      <c r="V458" s="25" t="s">
        <v>48</v>
      </c>
      <c r="W458" s="22">
        <v>1</v>
      </c>
      <c r="X458" s="23"/>
    </row>
    <row r="459" spans="1:24" s="1" customFormat="1" ht="61.05" customHeight="1" x14ac:dyDescent="0.3">
      <c r="A459" s="24" t="s">
        <v>23</v>
      </c>
      <c r="B459" s="24" t="s">
        <v>571</v>
      </c>
      <c r="C459" s="12" t="s">
        <v>572</v>
      </c>
      <c r="D459" s="64"/>
      <c r="E459" s="43" t="str">
        <f>HYPERLINK("https://www.google.ru/search?q=18759-0096&amp;newwindow=1&amp;tbm=isch","Еще фото")</f>
        <v>Еще фото</v>
      </c>
      <c r="F459" s="14"/>
      <c r="G459" s="24" t="s">
        <v>237</v>
      </c>
      <c r="H459" s="24" t="s">
        <v>27</v>
      </c>
      <c r="I459" s="24" t="s">
        <v>237</v>
      </c>
      <c r="J459" s="15" t="s">
        <v>28</v>
      </c>
      <c r="K459" s="16" t="s">
        <v>29</v>
      </c>
      <c r="L459" s="62"/>
      <c r="M459" s="15" t="s">
        <v>72</v>
      </c>
      <c r="N459" s="15" t="s">
        <v>130</v>
      </c>
      <c r="O459" s="15" t="s">
        <v>113</v>
      </c>
      <c r="P459" s="16" t="s">
        <v>318</v>
      </c>
      <c r="Q459" s="17">
        <v>15799</v>
      </c>
      <c r="R459" s="18">
        <v>45.57</v>
      </c>
      <c r="S459" s="19">
        <v>9889.9884999999995</v>
      </c>
      <c r="T459" s="20" t="s">
        <v>75</v>
      </c>
      <c r="U459" s="21" t="s">
        <v>173</v>
      </c>
      <c r="V459" s="22">
        <v>46</v>
      </c>
      <c r="W459" s="22">
        <v>1</v>
      </c>
      <c r="X459" s="23"/>
    </row>
    <row r="460" spans="1:24" s="1" customFormat="1" ht="26" customHeight="1" x14ac:dyDescent="0.3">
      <c r="A460" s="11" t="s">
        <v>23</v>
      </c>
      <c r="B460" s="11" t="s">
        <v>574</v>
      </c>
      <c r="C460" s="12" t="s">
        <v>575</v>
      </c>
      <c r="D460" s="57"/>
      <c r="E460" s="43" t="str">
        <f>HYPERLINK("https://www.google.ru/search?q=18882-0512&amp;newwindow=1&amp;tbm=isch","Еще фото")</f>
        <v>Еще фото</v>
      </c>
      <c r="F460" s="14"/>
      <c r="G460" s="11" t="s">
        <v>237</v>
      </c>
      <c r="H460" s="11" t="s">
        <v>27</v>
      </c>
      <c r="I460" s="15" t="s">
        <v>237</v>
      </c>
      <c r="J460" s="15" t="s">
        <v>28</v>
      </c>
      <c r="K460" s="16" t="s">
        <v>29</v>
      </c>
      <c r="L460" s="60" t="s">
        <v>576</v>
      </c>
      <c r="M460" s="15" t="s">
        <v>72</v>
      </c>
      <c r="N460" s="15" t="s">
        <v>130</v>
      </c>
      <c r="O460" s="15" t="s">
        <v>121</v>
      </c>
      <c r="P460" s="16" t="s">
        <v>297</v>
      </c>
      <c r="Q460" s="17">
        <v>15799</v>
      </c>
      <c r="R460" s="18">
        <v>45.57</v>
      </c>
      <c r="S460" s="19">
        <v>9889.9884999999995</v>
      </c>
      <c r="T460" s="20" t="s">
        <v>75</v>
      </c>
      <c r="U460" s="21" t="s">
        <v>299</v>
      </c>
      <c r="V460" s="22">
        <v>38</v>
      </c>
      <c r="W460" s="22">
        <v>2</v>
      </c>
      <c r="X460" s="23"/>
    </row>
    <row r="461" spans="1:24" s="1" customFormat="1" ht="26" customHeight="1" x14ac:dyDescent="0.3">
      <c r="A461" s="24" t="s">
        <v>23</v>
      </c>
      <c r="B461" s="24" t="s">
        <v>574</v>
      </c>
      <c r="C461" s="12" t="s">
        <v>575</v>
      </c>
      <c r="D461" s="58"/>
      <c r="E461" s="43" t="str">
        <f>HYPERLINK("https://www.google.ru/search?q=18882-0512&amp;newwindow=1&amp;tbm=isch","Еще фото")</f>
        <v>Еще фото</v>
      </c>
      <c r="F461" s="14"/>
      <c r="G461" s="24" t="s">
        <v>237</v>
      </c>
      <c r="H461" s="24" t="s">
        <v>27</v>
      </c>
      <c r="I461" s="24" t="s">
        <v>237</v>
      </c>
      <c r="J461" s="15" t="s">
        <v>28</v>
      </c>
      <c r="K461" s="16" t="s">
        <v>29</v>
      </c>
      <c r="L461" s="61"/>
      <c r="M461" s="15" t="s">
        <v>72</v>
      </c>
      <c r="N461" s="15" t="s">
        <v>130</v>
      </c>
      <c r="O461" s="15" t="s">
        <v>121</v>
      </c>
      <c r="P461" s="16" t="s">
        <v>297</v>
      </c>
      <c r="Q461" s="17">
        <v>15799</v>
      </c>
      <c r="R461" s="18">
        <v>45.57</v>
      </c>
      <c r="S461" s="19">
        <v>9889.9884999999995</v>
      </c>
      <c r="T461" s="20" t="s">
        <v>75</v>
      </c>
      <c r="U461" s="21" t="s">
        <v>76</v>
      </c>
      <c r="V461" s="22">
        <v>40</v>
      </c>
      <c r="W461" s="22">
        <v>1</v>
      </c>
      <c r="X461" s="23"/>
    </row>
    <row r="462" spans="1:24" s="1" customFormat="1" ht="26" customHeight="1" x14ac:dyDescent="0.3">
      <c r="A462" s="24" t="s">
        <v>23</v>
      </c>
      <c r="B462" s="24" t="s">
        <v>574</v>
      </c>
      <c r="C462" s="12" t="s">
        <v>575</v>
      </c>
      <c r="D462" s="58"/>
      <c r="E462" s="43" t="str">
        <f>HYPERLINK("https://www.google.ru/search?q=18882-0512&amp;newwindow=1&amp;tbm=isch","Еще фото")</f>
        <v>Еще фото</v>
      </c>
      <c r="F462" s="14"/>
      <c r="G462" s="24" t="s">
        <v>237</v>
      </c>
      <c r="H462" s="24" t="s">
        <v>27</v>
      </c>
      <c r="I462" s="24" t="s">
        <v>237</v>
      </c>
      <c r="J462" s="15" t="s">
        <v>28</v>
      </c>
      <c r="K462" s="16" t="s">
        <v>29</v>
      </c>
      <c r="L462" s="61"/>
      <c r="M462" s="15" t="s">
        <v>72</v>
      </c>
      <c r="N462" s="15" t="s">
        <v>130</v>
      </c>
      <c r="O462" s="15" t="s">
        <v>121</v>
      </c>
      <c r="P462" s="16" t="s">
        <v>297</v>
      </c>
      <c r="Q462" s="17">
        <v>15799</v>
      </c>
      <c r="R462" s="18">
        <v>45.57</v>
      </c>
      <c r="S462" s="19">
        <v>9889.9884999999995</v>
      </c>
      <c r="T462" s="20" t="s">
        <v>75</v>
      </c>
      <c r="U462" s="21" t="s">
        <v>45</v>
      </c>
      <c r="V462" s="25" t="s">
        <v>44</v>
      </c>
      <c r="W462" s="22">
        <v>2</v>
      </c>
      <c r="X462" s="23"/>
    </row>
    <row r="463" spans="1:24" s="1" customFormat="1" ht="26" customHeight="1" x14ac:dyDescent="0.3">
      <c r="A463" s="24" t="s">
        <v>23</v>
      </c>
      <c r="B463" s="24" t="s">
        <v>574</v>
      </c>
      <c r="C463" s="12" t="s">
        <v>575</v>
      </c>
      <c r="D463" s="59"/>
      <c r="E463" s="43" t="str">
        <f>HYPERLINK("https://www.google.ru/search?q=18882-0512&amp;newwindow=1&amp;tbm=isch","Еще фото")</f>
        <v>Еще фото</v>
      </c>
      <c r="F463" s="14"/>
      <c r="G463" s="24" t="s">
        <v>237</v>
      </c>
      <c r="H463" s="24" t="s">
        <v>27</v>
      </c>
      <c r="I463" s="24" t="s">
        <v>237</v>
      </c>
      <c r="J463" s="15" t="s">
        <v>28</v>
      </c>
      <c r="K463" s="16" t="s">
        <v>29</v>
      </c>
      <c r="L463" s="62"/>
      <c r="M463" s="15" t="s">
        <v>72</v>
      </c>
      <c r="N463" s="15" t="s">
        <v>130</v>
      </c>
      <c r="O463" s="15" t="s">
        <v>121</v>
      </c>
      <c r="P463" s="16" t="s">
        <v>297</v>
      </c>
      <c r="Q463" s="17">
        <v>15799</v>
      </c>
      <c r="R463" s="18">
        <v>45.57</v>
      </c>
      <c r="S463" s="19">
        <v>9889.9884999999995</v>
      </c>
      <c r="T463" s="20" t="s">
        <v>75</v>
      </c>
      <c r="U463" s="21" t="s">
        <v>51</v>
      </c>
      <c r="V463" s="22">
        <v>44</v>
      </c>
      <c r="W463" s="22">
        <v>1</v>
      </c>
      <c r="X463" s="23"/>
    </row>
    <row r="464" spans="1:24" s="1" customFormat="1" ht="108" customHeight="1" x14ac:dyDescent="0.3">
      <c r="A464" s="11" t="s">
        <v>23</v>
      </c>
      <c r="B464" s="11" t="s">
        <v>577</v>
      </c>
      <c r="C464" s="12" t="s">
        <v>578</v>
      </c>
      <c r="D464" s="13"/>
      <c r="E464" s="43" t="str">
        <f>HYPERLINK("https://www.google.ru/search?q=29507-1367&amp;newwindow=1&amp;tbm=isch","Еще фото")</f>
        <v>Еще фото</v>
      </c>
      <c r="F464" s="14"/>
      <c r="G464" s="11" t="s">
        <v>237</v>
      </c>
      <c r="H464" s="11" t="s">
        <v>27</v>
      </c>
      <c r="I464" s="15" t="s">
        <v>237</v>
      </c>
      <c r="J464" s="15" t="s">
        <v>37</v>
      </c>
      <c r="K464" s="16" t="s">
        <v>57</v>
      </c>
      <c r="L464" s="15" t="s">
        <v>579</v>
      </c>
      <c r="M464" s="15"/>
      <c r="N464" s="15" t="s">
        <v>130</v>
      </c>
      <c r="O464" s="15"/>
      <c r="P464" s="16" t="s">
        <v>580</v>
      </c>
      <c r="Q464" s="17">
        <v>15799</v>
      </c>
      <c r="R464" s="18">
        <v>45.57</v>
      </c>
      <c r="S464" s="19">
        <v>9889.9884999999995</v>
      </c>
      <c r="T464" s="20" t="s">
        <v>75</v>
      </c>
      <c r="U464" s="21" t="s">
        <v>173</v>
      </c>
      <c r="V464" s="25" t="s">
        <v>63</v>
      </c>
      <c r="W464" s="22">
        <v>1</v>
      </c>
      <c r="X464" s="23"/>
    </row>
    <row r="465" spans="1:24" s="1" customFormat="1" ht="108" customHeight="1" x14ac:dyDescent="0.3">
      <c r="A465" s="11" t="s">
        <v>23</v>
      </c>
      <c r="B465" s="11" t="s">
        <v>581</v>
      </c>
      <c r="C465" s="12" t="s">
        <v>582</v>
      </c>
      <c r="D465" s="13"/>
      <c r="E465" s="43" t="str">
        <f>HYPERLINK("https://www.google.ru/search?q=A2088-0050&amp;newwindow=1&amp;tbm=isch","Еще фото")</f>
        <v>Еще фото</v>
      </c>
      <c r="F465" s="14"/>
      <c r="G465" s="11" t="s">
        <v>237</v>
      </c>
      <c r="H465" s="11" t="s">
        <v>27</v>
      </c>
      <c r="I465" s="15" t="s">
        <v>237</v>
      </c>
      <c r="J465" s="15" t="s">
        <v>37</v>
      </c>
      <c r="K465" s="16" t="s">
        <v>57</v>
      </c>
      <c r="L465" s="15" t="s">
        <v>583</v>
      </c>
      <c r="M465" s="15"/>
      <c r="N465" s="15" t="s">
        <v>130</v>
      </c>
      <c r="O465" s="15"/>
      <c r="P465" s="16" t="s">
        <v>584</v>
      </c>
      <c r="Q465" s="17">
        <v>17999</v>
      </c>
      <c r="R465" s="18">
        <v>45.55</v>
      </c>
      <c r="S465" s="19">
        <v>11269.988499999999</v>
      </c>
      <c r="T465" s="20" t="s">
        <v>75</v>
      </c>
      <c r="U465" s="21" t="s">
        <v>89</v>
      </c>
      <c r="V465" s="22">
        <v>50</v>
      </c>
      <c r="W465" s="22">
        <v>1</v>
      </c>
      <c r="X465" s="23"/>
    </row>
    <row r="466" spans="1:24" s="1" customFormat="1" ht="108" customHeight="1" x14ac:dyDescent="0.3">
      <c r="A466" s="11" t="s">
        <v>23</v>
      </c>
      <c r="B466" s="11" t="s">
        <v>585</v>
      </c>
      <c r="C466" s="12" t="s">
        <v>586</v>
      </c>
      <c r="D466" s="13"/>
      <c r="E466" s="43" t="str">
        <f>HYPERLINK("https://www.google.ru/search?q=00501-3853&amp;newwindow=1&amp;tbm=isch","Еще фото")</f>
        <v>Еще фото</v>
      </c>
      <c r="F466" s="14"/>
      <c r="G466" s="11" t="s">
        <v>237</v>
      </c>
      <c r="H466" s="11" t="s">
        <v>27</v>
      </c>
      <c r="I466" s="15" t="s">
        <v>237</v>
      </c>
      <c r="J466" s="15" t="s">
        <v>37</v>
      </c>
      <c r="K466" s="16" t="s">
        <v>57</v>
      </c>
      <c r="L466" s="15"/>
      <c r="M466" s="15"/>
      <c r="N466" s="15" t="s">
        <v>31</v>
      </c>
      <c r="O466" s="15"/>
      <c r="P466" s="16" t="s">
        <v>32</v>
      </c>
      <c r="Q466" s="17">
        <v>10099</v>
      </c>
      <c r="R466" s="18">
        <v>45.54</v>
      </c>
      <c r="S466" s="19">
        <v>6324.9884999999995</v>
      </c>
      <c r="T466" s="20" t="s">
        <v>75</v>
      </c>
      <c r="U466" s="21" t="s">
        <v>167</v>
      </c>
      <c r="V466" s="22">
        <v>52</v>
      </c>
      <c r="W466" s="22">
        <v>1</v>
      </c>
      <c r="X466" s="23"/>
    </row>
    <row r="467" spans="1:24" s="1" customFormat="1" ht="108" customHeight="1" x14ac:dyDescent="0.3">
      <c r="A467" s="11" t="s">
        <v>23</v>
      </c>
      <c r="B467" s="11" t="s">
        <v>587</v>
      </c>
      <c r="C467" s="12" t="s">
        <v>588</v>
      </c>
      <c r="D467" s="13"/>
      <c r="E467" s="43" t="str">
        <f>HYPERLINK("https://www.google.ru/search?q=05510-1299&amp;newwindow=1&amp;tbm=isch","Еще фото")</f>
        <v>Еще фото</v>
      </c>
      <c r="F467" s="14"/>
      <c r="G467" s="11" t="s">
        <v>237</v>
      </c>
      <c r="H467" s="11" t="s">
        <v>27</v>
      </c>
      <c r="I467" s="15" t="s">
        <v>237</v>
      </c>
      <c r="J467" s="15" t="s">
        <v>37</v>
      </c>
      <c r="K467" s="16" t="s">
        <v>57</v>
      </c>
      <c r="L467" s="15" t="s">
        <v>357</v>
      </c>
      <c r="M467" s="15"/>
      <c r="N467" s="15" t="s">
        <v>138</v>
      </c>
      <c r="O467" s="15"/>
      <c r="P467" s="16" t="s">
        <v>589</v>
      </c>
      <c r="Q467" s="17">
        <v>13399</v>
      </c>
      <c r="R467" s="18">
        <v>45.52</v>
      </c>
      <c r="S467" s="19">
        <v>8394.9884999999995</v>
      </c>
      <c r="T467" s="20" t="s">
        <v>75</v>
      </c>
      <c r="U467" s="21" t="s">
        <v>140</v>
      </c>
      <c r="V467" s="25" t="s">
        <v>65</v>
      </c>
      <c r="W467" s="22">
        <v>1</v>
      </c>
      <c r="X467" s="23"/>
    </row>
    <row r="468" spans="1:24" s="1" customFormat="1" ht="35" customHeight="1" x14ac:dyDescent="0.3">
      <c r="A468" s="11" t="s">
        <v>23</v>
      </c>
      <c r="B468" s="11" t="s">
        <v>590</v>
      </c>
      <c r="C468" s="12" t="s">
        <v>591</v>
      </c>
      <c r="D468" s="57"/>
      <c r="E468" s="43" t="str">
        <f>HYPERLINK("https://www.google.ru/search?q=04511-5937&amp;newwindow=1&amp;tbm=isch","Еще фото")</f>
        <v>Еще фото</v>
      </c>
      <c r="F468" s="14"/>
      <c r="G468" s="11" t="s">
        <v>237</v>
      </c>
      <c r="H468" s="11" t="s">
        <v>27</v>
      </c>
      <c r="I468" s="15" t="s">
        <v>237</v>
      </c>
      <c r="J468" s="15" t="s">
        <v>37</v>
      </c>
      <c r="K468" s="16" t="s">
        <v>57</v>
      </c>
      <c r="L468" s="60" t="s">
        <v>592</v>
      </c>
      <c r="M468" s="15"/>
      <c r="N468" s="15" t="s">
        <v>138</v>
      </c>
      <c r="O468" s="15"/>
      <c r="P468" s="16" t="s">
        <v>593</v>
      </c>
      <c r="Q468" s="17">
        <v>16699</v>
      </c>
      <c r="R468" s="18">
        <v>45.51</v>
      </c>
      <c r="S468" s="19">
        <v>10464.988499999999</v>
      </c>
      <c r="T468" s="20" t="s">
        <v>75</v>
      </c>
      <c r="U468" s="21" t="s">
        <v>173</v>
      </c>
      <c r="V468" s="25" t="s">
        <v>63</v>
      </c>
      <c r="W468" s="22">
        <v>1</v>
      </c>
      <c r="X468" s="23"/>
    </row>
    <row r="469" spans="1:24" s="1" customFormat="1" ht="35" customHeight="1" x14ac:dyDescent="0.3">
      <c r="A469" s="24" t="s">
        <v>23</v>
      </c>
      <c r="B469" s="24" t="s">
        <v>590</v>
      </c>
      <c r="C469" s="12" t="s">
        <v>591</v>
      </c>
      <c r="D469" s="58"/>
      <c r="E469" s="43" t="str">
        <f>HYPERLINK("https://www.google.ru/search?q=04511-5937&amp;newwindow=1&amp;tbm=isch","Еще фото")</f>
        <v>Еще фото</v>
      </c>
      <c r="F469" s="14"/>
      <c r="G469" s="24" t="s">
        <v>237</v>
      </c>
      <c r="H469" s="24" t="s">
        <v>27</v>
      </c>
      <c r="I469" s="24" t="s">
        <v>237</v>
      </c>
      <c r="J469" s="15" t="s">
        <v>37</v>
      </c>
      <c r="K469" s="16" t="s">
        <v>57</v>
      </c>
      <c r="L469" s="61"/>
      <c r="M469" s="15"/>
      <c r="N469" s="15" t="s">
        <v>138</v>
      </c>
      <c r="O469" s="15"/>
      <c r="P469" s="16" t="s">
        <v>593</v>
      </c>
      <c r="Q469" s="17">
        <v>16699</v>
      </c>
      <c r="R469" s="18">
        <v>45.51</v>
      </c>
      <c r="S469" s="19">
        <v>10464.988499999999</v>
      </c>
      <c r="T469" s="20" t="s">
        <v>75</v>
      </c>
      <c r="U469" s="21" t="s">
        <v>53</v>
      </c>
      <c r="V469" s="22">
        <v>46</v>
      </c>
      <c r="W469" s="22">
        <v>1</v>
      </c>
      <c r="X469" s="23"/>
    </row>
    <row r="470" spans="1:24" s="1" customFormat="1" ht="37.049999999999997" customHeight="1" x14ac:dyDescent="0.3">
      <c r="A470" s="24" t="s">
        <v>23</v>
      </c>
      <c r="B470" s="24" t="s">
        <v>590</v>
      </c>
      <c r="C470" s="12" t="s">
        <v>591</v>
      </c>
      <c r="D470" s="59"/>
      <c r="E470" s="43" t="str">
        <f>HYPERLINK("https://www.google.ru/search?q=04511-5937&amp;newwindow=1&amp;tbm=isch","Еще фото")</f>
        <v>Еще фото</v>
      </c>
      <c r="F470" s="14"/>
      <c r="G470" s="24" t="s">
        <v>237</v>
      </c>
      <c r="H470" s="24" t="s">
        <v>27</v>
      </c>
      <c r="I470" s="24" t="s">
        <v>237</v>
      </c>
      <c r="J470" s="15" t="s">
        <v>37</v>
      </c>
      <c r="K470" s="16" t="s">
        <v>57</v>
      </c>
      <c r="L470" s="62"/>
      <c r="M470" s="15"/>
      <c r="N470" s="15" t="s">
        <v>138</v>
      </c>
      <c r="O470" s="15"/>
      <c r="P470" s="16" t="s">
        <v>593</v>
      </c>
      <c r="Q470" s="17">
        <v>16699</v>
      </c>
      <c r="R470" s="18">
        <v>45.51</v>
      </c>
      <c r="S470" s="19">
        <v>10464.988499999999</v>
      </c>
      <c r="T470" s="20" t="s">
        <v>75</v>
      </c>
      <c r="U470" s="21" t="s">
        <v>100</v>
      </c>
      <c r="V470" s="22">
        <v>50</v>
      </c>
      <c r="W470" s="22">
        <v>1</v>
      </c>
      <c r="X470" s="23"/>
    </row>
    <row r="471" spans="1:24" s="1" customFormat="1" ht="108" customHeight="1" x14ac:dyDescent="0.3">
      <c r="A471" s="11" t="s">
        <v>23</v>
      </c>
      <c r="B471" s="11" t="s">
        <v>594</v>
      </c>
      <c r="C471" s="12" t="s">
        <v>595</v>
      </c>
      <c r="D471" s="13"/>
      <c r="E471" s="43" t="str">
        <f>HYPERLINK("https://www.google.ru/search?q=29507-1455&amp;newwindow=1&amp;tbm=isch","Еще фото")</f>
        <v>Еще фото</v>
      </c>
      <c r="F471" s="14"/>
      <c r="G471" s="11" t="s">
        <v>237</v>
      </c>
      <c r="H471" s="11" t="s">
        <v>27</v>
      </c>
      <c r="I471" s="15" t="s">
        <v>237</v>
      </c>
      <c r="J471" s="15" t="s">
        <v>37</v>
      </c>
      <c r="K471" s="16" t="s">
        <v>57</v>
      </c>
      <c r="L471" s="15" t="s">
        <v>596</v>
      </c>
      <c r="M471" s="15"/>
      <c r="N471" s="15" t="s">
        <v>138</v>
      </c>
      <c r="O471" s="15"/>
      <c r="P471" s="16" t="s">
        <v>593</v>
      </c>
      <c r="Q471" s="17">
        <v>16699</v>
      </c>
      <c r="R471" s="18">
        <v>45.51</v>
      </c>
      <c r="S471" s="19">
        <v>10464.988499999999</v>
      </c>
      <c r="T471" s="20" t="s">
        <v>75</v>
      </c>
      <c r="U471" s="21" t="s">
        <v>53</v>
      </c>
      <c r="V471" s="22">
        <v>46</v>
      </c>
      <c r="W471" s="22">
        <v>1</v>
      </c>
      <c r="X471" s="23"/>
    </row>
    <row r="472" spans="1:24" s="1" customFormat="1" ht="52.05" customHeight="1" x14ac:dyDescent="0.3">
      <c r="A472" s="11" t="s">
        <v>23</v>
      </c>
      <c r="B472" s="11" t="s">
        <v>597</v>
      </c>
      <c r="C472" s="12" t="s">
        <v>598</v>
      </c>
      <c r="D472" s="63"/>
      <c r="E472" s="43" t="str">
        <f>HYPERLINK("https://www.google.ru/search?q=18883-0140&amp;newwindow=1&amp;tbm=isch","Еще фото")</f>
        <v>Еще фото</v>
      </c>
      <c r="F472" s="14"/>
      <c r="G472" s="11" t="s">
        <v>237</v>
      </c>
      <c r="H472" s="11" t="s">
        <v>27</v>
      </c>
      <c r="I472" s="15" t="s">
        <v>237</v>
      </c>
      <c r="J472" s="15" t="s">
        <v>28</v>
      </c>
      <c r="K472" s="16" t="s">
        <v>29</v>
      </c>
      <c r="L472" s="60" t="s">
        <v>599</v>
      </c>
      <c r="M472" s="15" t="s">
        <v>72</v>
      </c>
      <c r="N472" s="15" t="s">
        <v>138</v>
      </c>
      <c r="O472" s="15" t="s">
        <v>121</v>
      </c>
      <c r="P472" s="16" t="s">
        <v>297</v>
      </c>
      <c r="Q472" s="17">
        <v>17799</v>
      </c>
      <c r="R472" s="18">
        <v>45.5</v>
      </c>
      <c r="S472" s="19">
        <v>11154.988499999999</v>
      </c>
      <c r="T472" s="20" t="s">
        <v>75</v>
      </c>
      <c r="U472" s="21" t="s">
        <v>298</v>
      </c>
      <c r="V472" s="22">
        <v>38</v>
      </c>
      <c r="W472" s="22">
        <v>7</v>
      </c>
      <c r="X472" s="23"/>
    </row>
    <row r="473" spans="1:24" s="1" customFormat="1" ht="61.05" customHeight="1" x14ac:dyDescent="0.3">
      <c r="A473" s="24" t="s">
        <v>23</v>
      </c>
      <c r="B473" s="24" t="s">
        <v>597</v>
      </c>
      <c r="C473" s="12" t="s">
        <v>598</v>
      </c>
      <c r="D473" s="64"/>
      <c r="E473" s="43" t="str">
        <f>HYPERLINK("https://www.google.ru/search?q=18883-0140&amp;newwindow=1&amp;tbm=isch","Еще фото")</f>
        <v>Еще фото</v>
      </c>
      <c r="F473" s="14"/>
      <c r="G473" s="24" t="s">
        <v>237</v>
      </c>
      <c r="H473" s="24" t="s">
        <v>27</v>
      </c>
      <c r="I473" s="24" t="s">
        <v>237</v>
      </c>
      <c r="J473" s="15" t="s">
        <v>28</v>
      </c>
      <c r="K473" s="16" t="s">
        <v>29</v>
      </c>
      <c r="L473" s="62"/>
      <c r="M473" s="15" t="s">
        <v>72</v>
      </c>
      <c r="N473" s="15" t="s">
        <v>138</v>
      </c>
      <c r="O473" s="15" t="s">
        <v>121</v>
      </c>
      <c r="P473" s="16" t="s">
        <v>297</v>
      </c>
      <c r="Q473" s="17">
        <v>17799</v>
      </c>
      <c r="R473" s="18">
        <v>45.5</v>
      </c>
      <c r="S473" s="19">
        <v>11154.988499999999</v>
      </c>
      <c r="T473" s="20" t="s">
        <v>75</v>
      </c>
      <c r="U473" s="21" t="s">
        <v>299</v>
      </c>
      <c r="V473" s="22">
        <v>38</v>
      </c>
      <c r="W473" s="22">
        <v>2</v>
      </c>
      <c r="X473" s="23"/>
    </row>
    <row r="474" spans="1:24" s="1" customFormat="1" ht="108" customHeight="1" x14ac:dyDescent="0.3">
      <c r="A474" s="11" t="s">
        <v>23</v>
      </c>
      <c r="B474" s="11" t="s">
        <v>600</v>
      </c>
      <c r="C474" s="12" t="s">
        <v>601</v>
      </c>
      <c r="D474" s="13"/>
      <c r="E474" s="43" t="str">
        <f>HYPERLINK("https://www.google.ru/search?q=28833-0910&amp;newwindow=1&amp;tbm=isch","Еще фото")</f>
        <v>Еще фото</v>
      </c>
      <c r="F474" s="14"/>
      <c r="G474" s="11" t="s">
        <v>237</v>
      </c>
      <c r="H474" s="11" t="s">
        <v>27</v>
      </c>
      <c r="I474" s="15" t="s">
        <v>237</v>
      </c>
      <c r="J474" s="15" t="s">
        <v>28</v>
      </c>
      <c r="K474" s="16" t="s">
        <v>57</v>
      </c>
      <c r="L474" s="15" t="s">
        <v>602</v>
      </c>
      <c r="M474" s="15" t="s">
        <v>72</v>
      </c>
      <c r="N474" s="15" t="s">
        <v>130</v>
      </c>
      <c r="O474" s="15" t="s">
        <v>121</v>
      </c>
      <c r="P474" s="16" t="s">
        <v>358</v>
      </c>
      <c r="Q474" s="17">
        <v>17799</v>
      </c>
      <c r="R474" s="18">
        <v>45.5</v>
      </c>
      <c r="S474" s="19">
        <v>11154.988499999999</v>
      </c>
      <c r="T474" s="20" t="s">
        <v>75</v>
      </c>
      <c r="U474" s="21" t="s">
        <v>51</v>
      </c>
      <c r="V474" s="22">
        <v>44</v>
      </c>
      <c r="W474" s="22">
        <v>1</v>
      </c>
      <c r="X474" s="23"/>
    </row>
    <row r="475" spans="1:24" s="1" customFormat="1" ht="52.05" customHeight="1" x14ac:dyDescent="0.3">
      <c r="A475" s="11" t="s">
        <v>23</v>
      </c>
      <c r="B475" s="11" t="s">
        <v>330</v>
      </c>
      <c r="C475" s="12" t="s">
        <v>603</v>
      </c>
      <c r="D475" s="63"/>
      <c r="E475" s="43" t="str">
        <f>HYPERLINK("https://www.google.ru/search?q=52797-0301&amp;newwindow=1&amp;tbm=isch","Еще фото")</f>
        <v>Еще фото</v>
      </c>
      <c r="F475" s="14"/>
      <c r="G475" s="11" t="s">
        <v>237</v>
      </c>
      <c r="H475" s="11" t="s">
        <v>27</v>
      </c>
      <c r="I475" s="15" t="s">
        <v>237</v>
      </c>
      <c r="J475" s="15" t="s">
        <v>28</v>
      </c>
      <c r="K475" s="16" t="s">
        <v>29</v>
      </c>
      <c r="L475" s="60" t="s">
        <v>604</v>
      </c>
      <c r="M475" s="15"/>
      <c r="N475" s="15" t="s">
        <v>138</v>
      </c>
      <c r="O475" s="15"/>
      <c r="P475" s="16" t="s">
        <v>605</v>
      </c>
      <c r="Q475" s="17">
        <v>17799</v>
      </c>
      <c r="R475" s="18">
        <v>45.5</v>
      </c>
      <c r="S475" s="19">
        <v>11154.988499999999</v>
      </c>
      <c r="T475" s="20" t="s">
        <v>75</v>
      </c>
      <c r="U475" s="21" t="s">
        <v>45</v>
      </c>
      <c r="V475" s="25" t="s">
        <v>44</v>
      </c>
      <c r="W475" s="22">
        <v>1</v>
      </c>
      <c r="X475" s="23"/>
    </row>
    <row r="476" spans="1:24" s="1" customFormat="1" ht="61.05" customHeight="1" x14ac:dyDescent="0.3">
      <c r="A476" s="24" t="s">
        <v>23</v>
      </c>
      <c r="B476" s="24" t="s">
        <v>330</v>
      </c>
      <c r="C476" s="12" t="s">
        <v>603</v>
      </c>
      <c r="D476" s="64"/>
      <c r="E476" s="43" t="str">
        <f>HYPERLINK("https://www.google.ru/search?q=52797-0301&amp;newwindow=1&amp;tbm=isch","Еще фото")</f>
        <v>Еще фото</v>
      </c>
      <c r="F476" s="14"/>
      <c r="G476" s="24" t="s">
        <v>237</v>
      </c>
      <c r="H476" s="24" t="s">
        <v>27</v>
      </c>
      <c r="I476" s="24" t="s">
        <v>237</v>
      </c>
      <c r="J476" s="15" t="s">
        <v>28</v>
      </c>
      <c r="K476" s="16" t="s">
        <v>29</v>
      </c>
      <c r="L476" s="62"/>
      <c r="M476" s="15"/>
      <c r="N476" s="15" t="s">
        <v>138</v>
      </c>
      <c r="O476" s="15"/>
      <c r="P476" s="16" t="s">
        <v>605</v>
      </c>
      <c r="Q476" s="17">
        <v>17799</v>
      </c>
      <c r="R476" s="18">
        <v>45.5</v>
      </c>
      <c r="S476" s="19">
        <v>11154.988499999999</v>
      </c>
      <c r="T476" s="20" t="s">
        <v>75</v>
      </c>
      <c r="U476" s="21" t="s">
        <v>50</v>
      </c>
      <c r="V476" s="22">
        <v>44</v>
      </c>
      <c r="W476" s="22">
        <v>1</v>
      </c>
      <c r="X476" s="23"/>
    </row>
    <row r="477" spans="1:24" s="1" customFormat="1" ht="108" customHeight="1" x14ac:dyDescent="0.3">
      <c r="A477" s="11" t="s">
        <v>23</v>
      </c>
      <c r="B477" s="11" t="s">
        <v>606</v>
      </c>
      <c r="C477" s="12" t="s">
        <v>607</v>
      </c>
      <c r="D477" s="13"/>
      <c r="E477" s="43" t="str">
        <f>HYPERLINK("https://www.google.ru/search?q=04511-4911&amp;newwindow=1&amp;tbm=isch","Еще фото")</f>
        <v>Еще фото</v>
      </c>
      <c r="F477" s="14"/>
      <c r="G477" s="11" t="s">
        <v>237</v>
      </c>
      <c r="H477" s="11" t="s">
        <v>27</v>
      </c>
      <c r="I477" s="15" t="s">
        <v>237</v>
      </c>
      <c r="J477" s="15" t="s">
        <v>37</v>
      </c>
      <c r="K477" s="16" t="s">
        <v>57</v>
      </c>
      <c r="L477" s="15" t="s">
        <v>608</v>
      </c>
      <c r="M477" s="15"/>
      <c r="N477" s="15" t="s">
        <v>249</v>
      </c>
      <c r="O477" s="15"/>
      <c r="P477" s="16" t="s">
        <v>564</v>
      </c>
      <c r="Q477" s="17">
        <v>18899</v>
      </c>
      <c r="R477" s="18">
        <v>45.5</v>
      </c>
      <c r="S477" s="19">
        <v>11844.988499999999</v>
      </c>
      <c r="T477" s="20" t="s">
        <v>75</v>
      </c>
      <c r="U477" s="21" t="s">
        <v>173</v>
      </c>
      <c r="V477" s="25" t="s">
        <v>63</v>
      </c>
      <c r="W477" s="22">
        <v>1</v>
      </c>
      <c r="X477" s="23"/>
    </row>
    <row r="478" spans="1:24" s="1" customFormat="1" ht="35" customHeight="1" x14ac:dyDescent="0.3">
      <c r="A478" s="11" t="s">
        <v>23</v>
      </c>
      <c r="B478" s="11" t="s">
        <v>609</v>
      </c>
      <c r="C478" s="12" t="s">
        <v>610</v>
      </c>
      <c r="D478" s="57"/>
      <c r="E478" s="43" t="str">
        <f>HYPERLINK("https://www.google.ru/search?q=05510-1200&amp;newwindow=1&amp;tbm=isch","Еще фото")</f>
        <v>Еще фото</v>
      </c>
      <c r="F478" s="14"/>
      <c r="G478" s="11" t="s">
        <v>237</v>
      </c>
      <c r="H478" s="11" t="s">
        <v>27</v>
      </c>
      <c r="I478" s="15" t="s">
        <v>237</v>
      </c>
      <c r="J478" s="15" t="s">
        <v>37</v>
      </c>
      <c r="K478" s="16" t="s">
        <v>57</v>
      </c>
      <c r="L478" s="60" t="s">
        <v>427</v>
      </c>
      <c r="M478" s="15"/>
      <c r="N478" s="15" t="s">
        <v>130</v>
      </c>
      <c r="O478" s="15"/>
      <c r="P478" s="16" t="s">
        <v>358</v>
      </c>
      <c r="Q478" s="17">
        <v>18899</v>
      </c>
      <c r="R478" s="18">
        <v>45.5</v>
      </c>
      <c r="S478" s="19">
        <v>11844.988499999999</v>
      </c>
      <c r="T478" s="20" t="s">
        <v>75</v>
      </c>
      <c r="U478" s="21" t="s">
        <v>173</v>
      </c>
      <c r="V478" s="25" t="s">
        <v>63</v>
      </c>
      <c r="W478" s="22">
        <v>1</v>
      </c>
      <c r="X478" s="23"/>
    </row>
    <row r="479" spans="1:24" s="1" customFormat="1" ht="35" customHeight="1" x14ac:dyDescent="0.3">
      <c r="A479" s="24" t="s">
        <v>23</v>
      </c>
      <c r="B479" s="24" t="s">
        <v>609</v>
      </c>
      <c r="C479" s="12" t="s">
        <v>610</v>
      </c>
      <c r="D479" s="58"/>
      <c r="E479" s="43" t="str">
        <f>HYPERLINK("https://www.google.ru/search?q=05510-1200&amp;newwindow=1&amp;tbm=isch","Еще фото")</f>
        <v>Еще фото</v>
      </c>
      <c r="F479" s="14"/>
      <c r="G479" s="24" t="s">
        <v>237</v>
      </c>
      <c r="H479" s="24" t="s">
        <v>27</v>
      </c>
      <c r="I479" s="24" t="s">
        <v>237</v>
      </c>
      <c r="J479" s="15" t="s">
        <v>37</v>
      </c>
      <c r="K479" s="16" t="s">
        <v>57</v>
      </c>
      <c r="L479" s="61"/>
      <c r="M479" s="15"/>
      <c r="N479" s="15" t="s">
        <v>130</v>
      </c>
      <c r="O479" s="15"/>
      <c r="P479" s="16" t="s">
        <v>358</v>
      </c>
      <c r="Q479" s="17">
        <v>18899</v>
      </c>
      <c r="R479" s="18">
        <v>45.5</v>
      </c>
      <c r="S479" s="19">
        <v>11844.988499999999</v>
      </c>
      <c r="T479" s="20" t="s">
        <v>75</v>
      </c>
      <c r="U479" s="21" t="s">
        <v>53</v>
      </c>
      <c r="V479" s="22">
        <v>46</v>
      </c>
      <c r="W479" s="22">
        <v>2</v>
      </c>
      <c r="X479" s="23"/>
    </row>
    <row r="480" spans="1:24" s="1" customFormat="1" ht="37.049999999999997" customHeight="1" x14ac:dyDescent="0.3">
      <c r="A480" s="24" t="s">
        <v>23</v>
      </c>
      <c r="B480" s="24" t="s">
        <v>609</v>
      </c>
      <c r="C480" s="12" t="s">
        <v>610</v>
      </c>
      <c r="D480" s="59"/>
      <c r="E480" s="43" t="str">
        <f>HYPERLINK("https://www.google.ru/search?q=05510-1200&amp;newwindow=1&amp;tbm=isch","Еще фото")</f>
        <v>Еще фото</v>
      </c>
      <c r="F480" s="14"/>
      <c r="G480" s="24" t="s">
        <v>237</v>
      </c>
      <c r="H480" s="24" t="s">
        <v>27</v>
      </c>
      <c r="I480" s="24" t="s">
        <v>237</v>
      </c>
      <c r="J480" s="15" t="s">
        <v>37</v>
      </c>
      <c r="K480" s="16" t="s">
        <v>57</v>
      </c>
      <c r="L480" s="62"/>
      <c r="M480" s="15"/>
      <c r="N480" s="15" t="s">
        <v>130</v>
      </c>
      <c r="O480" s="15"/>
      <c r="P480" s="16" t="s">
        <v>358</v>
      </c>
      <c r="Q480" s="17">
        <v>18899</v>
      </c>
      <c r="R480" s="18">
        <v>45.5</v>
      </c>
      <c r="S480" s="19">
        <v>11844.988499999999</v>
      </c>
      <c r="T480" s="20" t="s">
        <v>75</v>
      </c>
      <c r="U480" s="21" t="s">
        <v>104</v>
      </c>
      <c r="V480" s="22">
        <v>48</v>
      </c>
      <c r="W480" s="22">
        <v>1</v>
      </c>
      <c r="X480" s="23"/>
    </row>
    <row r="481" spans="1:24" s="1" customFormat="1" ht="52.05" customHeight="1" x14ac:dyDescent="0.3">
      <c r="A481" s="11" t="s">
        <v>23</v>
      </c>
      <c r="B481" s="11" t="s">
        <v>611</v>
      </c>
      <c r="C481" s="12" t="s">
        <v>612</v>
      </c>
      <c r="D481" s="63"/>
      <c r="E481" s="43" t="str">
        <f>HYPERLINK("https://www.google.ru/search?q=18882-0554&amp;newwindow=1&amp;tbm=isch","Еще фото")</f>
        <v>Еще фото</v>
      </c>
      <c r="F481" s="14"/>
      <c r="G481" s="11" t="s">
        <v>237</v>
      </c>
      <c r="H481" s="11" t="s">
        <v>27</v>
      </c>
      <c r="I481" s="15" t="s">
        <v>237</v>
      </c>
      <c r="J481" s="15" t="s">
        <v>37</v>
      </c>
      <c r="K481" s="16" t="s">
        <v>29</v>
      </c>
      <c r="L481" s="60" t="s">
        <v>613</v>
      </c>
      <c r="M481" s="15"/>
      <c r="N481" s="15" t="s">
        <v>130</v>
      </c>
      <c r="O481" s="15"/>
      <c r="P481" s="16" t="s">
        <v>297</v>
      </c>
      <c r="Q481" s="17">
        <v>18899</v>
      </c>
      <c r="R481" s="18">
        <v>45.5</v>
      </c>
      <c r="S481" s="19">
        <v>11844.988499999999</v>
      </c>
      <c r="T481" s="20" t="s">
        <v>75</v>
      </c>
      <c r="U481" s="21" t="s">
        <v>49</v>
      </c>
      <c r="V481" s="25" t="s">
        <v>48</v>
      </c>
      <c r="W481" s="22">
        <v>1</v>
      </c>
      <c r="X481" s="23"/>
    </row>
    <row r="482" spans="1:24" s="1" customFormat="1" ht="61.05" customHeight="1" x14ac:dyDescent="0.3">
      <c r="A482" s="24" t="s">
        <v>23</v>
      </c>
      <c r="B482" s="24" t="s">
        <v>611</v>
      </c>
      <c r="C482" s="12" t="s">
        <v>612</v>
      </c>
      <c r="D482" s="64"/>
      <c r="E482" s="43" t="str">
        <f>HYPERLINK("https://www.google.ru/search?q=18882-0554&amp;newwindow=1&amp;tbm=isch","Еще фото")</f>
        <v>Еще фото</v>
      </c>
      <c r="F482" s="14"/>
      <c r="G482" s="24" t="s">
        <v>237</v>
      </c>
      <c r="H482" s="24" t="s">
        <v>27</v>
      </c>
      <c r="I482" s="24" t="s">
        <v>237</v>
      </c>
      <c r="J482" s="15" t="s">
        <v>37</v>
      </c>
      <c r="K482" s="16" t="s">
        <v>29</v>
      </c>
      <c r="L482" s="62"/>
      <c r="M482" s="15"/>
      <c r="N482" s="15" t="s">
        <v>130</v>
      </c>
      <c r="O482" s="15"/>
      <c r="P482" s="16" t="s">
        <v>297</v>
      </c>
      <c r="Q482" s="17">
        <v>18899</v>
      </c>
      <c r="R482" s="18">
        <v>45.5</v>
      </c>
      <c r="S482" s="19">
        <v>11844.988499999999</v>
      </c>
      <c r="T482" s="20" t="s">
        <v>75</v>
      </c>
      <c r="U482" s="21" t="s">
        <v>362</v>
      </c>
      <c r="V482" s="22">
        <v>44</v>
      </c>
      <c r="W482" s="22">
        <v>1</v>
      </c>
      <c r="X482" s="23"/>
    </row>
    <row r="483" spans="1:24" s="1" customFormat="1" ht="108" customHeight="1" x14ac:dyDescent="0.3">
      <c r="A483" s="11" t="s">
        <v>23</v>
      </c>
      <c r="B483" s="11" t="s">
        <v>614</v>
      </c>
      <c r="C483" s="12" t="s">
        <v>615</v>
      </c>
      <c r="D483" s="13"/>
      <c r="E483" s="43" t="str">
        <f>HYPERLINK("https://www.google.ru/search?q=28833-1440&amp;newwindow=1&amp;tbm=isch","Еще фото")</f>
        <v>Еще фото</v>
      </c>
      <c r="F483" s="14"/>
      <c r="G483" s="11" t="s">
        <v>237</v>
      </c>
      <c r="H483" s="11" t="s">
        <v>27</v>
      </c>
      <c r="I483" s="15" t="s">
        <v>237</v>
      </c>
      <c r="J483" s="15" t="s">
        <v>28</v>
      </c>
      <c r="K483" s="16" t="s">
        <v>57</v>
      </c>
      <c r="L483" s="15" t="s">
        <v>570</v>
      </c>
      <c r="M483" s="15"/>
      <c r="N483" s="15" t="s">
        <v>138</v>
      </c>
      <c r="O483" s="15"/>
      <c r="P483" s="16" t="s">
        <v>358</v>
      </c>
      <c r="Q483" s="17">
        <v>18899</v>
      </c>
      <c r="R483" s="18">
        <v>45.5</v>
      </c>
      <c r="S483" s="19">
        <v>11844.988499999999</v>
      </c>
      <c r="T483" s="20" t="s">
        <v>75</v>
      </c>
      <c r="U483" s="21" t="s">
        <v>109</v>
      </c>
      <c r="V483" s="25" t="s">
        <v>65</v>
      </c>
      <c r="W483" s="22">
        <v>1</v>
      </c>
      <c r="X483" s="23"/>
    </row>
    <row r="484" spans="1:24" s="1" customFormat="1" ht="52.05" customHeight="1" x14ac:dyDescent="0.3">
      <c r="A484" s="11" t="s">
        <v>23</v>
      </c>
      <c r="B484" s="11" t="s">
        <v>330</v>
      </c>
      <c r="C484" s="12" t="s">
        <v>616</v>
      </c>
      <c r="D484" s="63"/>
      <c r="E484" s="43" t="str">
        <f>HYPERLINK("https://www.google.ru/search?q=52797-0298&amp;newwindow=1&amp;tbm=isch","Еще фото")</f>
        <v>Еще фото</v>
      </c>
      <c r="F484" s="14"/>
      <c r="G484" s="11" t="s">
        <v>237</v>
      </c>
      <c r="H484" s="11" t="s">
        <v>27</v>
      </c>
      <c r="I484" s="15" t="s">
        <v>237</v>
      </c>
      <c r="J484" s="15" t="s">
        <v>28</v>
      </c>
      <c r="K484" s="16" t="s">
        <v>29</v>
      </c>
      <c r="L484" s="60" t="s">
        <v>617</v>
      </c>
      <c r="M484" s="15"/>
      <c r="N484" s="15" t="s">
        <v>87</v>
      </c>
      <c r="O484" s="15"/>
      <c r="P484" s="16" t="s">
        <v>297</v>
      </c>
      <c r="Q484" s="17">
        <v>18899</v>
      </c>
      <c r="R484" s="18">
        <v>45.5</v>
      </c>
      <c r="S484" s="19">
        <v>11844.988499999999</v>
      </c>
      <c r="T484" s="20" t="s">
        <v>75</v>
      </c>
      <c r="U484" s="21" t="s">
        <v>47</v>
      </c>
      <c r="V484" s="25" t="s">
        <v>48</v>
      </c>
      <c r="W484" s="22">
        <v>1</v>
      </c>
      <c r="X484" s="23"/>
    </row>
    <row r="485" spans="1:24" s="1" customFormat="1" ht="61.05" customHeight="1" x14ac:dyDescent="0.3">
      <c r="A485" s="24" t="s">
        <v>23</v>
      </c>
      <c r="B485" s="24" t="s">
        <v>330</v>
      </c>
      <c r="C485" s="12" t="s">
        <v>616</v>
      </c>
      <c r="D485" s="64"/>
      <c r="E485" s="43" t="str">
        <f>HYPERLINK("https://www.google.ru/search?q=52797-0298&amp;newwindow=1&amp;tbm=isch","Еще фото")</f>
        <v>Еще фото</v>
      </c>
      <c r="F485" s="14"/>
      <c r="G485" s="24" t="s">
        <v>237</v>
      </c>
      <c r="H485" s="24" t="s">
        <v>27</v>
      </c>
      <c r="I485" s="24" t="s">
        <v>237</v>
      </c>
      <c r="J485" s="15" t="s">
        <v>28</v>
      </c>
      <c r="K485" s="16" t="s">
        <v>29</v>
      </c>
      <c r="L485" s="62"/>
      <c r="M485" s="15"/>
      <c r="N485" s="15" t="s">
        <v>87</v>
      </c>
      <c r="O485" s="15"/>
      <c r="P485" s="16" t="s">
        <v>297</v>
      </c>
      <c r="Q485" s="17">
        <v>18899</v>
      </c>
      <c r="R485" s="18">
        <v>45.5</v>
      </c>
      <c r="S485" s="19">
        <v>11844.988499999999</v>
      </c>
      <c r="T485" s="20" t="s">
        <v>75</v>
      </c>
      <c r="U485" s="21" t="s">
        <v>51</v>
      </c>
      <c r="V485" s="22">
        <v>44</v>
      </c>
      <c r="W485" s="22">
        <v>1</v>
      </c>
      <c r="X485" s="23"/>
    </row>
    <row r="486" spans="1:24" s="1" customFormat="1" ht="35" customHeight="1" x14ac:dyDescent="0.3">
      <c r="A486" s="11" t="s">
        <v>23</v>
      </c>
      <c r="B486" s="11" t="s">
        <v>618</v>
      </c>
      <c r="C486" s="12" t="s">
        <v>619</v>
      </c>
      <c r="D486" s="57"/>
      <c r="E486" s="43" t="str">
        <f>HYPERLINK("https://www.google.ru/search?q=52797-0329&amp;newwindow=1&amp;tbm=isch","Еще фото")</f>
        <v>Еще фото</v>
      </c>
      <c r="F486" s="14"/>
      <c r="G486" s="11" t="s">
        <v>237</v>
      </c>
      <c r="H486" s="11" t="s">
        <v>27</v>
      </c>
      <c r="I486" s="15" t="s">
        <v>237</v>
      </c>
      <c r="J486" s="15" t="s">
        <v>28</v>
      </c>
      <c r="K486" s="16" t="s">
        <v>29</v>
      </c>
      <c r="L486" s="60" t="s">
        <v>459</v>
      </c>
      <c r="M486" s="15"/>
      <c r="N486" s="15" t="s">
        <v>138</v>
      </c>
      <c r="O486" s="15"/>
      <c r="P486" s="16" t="s">
        <v>297</v>
      </c>
      <c r="Q486" s="17">
        <v>18899</v>
      </c>
      <c r="R486" s="18">
        <v>45.5</v>
      </c>
      <c r="S486" s="19">
        <v>11844.988499999999</v>
      </c>
      <c r="T486" s="20" t="s">
        <v>75</v>
      </c>
      <c r="U486" s="21" t="s">
        <v>43</v>
      </c>
      <c r="V486" s="25" t="s">
        <v>44</v>
      </c>
      <c r="W486" s="22">
        <v>1</v>
      </c>
      <c r="X486" s="23"/>
    </row>
    <row r="487" spans="1:24" s="1" customFormat="1" ht="35" customHeight="1" x14ac:dyDescent="0.3">
      <c r="A487" s="24" t="s">
        <v>23</v>
      </c>
      <c r="B487" s="24" t="s">
        <v>618</v>
      </c>
      <c r="C487" s="12" t="s">
        <v>619</v>
      </c>
      <c r="D487" s="58"/>
      <c r="E487" s="43" t="str">
        <f>HYPERLINK("https://www.google.ru/search?q=52797-0329&amp;newwindow=1&amp;tbm=isch","Еще фото")</f>
        <v>Еще фото</v>
      </c>
      <c r="F487" s="14"/>
      <c r="G487" s="24" t="s">
        <v>237</v>
      </c>
      <c r="H487" s="24" t="s">
        <v>27</v>
      </c>
      <c r="I487" s="24" t="s">
        <v>237</v>
      </c>
      <c r="J487" s="15" t="s">
        <v>28</v>
      </c>
      <c r="K487" s="16" t="s">
        <v>29</v>
      </c>
      <c r="L487" s="61"/>
      <c r="M487" s="15"/>
      <c r="N487" s="15" t="s">
        <v>138</v>
      </c>
      <c r="O487" s="15"/>
      <c r="P487" s="16" t="s">
        <v>297</v>
      </c>
      <c r="Q487" s="17">
        <v>18899</v>
      </c>
      <c r="R487" s="18">
        <v>45.5</v>
      </c>
      <c r="S487" s="19">
        <v>11844.988499999999</v>
      </c>
      <c r="T487" s="20" t="s">
        <v>75</v>
      </c>
      <c r="U487" s="21" t="s">
        <v>188</v>
      </c>
      <c r="V487" s="25" t="s">
        <v>96</v>
      </c>
      <c r="W487" s="22">
        <v>1</v>
      </c>
      <c r="X487" s="23"/>
    </row>
    <row r="488" spans="1:24" s="1" customFormat="1" ht="37.049999999999997" customHeight="1" x14ac:dyDescent="0.3">
      <c r="A488" s="24" t="s">
        <v>23</v>
      </c>
      <c r="B488" s="24" t="s">
        <v>618</v>
      </c>
      <c r="C488" s="12" t="s">
        <v>619</v>
      </c>
      <c r="D488" s="59"/>
      <c r="E488" s="43" t="str">
        <f>HYPERLINK("https://www.google.ru/search?q=52797-0329&amp;newwindow=1&amp;tbm=isch","Еще фото")</f>
        <v>Еще фото</v>
      </c>
      <c r="F488" s="14"/>
      <c r="G488" s="24" t="s">
        <v>237</v>
      </c>
      <c r="H488" s="24" t="s">
        <v>27</v>
      </c>
      <c r="I488" s="24" t="s">
        <v>237</v>
      </c>
      <c r="J488" s="15" t="s">
        <v>28</v>
      </c>
      <c r="K488" s="16" t="s">
        <v>29</v>
      </c>
      <c r="L488" s="62"/>
      <c r="M488" s="15"/>
      <c r="N488" s="15" t="s">
        <v>138</v>
      </c>
      <c r="O488" s="15"/>
      <c r="P488" s="16" t="s">
        <v>297</v>
      </c>
      <c r="Q488" s="17">
        <v>18899</v>
      </c>
      <c r="R488" s="18">
        <v>45.5</v>
      </c>
      <c r="S488" s="19">
        <v>11844.988499999999</v>
      </c>
      <c r="T488" s="20" t="s">
        <v>75</v>
      </c>
      <c r="U488" s="21" t="s">
        <v>165</v>
      </c>
      <c r="V488" s="22">
        <v>50</v>
      </c>
      <c r="W488" s="22">
        <v>1</v>
      </c>
      <c r="X488" s="23"/>
    </row>
    <row r="489" spans="1:24" s="1" customFormat="1" ht="52.05" customHeight="1" x14ac:dyDescent="0.3">
      <c r="A489" s="11" t="s">
        <v>23</v>
      </c>
      <c r="B489" s="11" t="s">
        <v>620</v>
      </c>
      <c r="C489" s="12" t="s">
        <v>621</v>
      </c>
      <c r="D489" s="63"/>
      <c r="E489" s="43" t="str">
        <f>HYPERLINK("https://www.google.ru/search?q=00501-3431&amp;newwindow=1&amp;tbm=isch","Еще фото")</f>
        <v>Еще фото</v>
      </c>
      <c r="F489" s="14"/>
      <c r="G489" s="11" t="s">
        <v>237</v>
      </c>
      <c r="H489" s="11" t="s">
        <v>27</v>
      </c>
      <c r="I489" s="15" t="s">
        <v>237</v>
      </c>
      <c r="J489" s="15" t="s">
        <v>37</v>
      </c>
      <c r="K489" s="16" t="s">
        <v>57</v>
      </c>
      <c r="L489" s="60" t="s">
        <v>445</v>
      </c>
      <c r="M489" s="15"/>
      <c r="N489" s="15" t="s">
        <v>130</v>
      </c>
      <c r="O489" s="15"/>
      <c r="P489" s="16" t="s">
        <v>32</v>
      </c>
      <c r="Q489" s="17">
        <v>19999</v>
      </c>
      <c r="R489" s="18">
        <v>45.5</v>
      </c>
      <c r="S489" s="19">
        <v>12534.988499999999</v>
      </c>
      <c r="T489" s="20" t="s">
        <v>75</v>
      </c>
      <c r="U489" s="21" t="s">
        <v>95</v>
      </c>
      <c r="V489" s="22">
        <v>48</v>
      </c>
      <c r="W489" s="22">
        <v>1</v>
      </c>
      <c r="X489" s="23"/>
    </row>
    <row r="490" spans="1:24" s="1" customFormat="1" ht="61.05" customHeight="1" x14ac:dyDescent="0.3">
      <c r="A490" s="24" t="s">
        <v>23</v>
      </c>
      <c r="B490" s="24" t="s">
        <v>620</v>
      </c>
      <c r="C490" s="12" t="s">
        <v>621</v>
      </c>
      <c r="D490" s="64"/>
      <c r="E490" s="43" t="str">
        <f>HYPERLINK("https://www.google.ru/search?q=00501-3431&amp;newwindow=1&amp;tbm=isch","Еще фото")</f>
        <v>Еще фото</v>
      </c>
      <c r="F490" s="14"/>
      <c r="G490" s="24" t="s">
        <v>237</v>
      </c>
      <c r="H490" s="24" t="s">
        <v>27</v>
      </c>
      <c r="I490" s="24" t="s">
        <v>237</v>
      </c>
      <c r="J490" s="15" t="s">
        <v>37</v>
      </c>
      <c r="K490" s="16" t="s">
        <v>57</v>
      </c>
      <c r="L490" s="62"/>
      <c r="M490" s="15"/>
      <c r="N490" s="15" t="s">
        <v>130</v>
      </c>
      <c r="O490" s="15"/>
      <c r="P490" s="16" t="s">
        <v>32</v>
      </c>
      <c r="Q490" s="17">
        <v>19999</v>
      </c>
      <c r="R490" s="18">
        <v>45.5</v>
      </c>
      <c r="S490" s="19">
        <v>12534.988499999999</v>
      </c>
      <c r="T490" s="20" t="s">
        <v>75</v>
      </c>
      <c r="U490" s="21" t="s">
        <v>89</v>
      </c>
      <c r="V490" s="22">
        <v>50</v>
      </c>
      <c r="W490" s="22">
        <v>2</v>
      </c>
      <c r="X490" s="23"/>
    </row>
    <row r="491" spans="1:24" s="1" customFormat="1" ht="108" customHeight="1" x14ac:dyDescent="0.3">
      <c r="A491" s="11" t="s">
        <v>23</v>
      </c>
      <c r="B491" s="11" t="s">
        <v>622</v>
      </c>
      <c r="C491" s="12" t="s">
        <v>623</v>
      </c>
      <c r="D491" s="13"/>
      <c r="E491" s="43" t="str">
        <f>HYPERLINK("https://www.google.ru/search?q=12501-0469&amp;newwindow=1&amp;tbm=isch","Еще фото")</f>
        <v>Еще фото</v>
      </c>
      <c r="F491" s="14"/>
      <c r="G491" s="11" t="s">
        <v>237</v>
      </c>
      <c r="H491" s="11" t="s">
        <v>27</v>
      </c>
      <c r="I491" s="15" t="s">
        <v>237</v>
      </c>
      <c r="J491" s="15" t="s">
        <v>37</v>
      </c>
      <c r="K491" s="16" t="s">
        <v>29</v>
      </c>
      <c r="L491" s="15" t="s">
        <v>624</v>
      </c>
      <c r="M491" s="15"/>
      <c r="N491" s="15" t="s">
        <v>130</v>
      </c>
      <c r="O491" s="15"/>
      <c r="P491" s="16" t="s">
        <v>32</v>
      </c>
      <c r="Q491" s="17">
        <v>19999</v>
      </c>
      <c r="R491" s="18">
        <v>45.5</v>
      </c>
      <c r="S491" s="19">
        <v>12534.988499999999</v>
      </c>
      <c r="T491" s="20" t="s">
        <v>75</v>
      </c>
      <c r="U491" s="21" t="s">
        <v>46</v>
      </c>
      <c r="V491" s="22">
        <v>42</v>
      </c>
      <c r="W491" s="22">
        <v>1</v>
      </c>
      <c r="X491" s="23"/>
    </row>
    <row r="492" spans="1:24" s="1" customFormat="1" ht="35" customHeight="1" x14ac:dyDescent="0.3">
      <c r="A492" s="11" t="s">
        <v>23</v>
      </c>
      <c r="B492" s="11" t="s">
        <v>625</v>
      </c>
      <c r="C492" s="12" t="s">
        <v>626</v>
      </c>
      <c r="D492" s="57"/>
      <c r="E492" s="43" t="str">
        <f>HYPERLINK("https://www.google.ru/search?q=A7455-0001&amp;newwindow=1&amp;tbm=isch","Еще фото")</f>
        <v>Еще фото</v>
      </c>
      <c r="F492" s="14"/>
      <c r="G492" s="11" t="s">
        <v>237</v>
      </c>
      <c r="H492" s="11" t="s">
        <v>27</v>
      </c>
      <c r="I492" s="15" t="s">
        <v>237</v>
      </c>
      <c r="J492" s="15" t="s">
        <v>37</v>
      </c>
      <c r="K492" s="16" t="s">
        <v>29</v>
      </c>
      <c r="L492" s="60" t="s">
        <v>627</v>
      </c>
      <c r="M492" s="15"/>
      <c r="N492" s="15" t="s">
        <v>130</v>
      </c>
      <c r="O492" s="15"/>
      <c r="P492" s="16" t="s">
        <v>628</v>
      </c>
      <c r="Q492" s="17">
        <v>20899</v>
      </c>
      <c r="R492" s="18">
        <v>45.45</v>
      </c>
      <c r="S492" s="19">
        <v>13109.988499999999</v>
      </c>
      <c r="T492" s="20" t="s">
        <v>75</v>
      </c>
      <c r="U492" s="21" t="s">
        <v>255</v>
      </c>
      <c r="V492" s="22">
        <v>40</v>
      </c>
      <c r="W492" s="22">
        <v>1</v>
      </c>
      <c r="X492" s="23"/>
    </row>
    <row r="493" spans="1:24" s="1" customFormat="1" ht="35" customHeight="1" x14ac:dyDescent="0.3">
      <c r="A493" s="24" t="s">
        <v>23</v>
      </c>
      <c r="B493" s="24" t="s">
        <v>625</v>
      </c>
      <c r="C493" s="12" t="s">
        <v>626</v>
      </c>
      <c r="D493" s="58"/>
      <c r="E493" s="43" t="str">
        <f>HYPERLINK("https://www.google.ru/search?q=A7455-0001&amp;newwindow=1&amp;tbm=isch","Еще фото")</f>
        <v>Еще фото</v>
      </c>
      <c r="F493" s="14"/>
      <c r="G493" s="24" t="s">
        <v>237</v>
      </c>
      <c r="H493" s="24" t="s">
        <v>27</v>
      </c>
      <c r="I493" s="24" t="s">
        <v>237</v>
      </c>
      <c r="J493" s="15" t="s">
        <v>37</v>
      </c>
      <c r="K493" s="16" t="s">
        <v>29</v>
      </c>
      <c r="L493" s="61"/>
      <c r="M493" s="15"/>
      <c r="N493" s="15" t="s">
        <v>130</v>
      </c>
      <c r="O493" s="15"/>
      <c r="P493" s="16" t="s">
        <v>628</v>
      </c>
      <c r="Q493" s="17">
        <v>20899</v>
      </c>
      <c r="R493" s="18">
        <v>45.45</v>
      </c>
      <c r="S493" s="19">
        <v>13109.988499999999</v>
      </c>
      <c r="T493" s="20" t="s">
        <v>75</v>
      </c>
      <c r="U493" s="21" t="s">
        <v>47</v>
      </c>
      <c r="V493" s="25" t="s">
        <v>48</v>
      </c>
      <c r="W493" s="22">
        <v>1</v>
      </c>
      <c r="X493" s="23"/>
    </row>
    <row r="494" spans="1:24" s="1" customFormat="1" ht="37.049999999999997" customHeight="1" x14ac:dyDescent="0.3">
      <c r="A494" s="24" t="s">
        <v>23</v>
      </c>
      <c r="B494" s="24" t="s">
        <v>625</v>
      </c>
      <c r="C494" s="12" t="s">
        <v>626</v>
      </c>
      <c r="D494" s="59"/>
      <c r="E494" s="43" t="str">
        <f>HYPERLINK("https://www.google.ru/search?q=A7455-0001&amp;newwindow=1&amp;tbm=isch","Еще фото")</f>
        <v>Еще фото</v>
      </c>
      <c r="F494" s="14"/>
      <c r="G494" s="24" t="s">
        <v>237</v>
      </c>
      <c r="H494" s="24" t="s">
        <v>27</v>
      </c>
      <c r="I494" s="24" t="s">
        <v>237</v>
      </c>
      <c r="J494" s="15" t="s">
        <v>37</v>
      </c>
      <c r="K494" s="16" t="s">
        <v>29</v>
      </c>
      <c r="L494" s="62"/>
      <c r="M494" s="15"/>
      <c r="N494" s="15" t="s">
        <v>130</v>
      </c>
      <c r="O494" s="15"/>
      <c r="P494" s="16" t="s">
        <v>628</v>
      </c>
      <c r="Q494" s="17">
        <v>20899</v>
      </c>
      <c r="R494" s="18">
        <v>45.45</v>
      </c>
      <c r="S494" s="19">
        <v>13109.988499999999</v>
      </c>
      <c r="T494" s="20" t="s">
        <v>75</v>
      </c>
      <c r="U494" s="21" t="s">
        <v>49</v>
      </c>
      <c r="V494" s="25" t="s">
        <v>48</v>
      </c>
      <c r="W494" s="22">
        <v>2</v>
      </c>
      <c r="X494" s="23"/>
    </row>
    <row r="495" spans="1:24" s="1" customFormat="1" ht="108" customHeight="1" x14ac:dyDescent="0.3">
      <c r="A495" s="11" t="s">
        <v>23</v>
      </c>
      <c r="B495" s="11" t="s">
        <v>629</v>
      </c>
      <c r="C495" s="12" t="s">
        <v>630</v>
      </c>
      <c r="D495" s="13"/>
      <c r="E495" s="43" t="str">
        <f>HYPERLINK("https://www.google.ru/search?q=18759-0032&amp;newwindow=1&amp;tbm=isch","Еще фото")</f>
        <v>Еще фото</v>
      </c>
      <c r="F495" s="14"/>
      <c r="G495" s="11" t="s">
        <v>237</v>
      </c>
      <c r="H495" s="11" t="s">
        <v>27</v>
      </c>
      <c r="I495" s="15" t="s">
        <v>237</v>
      </c>
      <c r="J495" s="15" t="s">
        <v>28</v>
      </c>
      <c r="K495" s="16" t="s">
        <v>29</v>
      </c>
      <c r="L495" s="15" t="s">
        <v>631</v>
      </c>
      <c r="M495" s="15" t="s">
        <v>72</v>
      </c>
      <c r="N495" s="15" t="s">
        <v>39</v>
      </c>
      <c r="O495" s="15" t="s">
        <v>308</v>
      </c>
      <c r="P495" s="16" t="s">
        <v>284</v>
      </c>
      <c r="Q495" s="17">
        <v>19799</v>
      </c>
      <c r="R495" s="18">
        <v>45.45</v>
      </c>
      <c r="S495" s="19">
        <v>12419.988499999999</v>
      </c>
      <c r="T495" s="20" t="s">
        <v>75</v>
      </c>
      <c r="U495" s="21" t="s">
        <v>76</v>
      </c>
      <c r="V495" s="22">
        <v>40</v>
      </c>
      <c r="W495" s="22">
        <v>1</v>
      </c>
      <c r="X495" s="23"/>
    </row>
    <row r="496" spans="1:24" s="1" customFormat="1" ht="52.05" customHeight="1" x14ac:dyDescent="0.3">
      <c r="A496" s="11" t="s">
        <v>23</v>
      </c>
      <c r="B496" s="11" t="s">
        <v>632</v>
      </c>
      <c r="C496" s="12" t="s">
        <v>633</v>
      </c>
      <c r="D496" s="63"/>
      <c r="E496" s="43" t="str">
        <f>HYPERLINK("https://www.google.ru/search?q=28894-0257&amp;newwindow=1&amp;tbm=isch","Еще фото")</f>
        <v>Еще фото</v>
      </c>
      <c r="F496" s="14"/>
      <c r="G496" s="11" t="s">
        <v>237</v>
      </c>
      <c r="H496" s="11" t="s">
        <v>27</v>
      </c>
      <c r="I496" s="15" t="s">
        <v>237</v>
      </c>
      <c r="J496" s="15" t="s">
        <v>37</v>
      </c>
      <c r="K496" s="16" t="s">
        <v>57</v>
      </c>
      <c r="L496" s="60" t="s">
        <v>634</v>
      </c>
      <c r="M496" s="15"/>
      <c r="N496" s="15" t="s">
        <v>130</v>
      </c>
      <c r="O496" s="15"/>
      <c r="P496" s="16" t="s">
        <v>635</v>
      </c>
      <c r="Q496" s="17">
        <v>14299</v>
      </c>
      <c r="R496" s="18">
        <v>45.45</v>
      </c>
      <c r="S496" s="19">
        <v>8969.9884999999995</v>
      </c>
      <c r="T496" s="20" t="s">
        <v>75</v>
      </c>
      <c r="U496" s="21" t="s">
        <v>109</v>
      </c>
      <c r="V496" s="25" t="s">
        <v>65</v>
      </c>
      <c r="W496" s="22">
        <v>1</v>
      </c>
      <c r="X496" s="23"/>
    </row>
    <row r="497" spans="1:24" s="1" customFormat="1" ht="61.05" customHeight="1" x14ac:dyDescent="0.3">
      <c r="A497" s="24" t="s">
        <v>23</v>
      </c>
      <c r="B497" s="24" t="s">
        <v>632</v>
      </c>
      <c r="C497" s="12" t="s">
        <v>633</v>
      </c>
      <c r="D497" s="64"/>
      <c r="E497" s="43" t="str">
        <f>HYPERLINK("https://www.google.ru/search?q=28894-0257&amp;newwindow=1&amp;tbm=isch","Еще фото")</f>
        <v>Еще фото</v>
      </c>
      <c r="F497" s="14"/>
      <c r="G497" s="24" t="s">
        <v>237</v>
      </c>
      <c r="H497" s="24" t="s">
        <v>27</v>
      </c>
      <c r="I497" s="24" t="s">
        <v>237</v>
      </c>
      <c r="J497" s="15" t="s">
        <v>37</v>
      </c>
      <c r="K497" s="16" t="s">
        <v>57</v>
      </c>
      <c r="L497" s="62"/>
      <c r="M497" s="15"/>
      <c r="N497" s="15" t="s">
        <v>130</v>
      </c>
      <c r="O497" s="15"/>
      <c r="P497" s="16" t="s">
        <v>635</v>
      </c>
      <c r="Q497" s="17">
        <v>14299</v>
      </c>
      <c r="R497" s="18">
        <v>45.45</v>
      </c>
      <c r="S497" s="19">
        <v>8969.9884999999995</v>
      </c>
      <c r="T497" s="20" t="s">
        <v>75</v>
      </c>
      <c r="U497" s="21" t="s">
        <v>104</v>
      </c>
      <c r="V497" s="22">
        <v>48</v>
      </c>
      <c r="W497" s="22">
        <v>1</v>
      </c>
      <c r="X497" s="23"/>
    </row>
    <row r="498" spans="1:24" s="1" customFormat="1" ht="52.05" customHeight="1" x14ac:dyDescent="0.3">
      <c r="A498" s="11" t="s">
        <v>23</v>
      </c>
      <c r="B498" s="11" t="s">
        <v>636</v>
      </c>
      <c r="C498" s="12" t="s">
        <v>637</v>
      </c>
      <c r="D498" s="63"/>
      <c r="E498" s="43" t="str">
        <f>HYPERLINK("https://www.google.ru/search?q=18883-0015&amp;newwindow=1&amp;tbm=isch","Еще фото")</f>
        <v>Еще фото</v>
      </c>
      <c r="F498" s="14"/>
      <c r="G498" s="11" t="s">
        <v>237</v>
      </c>
      <c r="H498" s="11" t="s">
        <v>27</v>
      </c>
      <c r="I498" s="15" t="s">
        <v>237</v>
      </c>
      <c r="J498" s="15" t="s">
        <v>28</v>
      </c>
      <c r="K498" s="16" t="s">
        <v>29</v>
      </c>
      <c r="L498" s="60" t="s">
        <v>638</v>
      </c>
      <c r="M498" s="15" t="s">
        <v>72</v>
      </c>
      <c r="N498" s="15" t="s">
        <v>130</v>
      </c>
      <c r="O498" s="15"/>
      <c r="P498" s="16" t="s">
        <v>345</v>
      </c>
      <c r="Q498" s="17">
        <v>12099</v>
      </c>
      <c r="R498" s="18">
        <v>45.45</v>
      </c>
      <c r="S498" s="19">
        <v>7589.9884999999995</v>
      </c>
      <c r="T498" s="20" t="s">
        <v>75</v>
      </c>
      <c r="U498" s="21" t="s">
        <v>298</v>
      </c>
      <c r="V498" s="22">
        <v>38</v>
      </c>
      <c r="W498" s="22">
        <v>1</v>
      </c>
      <c r="X498" s="23"/>
    </row>
    <row r="499" spans="1:24" s="1" customFormat="1" ht="61.05" customHeight="1" x14ac:dyDescent="0.3">
      <c r="A499" s="24" t="s">
        <v>23</v>
      </c>
      <c r="B499" s="24" t="s">
        <v>636</v>
      </c>
      <c r="C499" s="12" t="s">
        <v>637</v>
      </c>
      <c r="D499" s="64"/>
      <c r="E499" s="43" t="str">
        <f>HYPERLINK("https://www.google.ru/search?q=18883-0015&amp;newwindow=1&amp;tbm=isch","Еще фото")</f>
        <v>Еще фото</v>
      </c>
      <c r="F499" s="14"/>
      <c r="G499" s="24" t="s">
        <v>237</v>
      </c>
      <c r="H499" s="24" t="s">
        <v>27</v>
      </c>
      <c r="I499" s="24" t="s">
        <v>237</v>
      </c>
      <c r="J499" s="15" t="s">
        <v>28</v>
      </c>
      <c r="K499" s="16" t="s">
        <v>29</v>
      </c>
      <c r="L499" s="62"/>
      <c r="M499" s="15" t="s">
        <v>72</v>
      </c>
      <c r="N499" s="15" t="s">
        <v>130</v>
      </c>
      <c r="O499" s="15"/>
      <c r="P499" s="16" t="s">
        <v>345</v>
      </c>
      <c r="Q499" s="17">
        <v>12099</v>
      </c>
      <c r="R499" s="18">
        <v>45.45</v>
      </c>
      <c r="S499" s="19">
        <v>7589.9884999999995</v>
      </c>
      <c r="T499" s="20" t="s">
        <v>75</v>
      </c>
      <c r="U499" s="21" t="s">
        <v>42</v>
      </c>
      <c r="V499" s="22">
        <v>40</v>
      </c>
      <c r="W499" s="22">
        <v>1</v>
      </c>
      <c r="X499" s="23"/>
    </row>
    <row r="500" spans="1:24" s="1" customFormat="1" ht="52.05" customHeight="1" x14ac:dyDescent="0.3">
      <c r="A500" s="11" t="s">
        <v>23</v>
      </c>
      <c r="B500" s="11" t="s">
        <v>639</v>
      </c>
      <c r="C500" s="12" t="s">
        <v>640</v>
      </c>
      <c r="D500" s="63"/>
      <c r="E500" s="43" t="str">
        <f>HYPERLINK("https://www.google.ru/search?q=36693-0007&amp;newwindow=1&amp;tbm=isch","Еще фото")</f>
        <v>Еще фото</v>
      </c>
      <c r="F500" s="14"/>
      <c r="G500" s="11" t="s">
        <v>237</v>
      </c>
      <c r="H500" s="11" t="s">
        <v>27</v>
      </c>
      <c r="I500" s="15" t="s">
        <v>237</v>
      </c>
      <c r="J500" s="15" t="s">
        <v>28</v>
      </c>
      <c r="K500" s="16" t="s">
        <v>29</v>
      </c>
      <c r="L500" s="60" t="s">
        <v>71</v>
      </c>
      <c r="M500" s="15" t="s">
        <v>72</v>
      </c>
      <c r="N500" s="15" t="s">
        <v>83</v>
      </c>
      <c r="O500" s="15"/>
      <c r="P500" s="16" t="s">
        <v>32</v>
      </c>
      <c r="Q500" s="17">
        <v>12099</v>
      </c>
      <c r="R500" s="18">
        <v>45.45</v>
      </c>
      <c r="S500" s="19">
        <v>7589.9884999999995</v>
      </c>
      <c r="T500" s="20" t="s">
        <v>75</v>
      </c>
      <c r="U500" s="21" t="s">
        <v>76</v>
      </c>
      <c r="V500" s="22">
        <v>40</v>
      </c>
      <c r="W500" s="22">
        <v>1</v>
      </c>
      <c r="X500" s="23"/>
    </row>
    <row r="501" spans="1:24" s="1" customFormat="1" ht="61.05" customHeight="1" x14ac:dyDescent="0.3">
      <c r="A501" s="24" t="s">
        <v>23</v>
      </c>
      <c r="B501" s="24" t="s">
        <v>639</v>
      </c>
      <c r="C501" s="12" t="s">
        <v>640</v>
      </c>
      <c r="D501" s="64"/>
      <c r="E501" s="43" t="str">
        <f>HYPERLINK("https://www.google.ru/search?q=36693-0007&amp;newwindow=1&amp;tbm=isch","Еще фото")</f>
        <v>Еще фото</v>
      </c>
      <c r="F501" s="14"/>
      <c r="G501" s="24" t="s">
        <v>237</v>
      </c>
      <c r="H501" s="24" t="s">
        <v>27</v>
      </c>
      <c r="I501" s="24" t="s">
        <v>237</v>
      </c>
      <c r="J501" s="15" t="s">
        <v>28</v>
      </c>
      <c r="K501" s="16" t="s">
        <v>29</v>
      </c>
      <c r="L501" s="62"/>
      <c r="M501" s="15" t="s">
        <v>72</v>
      </c>
      <c r="N501" s="15" t="s">
        <v>83</v>
      </c>
      <c r="O501" s="15"/>
      <c r="P501" s="16" t="s">
        <v>32</v>
      </c>
      <c r="Q501" s="17">
        <v>12099</v>
      </c>
      <c r="R501" s="18">
        <v>45.45</v>
      </c>
      <c r="S501" s="19">
        <v>7589.9884999999995</v>
      </c>
      <c r="T501" s="20" t="s">
        <v>75</v>
      </c>
      <c r="U501" s="21" t="s">
        <v>79</v>
      </c>
      <c r="V501" s="25" t="s">
        <v>48</v>
      </c>
      <c r="W501" s="22">
        <v>1</v>
      </c>
      <c r="X501" s="23"/>
    </row>
    <row r="502" spans="1:24" s="1" customFormat="1" ht="26" customHeight="1" x14ac:dyDescent="0.3">
      <c r="A502" s="11" t="s">
        <v>23</v>
      </c>
      <c r="B502" s="11" t="s">
        <v>641</v>
      </c>
      <c r="C502" s="12" t="s">
        <v>642</v>
      </c>
      <c r="D502" s="57"/>
      <c r="E502" s="43" t="str">
        <f>HYPERLINK("https://www.google.ru/search?q=52797-0000&amp;newwindow=1&amp;tbm=isch","Еще фото")</f>
        <v>Еще фото</v>
      </c>
      <c r="F502" s="14"/>
      <c r="G502" s="11" t="s">
        <v>237</v>
      </c>
      <c r="H502" s="11" t="s">
        <v>27</v>
      </c>
      <c r="I502" s="15" t="s">
        <v>237</v>
      </c>
      <c r="J502" s="15" t="s">
        <v>28</v>
      </c>
      <c r="K502" s="16" t="s">
        <v>29</v>
      </c>
      <c r="L502" s="60" t="s">
        <v>459</v>
      </c>
      <c r="M502" s="15" t="s">
        <v>72</v>
      </c>
      <c r="N502" s="15" t="s">
        <v>39</v>
      </c>
      <c r="O502" s="15" t="s">
        <v>121</v>
      </c>
      <c r="P502" s="16" t="s">
        <v>493</v>
      </c>
      <c r="Q502" s="17">
        <v>12099</v>
      </c>
      <c r="R502" s="18">
        <v>45.45</v>
      </c>
      <c r="S502" s="19">
        <v>7589.9884999999995</v>
      </c>
      <c r="T502" s="20" t="s">
        <v>75</v>
      </c>
      <c r="U502" s="21" t="s">
        <v>299</v>
      </c>
      <c r="V502" s="22">
        <v>38</v>
      </c>
      <c r="W502" s="22">
        <v>1</v>
      </c>
      <c r="X502" s="23"/>
    </row>
    <row r="503" spans="1:24" s="1" customFormat="1" ht="26" customHeight="1" x14ac:dyDescent="0.3">
      <c r="A503" s="24" t="s">
        <v>23</v>
      </c>
      <c r="B503" s="24" t="s">
        <v>641</v>
      </c>
      <c r="C503" s="12" t="s">
        <v>642</v>
      </c>
      <c r="D503" s="58"/>
      <c r="E503" s="43" t="str">
        <f>HYPERLINK("https://www.google.ru/search?q=52797-0000&amp;newwindow=1&amp;tbm=isch","Еще фото")</f>
        <v>Еще фото</v>
      </c>
      <c r="F503" s="14"/>
      <c r="G503" s="24" t="s">
        <v>237</v>
      </c>
      <c r="H503" s="24" t="s">
        <v>27</v>
      </c>
      <c r="I503" s="24" t="s">
        <v>237</v>
      </c>
      <c r="J503" s="15" t="s">
        <v>28</v>
      </c>
      <c r="K503" s="16" t="s">
        <v>29</v>
      </c>
      <c r="L503" s="61"/>
      <c r="M503" s="15" t="s">
        <v>72</v>
      </c>
      <c r="N503" s="15" t="s">
        <v>39</v>
      </c>
      <c r="O503" s="15" t="s">
        <v>121</v>
      </c>
      <c r="P503" s="16" t="s">
        <v>493</v>
      </c>
      <c r="Q503" s="17">
        <v>12099</v>
      </c>
      <c r="R503" s="18">
        <v>45.45</v>
      </c>
      <c r="S503" s="19">
        <v>7589.9884999999995</v>
      </c>
      <c r="T503" s="20" t="s">
        <v>75</v>
      </c>
      <c r="U503" s="21" t="s">
        <v>255</v>
      </c>
      <c r="V503" s="22">
        <v>40</v>
      </c>
      <c r="W503" s="22">
        <v>1</v>
      </c>
      <c r="X503" s="23"/>
    </row>
    <row r="504" spans="1:24" s="1" customFormat="1" ht="26" customHeight="1" x14ac:dyDescent="0.3">
      <c r="A504" s="24" t="s">
        <v>23</v>
      </c>
      <c r="B504" s="24" t="s">
        <v>641</v>
      </c>
      <c r="C504" s="12" t="s">
        <v>642</v>
      </c>
      <c r="D504" s="58"/>
      <c r="E504" s="43" t="str">
        <f>HYPERLINK("https://www.google.ru/search?q=52797-0000&amp;newwindow=1&amp;tbm=isch","Еще фото")</f>
        <v>Еще фото</v>
      </c>
      <c r="F504" s="14"/>
      <c r="G504" s="24" t="s">
        <v>237</v>
      </c>
      <c r="H504" s="24" t="s">
        <v>27</v>
      </c>
      <c r="I504" s="24" t="s">
        <v>237</v>
      </c>
      <c r="J504" s="15" t="s">
        <v>28</v>
      </c>
      <c r="K504" s="16" t="s">
        <v>29</v>
      </c>
      <c r="L504" s="61"/>
      <c r="M504" s="15" t="s">
        <v>72</v>
      </c>
      <c r="N504" s="15" t="s">
        <v>39</v>
      </c>
      <c r="O504" s="15" t="s">
        <v>121</v>
      </c>
      <c r="P504" s="16" t="s">
        <v>493</v>
      </c>
      <c r="Q504" s="17">
        <v>12099</v>
      </c>
      <c r="R504" s="18">
        <v>45.45</v>
      </c>
      <c r="S504" s="19">
        <v>7589.9884999999995</v>
      </c>
      <c r="T504" s="20" t="s">
        <v>75</v>
      </c>
      <c r="U504" s="21" t="s">
        <v>43</v>
      </c>
      <c r="V504" s="25" t="s">
        <v>44</v>
      </c>
      <c r="W504" s="22">
        <v>1</v>
      </c>
      <c r="X504" s="23"/>
    </row>
    <row r="505" spans="1:24" s="1" customFormat="1" ht="26" customHeight="1" x14ac:dyDescent="0.3">
      <c r="A505" s="24" t="s">
        <v>23</v>
      </c>
      <c r="B505" s="24" t="s">
        <v>641</v>
      </c>
      <c r="C505" s="12" t="s">
        <v>642</v>
      </c>
      <c r="D505" s="59"/>
      <c r="E505" s="43" t="str">
        <f>HYPERLINK("https://www.google.ru/search?q=52797-0000&amp;newwindow=1&amp;tbm=isch","Еще фото")</f>
        <v>Еще фото</v>
      </c>
      <c r="F505" s="14"/>
      <c r="G505" s="24" t="s">
        <v>237</v>
      </c>
      <c r="H505" s="24" t="s">
        <v>27</v>
      </c>
      <c r="I505" s="24" t="s">
        <v>237</v>
      </c>
      <c r="J505" s="15" t="s">
        <v>28</v>
      </c>
      <c r="K505" s="16" t="s">
        <v>29</v>
      </c>
      <c r="L505" s="62"/>
      <c r="M505" s="15" t="s">
        <v>72</v>
      </c>
      <c r="N505" s="15" t="s">
        <v>39</v>
      </c>
      <c r="O505" s="15" t="s">
        <v>121</v>
      </c>
      <c r="P505" s="16" t="s">
        <v>493</v>
      </c>
      <c r="Q505" s="17">
        <v>12099</v>
      </c>
      <c r="R505" s="18">
        <v>45.45</v>
      </c>
      <c r="S505" s="19">
        <v>7589.9884999999995</v>
      </c>
      <c r="T505" s="20" t="s">
        <v>75</v>
      </c>
      <c r="U505" s="21" t="s">
        <v>53</v>
      </c>
      <c r="V505" s="22">
        <v>48</v>
      </c>
      <c r="W505" s="22">
        <v>1</v>
      </c>
      <c r="X505" s="23"/>
    </row>
    <row r="506" spans="1:24" s="1" customFormat="1" ht="108" customHeight="1" x14ac:dyDescent="0.3">
      <c r="A506" s="11" t="s">
        <v>23</v>
      </c>
      <c r="B506" s="11" t="s">
        <v>643</v>
      </c>
      <c r="C506" s="12" t="s">
        <v>644</v>
      </c>
      <c r="D506" s="13"/>
      <c r="E506" s="43" t="str">
        <f>HYPERLINK("https://www.google.ru/search?q=05510-1302&amp;newwindow=1&amp;tbm=isch","Еще фото")</f>
        <v>Еще фото</v>
      </c>
      <c r="F506" s="14"/>
      <c r="G506" s="11" t="s">
        <v>237</v>
      </c>
      <c r="H506" s="11" t="s">
        <v>27</v>
      </c>
      <c r="I506" s="15" t="s">
        <v>237</v>
      </c>
      <c r="J506" s="15" t="s">
        <v>37</v>
      </c>
      <c r="K506" s="16" t="s">
        <v>57</v>
      </c>
      <c r="L506" s="15" t="s">
        <v>357</v>
      </c>
      <c r="M506" s="15"/>
      <c r="N506" s="15" t="s">
        <v>87</v>
      </c>
      <c r="O506" s="15"/>
      <c r="P506" s="16" t="s">
        <v>645</v>
      </c>
      <c r="Q506" s="17">
        <v>10999</v>
      </c>
      <c r="R506" s="18">
        <v>45.45</v>
      </c>
      <c r="S506" s="19">
        <v>6899.9884999999995</v>
      </c>
      <c r="T506" s="20" t="s">
        <v>75</v>
      </c>
      <c r="U506" s="21" t="s">
        <v>143</v>
      </c>
      <c r="V506" s="22">
        <v>46</v>
      </c>
      <c r="W506" s="22">
        <v>1</v>
      </c>
      <c r="X506" s="23"/>
    </row>
    <row r="507" spans="1:24" s="1" customFormat="1" ht="108" customHeight="1" x14ac:dyDescent="0.3">
      <c r="A507" s="11" t="s">
        <v>23</v>
      </c>
      <c r="B507" s="11" t="s">
        <v>646</v>
      </c>
      <c r="C507" s="12" t="s">
        <v>647</v>
      </c>
      <c r="D507" s="13"/>
      <c r="E507" s="43" t="str">
        <f>HYPERLINK("https://www.google.ru/search?q=18882-0204&amp;newwindow=1&amp;tbm=isch","Еще фото")</f>
        <v>Еще фото</v>
      </c>
      <c r="F507" s="14"/>
      <c r="G507" s="11" t="s">
        <v>237</v>
      </c>
      <c r="H507" s="11" t="s">
        <v>27</v>
      </c>
      <c r="I507" s="15" t="s">
        <v>237</v>
      </c>
      <c r="J507" s="15" t="s">
        <v>28</v>
      </c>
      <c r="K507" s="16" t="s">
        <v>29</v>
      </c>
      <c r="L507" s="15" t="s">
        <v>648</v>
      </c>
      <c r="M507" s="15" t="s">
        <v>72</v>
      </c>
      <c r="N507" s="15" t="s">
        <v>31</v>
      </c>
      <c r="O507" s="15"/>
      <c r="P507" s="16" t="s">
        <v>329</v>
      </c>
      <c r="Q507" s="17">
        <v>9899</v>
      </c>
      <c r="R507" s="18">
        <v>45.45</v>
      </c>
      <c r="S507" s="19">
        <v>6209.9884999999995</v>
      </c>
      <c r="T507" s="20" t="s">
        <v>75</v>
      </c>
      <c r="U507" s="21" t="s">
        <v>49</v>
      </c>
      <c r="V507" s="25" t="s">
        <v>48</v>
      </c>
      <c r="W507" s="22">
        <v>1</v>
      </c>
      <c r="X507" s="23"/>
    </row>
    <row r="508" spans="1:24" s="1" customFormat="1" ht="108" customHeight="1" x14ac:dyDescent="0.3">
      <c r="A508" s="11" t="s">
        <v>23</v>
      </c>
      <c r="B508" s="11" t="s">
        <v>649</v>
      </c>
      <c r="C508" s="12" t="s">
        <v>650</v>
      </c>
      <c r="D508" s="13"/>
      <c r="E508" s="43" t="str">
        <f>HYPERLINK("https://www.google.ru/search?q=18882-0398&amp;newwindow=1&amp;tbm=isch","Еще фото")</f>
        <v>Еще фото</v>
      </c>
      <c r="F508" s="14"/>
      <c r="G508" s="11" t="s">
        <v>237</v>
      </c>
      <c r="H508" s="11" t="s">
        <v>27</v>
      </c>
      <c r="I508" s="15" t="s">
        <v>237</v>
      </c>
      <c r="J508" s="15" t="s">
        <v>28</v>
      </c>
      <c r="K508" s="16" t="s">
        <v>29</v>
      </c>
      <c r="L508" s="15" t="s">
        <v>328</v>
      </c>
      <c r="M508" s="15" t="s">
        <v>72</v>
      </c>
      <c r="N508" s="15" t="s">
        <v>130</v>
      </c>
      <c r="O508" s="15"/>
      <c r="P508" s="16" t="s">
        <v>329</v>
      </c>
      <c r="Q508" s="17">
        <v>9899</v>
      </c>
      <c r="R508" s="18">
        <v>45.45</v>
      </c>
      <c r="S508" s="19">
        <v>6209.9884999999995</v>
      </c>
      <c r="T508" s="20" t="s">
        <v>75</v>
      </c>
      <c r="U508" s="21" t="s">
        <v>45</v>
      </c>
      <c r="V508" s="25" t="s">
        <v>44</v>
      </c>
      <c r="W508" s="22">
        <v>2</v>
      </c>
      <c r="X508" s="23"/>
    </row>
    <row r="509" spans="1:24" s="1" customFormat="1" ht="108" customHeight="1" x14ac:dyDescent="0.3">
      <c r="A509" s="11" t="s">
        <v>23</v>
      </c>
      <c r="B509" s="11" t="s">
        <v>651</v>
      </c>
      <c r="C509" s="12" t="s">
        <v>652</v>
      </c>
      <c r="D509" s="13"/>
      <c r="E509" s="43" t="str">
        <f>HYPERLINK("https://www.google.ru/search?q=36200-0120&amp;newwindow=1&amp;tbm=isch","Еще фото")</f>
        <v>Еще фото</v>
      </c>
      <c r="F509" s="14"/>
      <c r="G509" s="11" t="s">
        <v>237</v>
      </c>
      <c r="H509" s="11" t="s">
        <v>27</v>
      </c>
      <c r="I509" s="15" t="s">
        <v>237</v>
      </c>
      <c r="J509" s="15" t="s">
        <v>28</v>
      </c>
      <c r="K509" s="16" t="s">
        <v>29</v>
      </c>
      <c r="L509" s="15" t="s">
        <v>653</v>
      </c>
      <c r="M509" s="15" t="s">
        <v>72</v>
      </c>
      <c r="N509" s="15" t="s">
        <v>87</v>
      </c>
      <c r="O509" s="15" t="s">
        <v>113</v>
      </c>
      <c r="P509" s="16" t="s">
        <v>32</v>
      </c>
      <c r="Q509" s="17">
        <v>16299</v>
      </c>
      <c r="R509" s="18">
        <v>45.4</v>
      </c>
      <c r="S509" s="19">
        <v>10234.988499999999</v>
      </c>
      <c r="T509" s="20" t="s">
        <v>75</v>
      </c>
      <c r="U509" s="21" t="s">
        <v>80</v>
      </c>
      <c r="V509" s="22">
        <v>46</v>
      </c>
      <c r="W509" s="22">
        <v>1</v>
      </c>
      <c r="X509" s="23"/>
    </row>
    <row r="510" spans="1:24" s="1" customFormat="1" ht="108" customHeight="1" x14ac:dyDescent="0.3">
      <c r="A510" s="11" t="s">
        <v>23</v>
      </c>
      <c r="B510" s="11" t="s">
        <v>654</v>
      </c>
      <c r="C510" s="12" t="s">
        <v>655</v>
      </c>
      <c r="D510" s="13"/>
      <c r="E510" s="43" t="str">
        <f>HYPERLINK("https://www.google.ru/search?q=18881-0049&amp;newwindow=1&amp;tbm=isch","Еще фото")</f>
        <v>Еще фото</v>
      </c>
      <c r="F510" s="14"/>
      <c r="G510" s="11" t="s">
        <v>237</v>
      </c>
      <c r="H510" s="11" t="s">
        <v>27</v>
      </c>
      <c r="I510" s="15" t="s">
        <v>237</v>
      </c>
      <c r="J510" s="15" t="s">
        <v>28</v>
      </c>
      <c r="K510" s="16" t="s">
        <v>29</v>
      </c>
      <c r="L510" s="15" t="s">
        <v>258</v>
      </c>
      <c r="M510" s="15" t="s">
        <v>72</v>
      </c>
      <c r="N510" s="15" t="s">
        <v>39</v>
      </c>
      <c r="O510" s="15"/>
      <c r="P510" s="16" t="s">
        <v>242</v>
      </c>
      <c r="Q510" s="17">
        <v>12999</v>
      </c>
      <c r="R510" s="18">
        <v>45.38</v>
      </c>
      <c r="S510" s="19">
        <v>8164.9884999999995</v>
      </c>
      <c r="T510" s="20" t="s">
        <v>75</v>
      </c>
      <c r="U510" s="21" t="s">
        <v>52</v>
      </c>
      <c r="V510" s="22">
        <v>48</v>
      </c>
      <c r="W510" s="22">
        <v>1</v>
      </c>
      <c r="X510" s="23"/>
    </row>
    <row r="511" spans="1:24" s="1" customFormat="1" ht="52.05" customHeight="1" x14ac:dyDescent="0.3">
      <c r="A511" s="11" t="s">
        <v>23</v>
      </c>
      <c r="B511" s="11" t="s">
        <v>656</v>
      </c>
      <c r="C511" s="12" t="s">
        <v>657</v>
      </c>
      <c r="D511" s="63"/>
      <c r="E511" s="43" t="str">
        <f>HYPERLINK("https://www.google.ru/search?q=A4699-0006&amp;newwindow=1&amp;tbm=isch","Еще фото")</f>
        <v>Еще фото</v>
      </c>
      <c r="F511" s="14"/>
      <c r="G511" s="11" t="s">
        <v>237</v>
      </c>
      <c r="H511" s="11" t="s">
        <v>27</v>
      </c>
      <c r="I511" s="15" t="s">
        <v>237</v>
      </c>
      <c r="J511" s="15" t="s">
        <v>37</v>
      </c>
      <c r="K511" s="16" t="s">
        <v>29</v>
      </c>
      <c r="L511" s="60" t="s">
        <v>658</v>
      </c>
      <c r="M511" s="15"/>
      <c r="N511" s="15" t="s">
        <v>138</v>
      </c>
      <c r="O511" s="15"/>
      <c r="P511" s="16" t="s">
        <v>32</v>
      </c>
      <c r="Q511" s="17">
        <v>23799</v>
      </c>
      <c r="R511" s="18">
        <v>45.38</v>
      </c>
      <c r="S511" s="19">
        <v>14949.988499999999</v>
      </c>
      <c r="T511" s="20" t="s">
        <v>75</v>
      </c>
      <c r="U511" s="21" t="s">
        <v>659</v>
      </c>
      <c r="V511" s="22">
        <v>42</v>
      </c>
      <c r="W511" s="22">
        <v>1</v>
      </c>
      <c r="X511" s="23"/>
    </row>
    <row r="512" spans="1:24" s="1" customFormat="1" ht="61.05" customHeight="1" x14ac:dyDescent="0.3">
      <c r="A512" s="24" t="s">
        <v>23</v>
      </c>
      <c r="B512" s="24" t="s">
        <v>656</v>
      </c>
      <c r="C512" s="12" t="s">
        <v>657</v>
      </c>
      <c r="D512" s="64"/>
      <c r="E512" s="43" t="str">
        <f>HYPERLINK("https://www.google.ru/search?q=A4699-0006&amp;newwindow=1&amp;tbm=isch","Еще фото")</f>
        <v>Еще фото</v>
      </c>
      <c r="F512" s="14"/>
      <c r="G512" s="24" t="s">
        <v>237</v>
      </c>
      <c r="H512" s="24" t="s">
        <v>27</v>
      </c>
      <c r="I512" s="24" t="s">
        <v>237</v>
      </c>
      <c r="J512" s="15" t="s">
        <v>37</v>
      </c>
      <c r="K512" s="16" t="s">
        <v>29</v>
      </c>
      <c r="L512" s="62"/>
      <c r="M512" s="15"/>
      <c r="N512" s="15" t="s">
        <v>138</v>
      </c>
      <c r="O512" s="15"/>
      <c r="P512" s="16" t="s">
        <v>32</v>
      </c>
      <c r="Q512" s="17">
        <v>23799</v>
      </c>
      <c r="R512" s="18">
        <v>45.38</v>
      </c>
      <c r="S512" s="19">
        <v>14949.988499999999</v>
      </c>
      <c r="T512" s="20" t="s">
        <v>75</v>
      </c>
      <c r="U512" s="21" t="s">
        <v>660</v>
      </c>
      <c r="V512" s="25" t="s">
        <v>63</v>
      </c>
      <c r="W512" s="22">
        <v>1</v>
      </c>
      <c r="X512" s="23"/>
    </row>
    <row r="513" spans="1:24" s="1" customFormat="1" ht="35" customHeight="1" x14ac:dyDescent="0.3">
      <c r="A513" s="11" t="s">
        <v>23</v>
      </c>
      <c r="B513" s="11" t="s">
        <v>661</v>
      </c>
      <c r="C513" s="12" t="s">
        <v>662</v>
      </c>
      <c r="D513" s="57"/>
      <c r="E513" s="43" t="str">
        <f>HYPERLINK("https://www.google.ru/search?q=19626-0457&amp;newwindow=1&amp;tbm=isch","Еще фото")</f>
        <v>Еще фото</v>
      </c>
      <c r="F513" s="14"/>
      <c r="G513" s="11" t="s">
        <v>237</v>
      </c>
      <c r="H513" s="11" t="s">
        <v>27</v>
      </c>
      <c r="I513" s="15" t="s">
        <v>237</v>
      </c>
      <c r="J513" s="15" t="s">
        <v>37</v>
      </c>
      <c r="K513" s="16" t="s">
        <v>29</v>
      </c>
      <c r="L513" s="60" t="s">
        <v>663</v>
      </c>
      <c r="M513" s="15"/>
      <c r="N513" s="15" t="s">
        <v>130</v>
      </c>
      <c r="O513" s="15"/>
      <c r="P513" s="16" t="s">
        <v>664</v>
      </c>
      <c r="Q513" s="17">
        <v>10799</v>
      </c>
      <c r="R513" s="18">
        <v>45.37</v>
      </c>
      <c r="S513" s="19">
        <v>6784.9884999999995</v>
      </c>
      <c r="T513" s="20" t="s">
        <v>75</v>
      </c>
      <c r="U513" s="21" t="s">
        <v>78</v>
      </c>
      <c r="V513" s="22">
        <v>42</v>
      </c>
      <c r="W513" s="22">
        <v>3</v>
      </c>
      <c r="X513" s="23"/>
    </row>
    <row r="514" spans="1:24" s="1" customFormat="1" ht="35" customHeight="1" x14ac:dyDescent="0.3">
      <c r="A514" s="24" t="s">
        <v>23</v>
      </c>
      <c r="B514" s="24" t="s">
        <v>661</v>
      </c>
      <c r="C514" s="12" t="s">
        <v>662</v>
      </c>
      <c r="D514" s="58"/>
      <c r="E514" s="43" t="str">
        <f>HYPERLINK("https://www.google.ru/search?q=19626-0457&amp;newwindow=1&amp;tbm=isch","Еще фото")</f>
        <v>Еще фото</v>
      </c>
      <c r="F514" s="14"/>
      <c r="G514" s="24" t="s">
        <v>237</v>
      </c>
      <c r="H514" s="24" t="s">
        <v>27</v>
      </c>
      <c r="I514" s="24" t="s">
        <v>237</v>
      </c>
      <c r="J514" s="15" t="s">
        <v>37</v>
      </c>
      <c r="K514" s="16" t="s">
        <v>29</v>
      </c>
      <c r="L514" s="61"/>
      <c r="M514" s="15"/>
      <c r="N514" s="15" t="s">
        <v>130</v>
      </c>
      <c r="O514" s="15"/>
      <c r="P514" s="16" t="s">
        <v>664</v>
      </c>
      <c r="Q514" s="17">
        <v>10799</v>
      </c>
      <c r="R514" s="18">
        <v>45.37</v>
      </c>
      <c r="S514" s="19">
        <v>6784.9884999999995</v>
      </c>
      <c r="T514" s="20" t="s">
        <v>75</v>
      </c>
      <c r="U514" s="21" t="s">
        <v>46</v>
      </c>
      <c r="V514" s="22">
        <v>42</v>
      </c>
      <c r="W514" s="22">
        <v>1</v>
      </c>
      <c r="X514" s="23"/>
    </row>
    <row r="515" spans="1:24" s="1" customFormat="1" ht="37.049999999999997" customHeight="1" x14ac:dyDescent="0.3">
      <c r="A515" s="24" t="s">
        <v>23</v>
      </c>
      <c r="B515" s="24" t="s">
        <v>661</v>
      </c>
      <c r="C515" s="12" t="s">
        <v>662</v>
      </c>
      <c r="D515" s="59"/>
      <c r="E515" s="43" t="str">
        <f>HYPERLINK("https://www.google.ru/search?q=19626-0457&amp;newwindow=1&amp;tbm=isch","Еще фото")</f>
        <v>Еще фото</v>
      </c>
      <c r="F515" s="14"/>
      <c r="G515" s="24" t="s">
        <v>237</v>
      </c>
      <c r="H515" s="24" t="s">
        <v>27</v>
      </c>
      <c r="I515" s="24" t="s">
        <v>237</v>
      </c>
      <c r="J515" s="15" t="s">
        <v>37</v>
      </c>
      <c r="K515" s="16" t="s">
        <v>29</v>
      </c>
      <c r="L515" s="62"/>
      <c r="M515" s="15"/>
      <c r="N515" s="15" t="s">
        <v>130</v>
      </c>
      <c r="O515" s="15"/>
      <c r="P515" s="16" t="s">
        <v>664</v>
      </c>
      <c r="Q515" s="17">
        <v>10799</v>
      </c>
      <c r="R515" s="18">
        <v>45.37</v>
      </c>
      <c r="S515" s="19">
        <v>6784.9884999999995</v>
      </c>
      <c r="T515" s="20" t="s">
        <v>75</v>
      </c>
      <c r="U515" s="21" t="s">
        <v>481</v>
      </c>
      <c r="V515" s="25" t="s">
        <v>48</v>
      </c>
      <c r="W515" s="22">
        <v>1</v>
      </c>
      <c r="X515" s="23"/>
    </row>
    <row r="516" spans="1:24" s="1" customFormat="1" ht="108" customHeight="1" x14ac:dyDescent="0.3">
      <c r="A516" s="11" t="s">
        <v>23</v>
      </c>
      <c r="B516" s="11" t="s">
        <v>665</v>
      </c>
      <c r="C516" s="12" t="s">
        <v>666</v>
      </c>
      <c r="D516" s="13"/>
      <c r="E516" s="43" t="str">
        <f>HYPERLINK("https://www.google.ru/search?q=04511-5247&amp;newwindow=1&amp;tbm=isch","Еще фото")</f>
        <v>Еще фото</v>
      </c>
      <c r="F516" s="14"/>
      <c r="G516" s="11" t="s">
        <v>237</v>
      </c>
      <c r="H516" s="11" t="s">
        <v>27</v>
      </c>
      <c r="I516" s="15" t="s">
        <v>237</v>
      </c>
      <c r="J516" s="15" t="s">
        <v>37</v>
      </c>
      <c r="K516" s="16" t="s">
        <v>57</v>
      </c>
      <c r="L516" s="15" t="s">
        <v>667</v>
      </c>
      <c r="M516" s="15" t="s">
        <v>72</v>
      </c>
      <c r="N516" s="15" t="s">
        <v>87</v>
      </c>
      <c r="O516" s="15" t="s">
        <v>121</v>
      </c>
      <c r="P516" s="16" t="s">
        <v>254</v>
      </c>
      <c r="Q516" s="17">
        <v>14999</v>
      </c>
      <c r="R516" s="18">
        <v>45.33</v>
      </c>
      <c r="S516" s="19">
        <v>9429.9884999999995</v>
      </c>
      <c r="T516" s="20" t="s">
        <v>75</v>
      </c>
      <c r="U516" s="21" t="s">
        <v>109</v>
      </c>
      <c r="V516" s="25" t="s">
        <v>65</v>
      </c>
      <c r="W516" s="22">
        <v>1</v>
      </c>
      <c r="X516" s="23"/>
    </row>
    <row r="517" spans="1:24" s="1" customFormat="1" ht="108" customHeight="1" x14ac:dyDescent="0.3">
      <c r="A517" s="11" t="s">
        <v>23</v>
      </c>
      <c r="B517" s="11" t="s">
        <v>668</v>
      </c>
      <c r="C517" s="12" t="s">
        <v>669</v>
      </c>
      <c r="D517" s="13"/>
      <c r="E517" s="43" t="str">
        <f>HYPERLINK("https://www.google.ru/search?q=18882-0296&amp;newwindow=1&amp;tbm=isch","Еще фото")</f>
        <v>Еще фото</v>
      </c>
      <c r="F517" s="14"/>
      <c r="G517" s="11" t="s">
        <v>237</v>
      </c>
      <c r="H517" s="11" t="s">
        <v>27</v>
      </c>
      <c r="I517" s="15" t="s">
        <v>237</v>
      </c>
      <c r="J517" s="15" t="s">
        <v>28</v>
      </c>
      <c r="K517" s="16" t="s">
        <v>29</v>
      </c>
      <c r="L517" s="15" t="s">
        <v>670</v>
      </c>
      <c r="M517" s="15" t="s">
        <v>72</v>
      </c>
      <c r="N517" s="15" t="s">
        <v>130</v>
      </c>
      <c r="O517" s="15"/>
      <c r="P517" s="16" t="s">
        <v>329</v>
      </c>
      <c r="Q517" s="17">
        <v>7499</v>
      </c>
      <c r="R517" s="18">
        <v>45.33</v>
      </c>
      <c r="S517" s="19">
        <v>4714.9884999999995</v>
      </c>
      <c r="T517" s="20" t="s">
        <v>75</v>
      </c>
      <c r="U517" s="21" t="s">
        <v>255</v>
      </c>
      <c r="V517" s="22">
        <v>40</v>
      </c>
      <c r="W517" s="22">
        <v>1</v>
      </c>
      <c r="X517" s="23"/>
    </row>
    <row r="518" spans="1:24" s="1" customFormat="1" ht="108" customHeight="1" x14ac:dyDescent="0.3">
      <c r="A518" s="11" t="s">
        <v>23</v>
      </c>
      <c r="B518" s="11" t="s">
        <v>671</v>
      </c>
      <c r="C518" s="12" t="s">
        <v>672</v>
      </c>
      <c r="D518" s="13"/>
      <c r="E518" s="43" t="str">
        <f>HYPERLINK("https://www.google.ru/search?q=29037-0147&amp;newwindow=1&amp;tbm=isch","Еще фото")</f>
        <v>Еще фото</v>
      </c>
      <c r="F518" s="14" t="s">
        <v>182</v>
      </c>
      <c r="G518" s="11" t="s">
        <v>237</v>
      </c>
      <c r="H518" s="11" t="s">
        <v>27</v>
      </c>
      <c r="I518" s="15" t="s">
        <v>237</v>
      </c>
      <c r="J518" s="15" t="s">
        <v>37</v>
      </c>
      <c r="K518" s="16" t="s">
        <v>57</v>
      </c>
      <c r="L518" s="15" t="s">
        <v>673</v>
      </c>
      <c r="M518" s="15"/>
      <c r="N518" s="15" t="s">
        <v>39</v>
      </c>
      <c r="O518" s="15"/>
      <c r="P518" s="16" t="s">
        <v>32</v>
      </c>
      <c r="Q518" s="17">
        <v>13899</v>
      </c>
      <c r="R518" s="18">
        <v>45.32</v>
      </c>
      <c r="S518" s="19">
        <v>8739.9884999999995</v>
      </c>
      <c r="T518" s="20" t="s">
        <v>75</v>
      </c>
      <c r="U518" s="21" t="s">
        <v>173</v>
      </c>
      <c r="V518" s="25" t="s">
        <v>63</v>
      </c>
      <c r="W518" s="22">
        <v>2</v>
      </c>
      <c r="X518" s="23"/>
    </row>
    <row r="519" spans="1:24" s="1" customFormat="1" ht="52.05" customHeight="1" x14ac:dyDescent="0.3">
      <c r="A519" s="11" t="s">
        <v>23</v>
      </c>
      <c r="B519" s="11" t="s">
        <v>674</v>
      </c>
      <c r="C519" s="12" t="s">
        <v>675</v>
      </c>
      <c r="D519" s="63"/>
      <c r="E519" s="43" t="str">
        <f>HYPERLINK("https://www.google.ru/search?q=28833-1308&amp;newwindow=1&amp;tbm=isch","Еще фото")</f>
        <v>Еще фото</v>
      </c>
      <c r="F519" s="14"/>
      <c r="G519" s="11" t="s">
        <v>237</v>
      </c>
      <c r="H519" s="11" t="s">
        <v>27</v>
      </c>
      <c r="I519" s="15" t="s">
        <v>237</v>
      </c>
      <c r="J519" s="15" t="s">
        <v>37</v>
      </c>
      <c r="K519" s="16" t="s">
        <v>57</v>
      </c>
      <c r="L519" s="60" t="s">
        <v>518</v>
      </c>
      <c r="M519" s="15"/>
      <c r="N519" s="15" t="s">
        <v>130</v>
      </c>
      <c r="O519" s="15"/>
      <c r="P519" s="16" t="s">
        <v>676</v>
      </c>
      <c r="Q519" s="17">
        <v>26699</v>
      </c>
      <c r="R519" s="18">
        <v>45.32</v>
      </c>
      <c r="S519" s="19">
        <v>16789.988499999999</v>
      </c>
      <c r="T519" s="20" t="s">
        <v>75</v>
      </c>
      <c r="U519" s="21" t="s">
        <v>173</v>
      </c>
      <c r="V519" s="25" t="s">
        <v>63</v>
      </c>
      <c r="W519" s="22">
        <v>1</v>
      </c>
      <c r="X519" s="23"/>
    </row>
    <row r="520" spans="1:24" s="1" customFormat="1" ht="61.05" customHeight="1" x14ac:dyDescent="0.3">
      <c r="A520" s="24" t="s">
        <v>23</v>
      </c>
      <c r="B520" s="24" t="s">
        <v>674</v>
      </c>
      <c r="C520" s="12" t="s">
        <v>675</v>
      </c>
      <c r="D520" s="64"/>
      <c r="E520" s="43" t="str">
        <f>HYPERLINK("https://www.google.ru/search?q=28833-1308&amp;newwindow=1&amp;tbm=isch","Еще фото")</f>
        <v>Еще фото</v>
      </c>
      <c r="F520" s="14"/>
      <c r="G520" s="24" t="s">
        <v>237</v>
      </c>
      <c r="H520" s="24" t="s">
        <v>27</v>
      </c>
      <c r="I520" s="24" t="s">
        <v>237</v>
      </c>
      <c r="J520" s="15" t="s">
        <v>37</v>
      </c>
      <c r="K520" s="16" t="s">
        <v>57</v>
      </c>
      <c r="L520" s="62"/>
      <c r="M520" s="15"/>
      <c r="N520" s="15" t="s">
        <v>130</v>
      </c>
      <c r="O520" s="15"/>
      <c r="P520" s="16" t="s">
        <v>676</v>
      </c>
      <c r="Q520" s="17">
        <v>26699</v>
      </c>
      <c r="R520" s="18">
        <v>45.32</v>
      </c>
      <c r="S520" s="19">
        <v>16789.988499999999</v>
      </c>
      <c r="T520" s="20" t="s">
        <v>75</v>
      </c>
      <c r="U520" s="21" t="s">
        <v>104</v>
      </c>
      <c r="V520" s="22">
        <v>48</v>
      </c>
      <c r="W520" s="22">
        <v>1</v>
      </c>
      <c r="X520" s="23"/>
    </row>
    <row r="521" spans="1:24" s="1" customFormat="1" ht="52.05" customHeight="1" x14ac:dyDescent="0.3">
      <c r="A521" s="11" t="s">
        <v>23</v>
      </c>
      <c r="B521" s="11" t="s">
        <v>677</v>
      </c>
      <c r="C521" s="12" t="s">
        <v>678</v>
      </c>
      <c r="D521" s="63"/>
      <c r="E521" s="43" t="str">
        <f>HYPERLINK("https://www.google.ru/search?q=19631-0156&amp;newwindow=1&amp;tbm=isch","Еще фото")</f>
        <v>Еще фото</v>
      </c>
      <c r="F521" s="34" t="s">
        <v>469</v>
      </c>
      <c r="G521" s="11" t="s">
        <v>237</v>
      </c>
      <c r="H521" s="11" t="s">
        <v>27</v>
      </c>
      <c r="I521" s="15" t="s">
        <v>237</v>
      </c>
      <c r="J521" s="15" t="s">
        <v>37</v>
      </c>
      <c r="K521" s="16" t="s">
        <v>29</v>
      </c>
      <c r="L521" s="60" t="s">
        <v>679</v>
      </c>
      <c r="M521" s="15"/>
      <c r="N521" s="15" t="s">
        <v>130</v>
      </c>
      <c r="O521" s="15"/>
      <c r="P521" s="16" t="s">
        <v>433</v>
      </c>
      <c r="Q521" s="17">
        <v>11699</v>
      </c>
      <c r="R521" s="18">
        <v>45.29</v>
      </c>
      <c r="S521" s="19">
        <v>7359.9884999999995</v>
      </c>
      <c r="T521" s="20" t="s">
        <v>75</v>
      </c>
      <c r="U521" s="21" t="s">
        <v>43</v>
      </c>
      <c r="V521" s="25" t="s">
        <v>44</v>
      </c>
      <c r="W521" s="22">
        <v>6</v>
      </c>
      <c r="X521" s="23"/>
    </row>
    <row r="522" spans="1:24" s="1" customFormat="1" ht="61.05" customHeight="1" x14ac:dyDescent="0.3">
      <c r="A522" s="24" t="s">
        <v>23</v>
      </c>
      <c r="B522" s="24" t="s">
        <v>677</v>
      </c>
      <c r="C522" s="12" t="s">
        <v>678</v>
      </c>
      <c r="D522" s="64"/>
      <c r="E522" s="43" t="str">
        <f>HYPERLINK("https://www.google.ru/search?q=19631-0156&amp;newwindow=1&amp;tbm=isch","Еще фото")</f>
        <v>Еще фото</v>
      </c>
      <c r="F522" s="34" t="s">
        <v>469</v>
      </c>
      <c r="G522" s="24" t="s">
        <v>237</v>
      </c>
      <c r="H522" s="24" t="s">
        <v>27</v>
      </c>
      <c r="I522" s="24" t="s">
        <v>237</v>
      </c>
      <c r="J522" s="15" t="s">
        <v>37</v>
      </c>
      <c r="K522" s="16" t="s">
        <v>29</v>
      </c>
      <c r="L522" s="62"/>
      <c r="M522" s="15"/>
      <c r="N522" s="15" t="s">
        <v>130</v>
      </c>
      <c r="O522" s="15"/>
      <c r="P522" s="16" t="s">
        <v>433</v>
      </c>
      <c r="Q522" s="17">
        <v>11699</v>
      </c>
      <c r="R522" s="18">
        <v>45.29</v>
      </c>
      <c r="S522" s="19">
        <v>7359.9884999999995</v>
      </c>
      <c r="T522" s="20" t="s">
        <v>75</v>
      </c>
      <c r="U522" s="21" t="s">
        <v>46</v>
      </c>
      <c r="V522" s="22">
        <v>42</v>
      </c>
      <c r="W522" s="22">
        <v>7</v>
      </c>
      <c r="X522" s="23"/>
    </row>
    <row r="523" spans="1:24" s="1" customFormat="1" ht="108" customHeight="1" x14ac:dyDescent="0.3">
      <c r="A523" s="11" t="s">
        <v>23</v>
      </c>
      <c r="B523" s="11" t="s">
        <v>680</v>
      </c>
      <c r="C523" s="12" t="s">
        <v>681</v>
      </c>
      <c r="D523" s="13"/>
      <c r="E523" s="43" t="str">
        <f>HYPERLINK("https://www.google.ru/search?q=28833-0419&amp;newwindow=1&amp;tbm=isch","Еще фото")</f>
        <v>Еще фото</v>
      </c>
      <c r="F523" s="14"/>
      <c r="G523" s="11" t="s">
        <v>237</v>
      </c>
      <c r="H523" s="11" t="s">
        <v>27</v>
      </c>
      <c r="I523" s="15" t="s">
        <v>237</v>
      </c>
      <c r="J523" s="15" t="s">
        <v>28</v>
      </c>
      <c r="K523" s="16" t="s">
        <v>57</v>
      </c>
      <c r="L523" s="15" t="s">
        <v>518</v>
      </c>
      <c r="M523" s="15" t="s">
        <v>72</v>
      </c>
      <c r="N523" s="15" t="s">
        <v>249</v>
      </c>
      <c r="O523" s="15"/>
      <c r="P523" s="16" t="s">
        <v>254</v>
      </c>
      <c r="Q523" s="17">
        <v>16999</v>
      </c>
      <c r="R523" s="18">
        <v>45.29</v>
      </c>
      <c r="S523" s="19">
        <v>10694.988499999999</v>
      </c>
      <c r="T523" s="20" t="s">
        <v>75</v>
      </c>
      <c r="U523" s="21" t="s">
        <v>143</v>
      </c>
      <c r="V523" s="22">
        <v>46</v>
      </c>
      <c r="W523" s="22">
        <v>1</v>
      </c>
      <c r="X523" s="23"/>
    </row>
    <row r="524" spans="1:24" s="1" customFormat="1" ht="52.05" customHeight="1" x14ac:dyDescent="0.3">
      <c r="A524" s="11" t="s">
        <v>23</v>
      </c>
      <c r="B524" s="11" t="s">
        <v>682</v>
      </c>
      <c r="C524" s="12" t="s">
        <v>683</v>
      </c>
      <c r="D524" s="63"/>
      <c r="E524" s="43" t="str">
        <f>HYPERLINK("https://www.google.ru/search?q=29507-1815&amp;newwindow=1&amp;tbm=isch","Еще фото")</f>
        <v>Еще фото</v>
      </c>
      <c r="F524" s="14"/>
      <c r="G524" s="11" t="s">
        <v>237</v>
      </c>
      <c r="H524" s="11" t="s">
        <v>27</v>
      </c>
      <c r="I524" s="15" t="s">
        <v>237</v>
      </c>
      <c r="J524" s="15" t="s">
        <v>37</v>
      </c>
      <c r="K524" s="16" t="s">
        <v>57</v>
      </c>
      <c r="L524" s="60" t="s">
        <v>684</v>
      </c>
      <c r="M524" s="15"/>
      <c r="N524" s="15" t="s">
        <v>87</v>
      </c>
      <c r="O524" s="15"/>
      <c r="P524" s="16" t="s">
        <v>685</v>
      </c>
      <c r="Q524" s="17">
        <v>9499</v>
      </c>
      <c r="R524" s="18">
        <v>45.26</v>
      </c>
      <c r="S524" s="19">
        <v>5979.9884999999995</v>
      </c>
      <c r="T524" s="20" t="s">
        <v>75</v>
      </c>
      <c r="U524" s="21" t="s">
        <v>166</v>
      </c>
      <c r="V524" s="25" t="s">
        <v>96</v>
      </c>
      <c r="W524" s="22">
        <v>1</v>
      </c>
      <c r="X524" s="23"/>
    </row>
    <row r="525" spans="1:24" s="1" customFormat="1" ht="61.05" customHeight="1" x14ac:dyDescent="0.3">
      <c r="A525" s="24" t="s">
        <v>23</v>
      </c>
      <c r="B525" s="24" t="s">
        <v>682</v>
      </c>
      <c r="C525" s="12" t="s">
        <v>683</v>
      </c>
      <c r="D525" s="64"/>
      <c r="E525" s="43" t="str">
        <f>HYPERLINK("https://www.google.ru/search?q=29507-1815&amp;newwindow=1&amp;tbm=isch","Еще фото")</f>
        <v>Еще фото</v>
      </c>
      <c r="F525" s="14"/>
      <c r="G525" s="24" t="s">
        <v>237</v>
      </c>
      <c r="H525" s="24" t="s">
        <v>27</v>
      </c>
      <c r="I525" s="24" t="s">
        <v>237</v>
      </c>
      <c r="J525" s="15" t="s">
        <v>37</v>
      </c>
      <c r="K525" s="16" t="s">
        <v>57</v>
      </c>
      <c r="L525" s="62"/>
      <c r="M525" s="15"/>
      <c r="N525" s="15" t="s">
        <v>87</v>
      </c>
      <c r="O525" s="15"/>
      <c r="P525" s="16" t="s">
        <v>685</v>
      </c>
      <c r="Q525" s="17">
        <v>9499</v>
      </c>
      <c r="R525" s="18">
        <v>45.26</v>
      </c>
      <c r="S525" s="19">
        <v>5979.9884999999995</v>
      </c>
      <c r="T525" s="20" t="s">
        <v>75</v>
      </c>
      <c r="U525" s="21" t="s">
        <v>167</v>
      </c>
      <c r="V525" s="22">
        <v>52</v>
      </c>
      <c r="W525" s="22">
        <v>1</v>
      </c>
      <c r="X525" s="23"/>
    </row>
    <row r="526" spans="1:24" s="1" customFormat="1" ht="108" customHeight="1" x14ac:dyDescent="0.3">
      <c r="A526" s="11" t="s">
        <v>23</v>
      </c>
      <c r="B526" s="11" t="s">
        <v>686</v>
      </c>
      <c r="C526" s="12" t="s">
        <v>687</v>
      </c>
      <c r="D526" s="13"/>
      <c r="E526" s="43" t="str">
        <f>HYPERLINK("https://www.google.ru/search?q=17778-0036&amp;newwindow=1&amp;tbm=isch","Еще фото")</f>
        <v>Еще фото</v>
      </c>
      <c r="F526" s="14"/>
      <c r="G526" s="11" t="s">
        <v>237</v>
      </c>
      <c r="H526" s="11" t="s">
        <v>27</v>
      </c>
      <c r="I526" s="15" t="s">
        <v>237</v>
      </c>
      <c r="J526" s="15" t="s">
        <v>37</v>
      </c>
      <c r="K526" s="16" t="s">
        <v>29</v>
      </c>
      <c r="L526" s="15" t="s">
        <v>238</v>
      </c>
      <c r="M526" s="15"/>
      <c r="N526" s="15" t="s">
        <v>130</v>
      </c>
      <c r="O526" s="15"/>
      <c r="P526" s="16" t="s">
        <v>209</v>
      </c>
      <c r="Q526" s="17">
        <v>13699</v>
      </c>
      <c r="R526" s="18">
        <v>45.25</v>
      </c>
      <c r="S526" s="19">
        <v>8624.9884999999995</v>
      </c>
      <c r="T526" s="20" t="s">
        <v>75</v>
      </c>
      <c r="U526" s="21" t="s">
        <v>42</v>
      </c>
      <c r="V526" s="22">
        <v>40</v>
      </c>
      <c r="W526" s="22">
        <v>1</v>
      </c>
      <c r="X526" s="23"/>
    </row>
    <row r="527" spans="1:24" s="1" customFormat="1" ht="108" customHeight="1" x14ac:dyDescent="0.3">
      <c r="A527" s="11" t="s">
        <v>23</v>
      </c>
      <c r="B527" s="11" t="s">
        <v>688</v>
      </c>
      <c r="C527" s="12" t="s">
        <v>689</v>
      </c>
      <c r="D527" s="13"/>
      <c r="E527" s="43" t="str">
        <f>HYPERLINK("https://www.google.ru/search?q=17778-0096&amp;newwindow=1&amp;tbm=isch","Еще фото")</f>
        <v>Еще фото</v>
      </c>
      <c r="F527" s="14"/>
      <c r="G527" s="11" t="s">
        <v>237</v>
      </c>
      <c r="H527" s="11" t="s">
        <v>27</v>
      </c>
      <c r="I527" s="15" t="s">
        <v>237</v>
      </c>
      <c r="J527" s="15" t="s">
        <v>37</v>
      </c>
      <c r="K527" s="16" t="s">
        <v>29</v>
      </c>
      <c r="L527" s="15" t="s">
        <v>238</v>
      </c>
      <c r="M527" s="15"/>
      <c r="N527" s="15" t="s">
        <v>130</v>
      </c>
      <c r="O527" s="15"/>
      <c r="P527" s="16" t="s">
        <v>209</v>
      </c>
      <c r="Q527" s="17">
        <v>13699</v>
      </c>
      <c r="R527" s="18">
        <v>45.25</v>
      </c>
      <c r="S527" s="19">
        <v>8624.9884999999995</v>
      </c>
      <c r="T527" s="20" t="s">
        <v>75</v>
      </c>
      <c r="U527" s="21" t="s">
        <v>42</v>
      </c>
      <c r="V527" s="22">
        <v>40</v>
      </c>
      <c r="W527" s="22">
        <v>2</v>
      </c>
      <c r="X527" s="23"/>
    </row>
    <row r="528" spans="1:24" s="1" customFormat="1" ht="108" customHeight="1" x14ac:dyDescent="0.3">
      <c r="A528" s="11" t="s">
        <v>23</v>
      </c>
      <c r="B528" s="11" t="s">
        <v>690</v>
      </c>
      <c r="C528" s="12" t="s">
        <v>691</v>
      </c>
      <c r="D528" s="13"/>
      <c r="E528" s="43" t="str">
        <f>HYPERLINK("https://www.google.ru/search?q=18881-0107&amp;newwindow=1&amp;tbm=isch","Еще фото")</f>
        <v>Еще фото</v>
      </c>
      <c r="F528" s="14"/>
      <c r="G528" s="11" t="s">
        <v>237</v>
      </c>
      <c r="H528" s="11" t="s">
        <v>27</v>
      </c>
      <c r="I528" s="15" t="s">
        <v>237</v>
      </c>
      <c r="J528" s="15" t="s">
        <v>37</v>
      </c>
      <c r="K528" s="16" t="s">
        <v>29</v>
      </c>
      <c r="L528" s="15" t="s">
        <v>258</v>
      </c>
      <c r="M528" s="15"/>
      <c r="N528" s="15" t="s">
        <v>130</v>
      </c>
      <c r="O528" s="15"/>
      <c r="P528" s="16" t="s">
        <v>242</v>
      </c>
      <c r="Q528" s="17">
        <v>13699</v>
      </c>
      <c r="R528" s="18">
        <v>45.25</v>
      </c>
      <c r="S528" s="19">
        <v>8624.9884999999995</v>
      </c>
      <c r="T528" s="20" t="s">
        <v>75</v>
      </c>
      <c r="U528" s="21" t="s">
        <v>42</v>
      </c>
      <c r="V528" s="22">
        <v>40</v>
      </c>
      <c r="W528" s="22">
        <v>1</v>
      </c>
      <c r="X528" s="23"/>
    </row>
    <row r="529" spans="1:24" s="1" customFormat="1" ht="108" customHeight="1" x14ac:dyDescent="0.3">
      <c r="A529" s="11" t="s">
        <v>23</v>
      </c>
      <c r="B529" s="11" t="s">
        <v>342</v>
      </c>
      <c r="C529" s="12" t="s">
        <v>692</v>
      </c>
      <c r="D529" s="13"/>
      <c r="E529" s="43" t="str">
        <f>HYPERLINK("https://www.google.ru/search?q=18881-0289&amp;newwindow=1&amp;tbm=isch","Еще фото")</f>
        <v>Еще фото</v>
      </c>
      <c r="F529" s="14"/>
      <c r="G529" s="11" t="s">
        <v>237</v>
      </c>
      <c r="H529" s="11" t="s">
        <v>27</v>
      </c>
      <c r="I529" s="15" t="s">
        <v>237</v>
      </c>
      <c r="J529" s="15" t="s">
        <v>28</v>
      </c>
      <c r="K529" s="16" t="s">
        <v>29</v>
      </c>
      <c r="L529" s="15" t="s">
        <v>258</v>
      </c>
      <c r="M529" s="15"/>
      <c r="N529" s="15" t="s">
        <v>130</v>
      </c>
      <c r="O529" s="15"/>
      <c r="P529" s="16" t="s">
        <v>250</v>
      </c>
      <c r="Q529" s="17">
        <v>13699</v>
      </c>
      <c r="R529" s="18">
        <v>45.25</v>
      </c>
      <c r="S529" s="19">
        <v>8624.9884999999995</v>
      </c>
      <c r="T529" s="20" t="s">
        <v>75</v>
      </c>
      <c r="U529" s="21" t="s">
        <v>43</v>
      </c>
      <c r="V529" s="25" t="s">
        <v>44</v>
      </c>
      <c r="W529" s="22">
        <v>1</v>
      </c>
      <c r="X529" s="23"/>
    </row>
    <row r="530" spans="1:24" s="1" customFormat="1" ht="35" customHeight="1" x14ac:dyDescent="0.3">
      <c r="A530" s="11" t="s">
        <v>23</v>
      </c>
      <c r="B530" s="11" t="s">
        <v>246</v>
      </c>
      <c r="C530" s="12" t="s">
        <v>693</v>
      </c>
      <c r="D530" s="57"/>
      <c r="E530" s="43" t="str">
        <f>HYPERLINK("https://www.google.ru/search?q=18882-0422&amp;newwindow=1&amp;tbm=isch","Еще фото")</f>
        <v>Еще фото</v>
      </c>
      <c r="F530" s="14"/>
      <c r="G530" s="11" t="s">
        <v>237</v>
      </c>
      <c r="H530" s="11" t="s">
        <v>27</v>
      </c>
      <c r="I530" s="15" t="s">
        <v>237</v>
      </c>
      <c r="J530" s="15" t="s">
        <v>28</v>
      </c>
      <c r="K530" s="16" t="s">
        <v>29</v>
      </c>
      <c r="L530" s="60" t="s">
        <v>248</v>
      </c>
      <c r="M530" s="15" t="s">
        <v>72</v>
      </c>
      <c r="N530" s="15" t="s">
        <v>130</v>
      </c>
      <c r="O530" s="15"/>
      <c r="P530" s="16" t="s">
        <v>297</v>
      </c>
      <c r="Q530" s="17">
        <v>13699</v>
      </c>
      <c r="R530" s="18">
        <v>45.25</v>
      </c>
      <c r="S530" s="19">
        <v>8624.9884999999995</v>
      </c>
      <c r="T530" s="20" t="s">
        <v>75</v>
      </c>
      <c r="U530" s="21" t="s">
        <v>299</v>
      </c>
      <c r="V530" s="22">
        <v>38</v>
      </c>
      <c r="W530" s="22">
        <v>1</v>
      </c>
      <c r="X530" s="23"/>
    </row>
    <row r="531" spans="1:24" s="1" customFormat="1" ht="35" customHeight="1" x14ac:dyDescent="0.3">
      <c r="A531" s="24" t="s">
        <v>23</v>
      </c>
      <c r="B531" s="24" t="s">
        <v>246</v>
      </c>
      <c r="C531" s="12" t="s">
        <v>693</v>
      </c>
      <c r="D531" s="58"/>
      <c r="E531" s="43" t="str">
        <f>HYPERLINK("https://www.google.ru/search?q=18882-0422&amp;newwindow=1&amp;tbm=isch","Еще фото")</f>
        <v>Еще фото</v>
      </c>
      <c r="F531" s="14"/>
      <c r="G531" s="24" t="s">
        <v>237</v>
      </c>
      <c r="H531" s="24" t="s">
        <v>27</v>
      </c>
      <c r="I531" s="24" t="s">
        <v>237</v>
      </c>
      <c r="J531" s="15" t="s">
        <v>28</v>
      </c>
      <c r="K531" s="16" t="s">
        <v>29</v>
      </c>
      <c r="L531" s="61"/>
      <c r="M531" s="15" t="s">
        <v>72</v>
      </c>
      <c r="N531" s="15" t="s">
        <v>130</v>
      </c>
      <c r="O531" s="15"/>
      <c r="P531" s="16" t="s">
        <v>297</v>
      </c>
      <c r="Q531" s="17">
        <v>13699</v>
      </c>
      <c r="R531" s="18">
        <v>45.25</v>
      </c>
      <c r="S531" s="19">
        <v>8624.9884999999995</v>
      </c>
      <c r="T531" s="20" t="s">
        <v>75</v>
      </c>
      <c r="U531" s="21" t="s">
        <v>42</v>
      </c>
      <c r="V531" s="22">
        <v>40</v>
      </c>
      <c r="W531" s="22">
        <v>2</v>
      </c>
      <c r="X531" s="23"/>
    </row>
    <row r="532" spans="1:24" s="1" customFormat="1" ht="37.049999999999997" customHeight="1" x14ac:dyDescent="0.3">
      <c r="A532" s="24" t="s">
        <v>23</v>
      </c>
      <c r="B532" s="24" t="s">
        <v>246</v>
      </c>
      <c r="C532" s="12" t="s">
        <v>693</v>
      </c>
      <c r="D532" s="59"/>
      <c r="E532" s="43" t="str">
        <f>HYPERLINK("https://www.google.ru/search?q=18882-0422&amp;newwindow=1&amp;tbm=isch","Еще фото")</f>
        <v>Еще фото</v>
      </c>
      <c r="F532" s="14"/>
      <c r="G532" s="24" t="s">
        <v>237</v>
      </c>
      <c r="H532" s="24" t="s">
        <v>27</v>
      </c>
      <c r="I532" s="24" t="s">
        <v>237</v>
      </c>
      <c r="J532" s="15" t="s">
        <v>28</v>
      </c>
      <c r="K532" s="16" t="s">
        <v>29</v>
      </c>
      <c r="L532" s="62"/>
      <c r="M532" s="15" t="s">
        <v>72</v>
      </c>
      <c r="N532" s="15" t="s">
        <v>130</v>
      </c>
      <c r="O532" s="15"/>
      <c r="P532" s="16" t="s">
        <v>297</v>
      </c>
      <c r="Q532" s="17">
        <v>13699</v>
      </c>
      <c r="R532" s="18">
        <v>45.25</v>
      </c>
      <c r="S532" s="19">
        <v>8624.9884999999995</v>
      </c>
      <c r="T532" s="20" t="s">
        <v>75</v>
      </c>
      <c r="U532" s="21" t="s">
        <v>255</v>
      </c>
      <c r="V532" s="22">
        <v>40</v>
      </c>
      <c r="W532" s="22">
        <v>2</v>
      </c>
      <c r="X532" s="23"/>
    </row>
    <row r="533" spans="1:24" s="1" customFormat="1" ht="108" customHeight="1" x14ac:dyDescent="0.3">
      <c r="A533" s="11" t="s">
        <v>23</v>
      </c>
      <c r="B533" s="11" t="s">
        <v>694</v>
      </c>
      <c r="C533" s="12" t="s">
        <v>695</v>
      </c>
      <c r="D533" s="13"/>
      <c r="E533" s="43" t="str">
        <f>HYPERLINK("https://www.google.ru/search?q=19560-0019&amp;newwindow=1&amp;tbm=isch","Еще фото")</f>
        <v>Еще фото</v>
      </c>
      <c r="F533" s="14"/>
      <c r="G533" s="11" t="s">
        <v>237</v>
      </c>
      <c r="H533" s="11" t="s">
        <v>27</v>
      </c>
      <c r="I533" s="15" t="s">
        <v>237</v>
      </c>
      <c r="J533" s="15" t="s">
        <v>37</v>
      </c>
      <c r="K533" s="16" t="s">
        <v>29</v>
      </c>
      <c r="L533" s="15" t="s">
        <v>241</v>
      </c>
      <c r="M533" s="15"/>
      <c r="N533" s="15" t="s">
        <v>130</v>
      </c>
      <c r="O533" s="15"/>
      <c r="P533" s="16" t="s">
        <v>242</v>
      </c>
      <c r="Q533" s="17">
        <v>13699</v>
      </c>
      <c r="R533" s="18">
        <v>45.25</v>
      </c>
      <c r="S533" s="19">
        <v>8624.9884999999995</v>
      </c>
      <c r="T533" s="20" t="s">
        <v>75</v>
      </c>
      <c r="U533" s="21" t="s">
        <v>42</v>
      </c>
      <c r="V533" s="22">
        <v>40</v>
      </c>
      <c r="W533" s="22">
        <v>1</v>
      </c>
      <c r="X533" s="23"/>
    </row>
    <row r="534" spans="1:24" s="1" customFormat="1" ht="108" customHeight="1" x14ac:dyDescent="0.3">
      <c r="A534" s="11" t="s">
        <v>23</v>
      </c>
      <c r="B534" s="11" t="s">
        <v>696</v>
      </c>
      <c r="C534" s="12" t="s">
        <v>697</v>
      </c>
      <c r="D534" s="13"/>
      <c r="E534" s="43" t="str">
        <f>HYPERLINK("https://www.google.ru/search?q=19561-0009&amp;newwindow=1&amp;tbm=isch","Еще фото")</f>
        <v>Еще фото</v>
      </c>
      <c r="F534" s="14"/>
      <c r="G534" s="11" t="s">
        <v>237</v>
      </c>
      <c r="H534" s="11" t="s">
        <v>27</v>
      </c>
      <c r="I534" s="15" t="s">
        <v>237</v>
      </c>
      <c r="J534" s="15" t="s">
        <v>37</v>
      </c>
      <c r="K534" s="16" t="s">
        <v>29</v>
      </c>
      <c r="L534" s="15" t="s">
        <v>261</v>
      </c>
      <c r="M534" s="15"/>
      <c r="N534" s="15" t="s">
        <v>138</v>
      </c>
      <c r="O534" s="15"/>
      <c r="P534" s="16" t="s">
        <v>262</v>
      </c>
      <c r="Q534" s="17">
        <v>13699</v>
      </c>
      <c r="R534" s="18">
        <v>45.25</v>
      </c>
      <c r="S534" s="19">
        <v>8624.9884999999995</v>
      </c>
      <c r="T534" s="20" t="s">
        <v>75</v>
      </c>
      <c r="U534" s="21" t="s">
        <v>43</v>
      </c>
      <c r="V534" s="25" t="s">
        <v>44</v>
      </c>
      <c r="W534" s="22">
        <v>2</v>
      </c>
      <c r="X534" s="23"/>
    </row>
    <row r="535" spans="1:24" s="1" customFormat="1" ht="108" customHeight="1" x14ac:dyDescent="0.3">
      <c r="A535" s="11" t="s">
        <v>23</v>
      </c>
      <c r="B535" s="11" t="s">
        <v>698</v>
      </c>
      <c r="C535" s="12" t="s">
        <v>699</v>
      </c>
      <c r="D535" s="13"/>
      <c r="E535" s="43" t="str">
        <f>HYPERLINK("https://www.google.ru/search?q=19561I-0001&amp;newwindow=1&amp;tbm=isch","Еще фото")</f>
        <v>Еще фото</v>
      </c>
      <c r="F535" s="14"/>
      <c r="G535" s="11" t="s">
        <v>237</v>
      </c>
      <c r="H535" s="11" t="s">
        <v>27</v>
      </c>
      <c r="I535" s="15" t="s">
        <v>237</v>
      </c>
      <c r="J535" s="15" t="s">
        <v>37</v>
      </c>
      <c r="K535" s="16" t="s">
        <v>29</v>
      </c>
      <c r="L535" s="15" t="s">
        <v>261</v>
      </c>
      <c r="M535" s="15"/>
      <c r="N535" s="15" t="s">
        <v>130</v>
      </c>
      <c r="O535" s="15"/>
      <c r="P535" s="16" t="s">
        <v>262</v>
      </c>
      <c r="Q535" s="17">
        <v>13699</v>
      </c>
      <c r="R535" s="18">
        <v>45.25</v>
      </c>
      <c r="S535" s="19">
        <v>8624.9884999999995</v>
      </c>
      <c r="T535" s="20" t="s">
        <v>75</v>
      </c>
      <c r="U535" s="21" t="s">
        <v>401</v>
      </c>
      <c r="V535" s="22">
        <v>40</v>
      </c>
      <c r="W535" s="22">
        <v>1</v>
      </c>
      <c r="X535" s="23"/>
    </row>
    <row r="536" spans="1:24" s="1" customFormat="1" ht="108" customHeight="1" x14ac:dyDescent="0.3">
      <c r="A536" s="11" t="s">
        <v>23</v>
      </c>
      <c r="B536" s="11" t="s">
        <v>700</v>
      </c>
      <c r="C536" s="12" t="s">
        <v>701</v>
      </c>
      <c r="D536" s="13"/>
      <c r="E536" s="43" t="str">
        <f>HYPERLINK("https://www.google.ru/search?q=19627-0042&amp;newwindow=1&amp;tbm=isch","Еще фото")</f>
        <v>Еще фото</v>
      </c>
      <c r="F536" s="14"/>
      <c r="G536" s="11" t="s">
        <v>237</v>
      </c>
      <c r="H536" s="11" t="s">
        <v>27</v>
      </c>
      <c r="I536" s="15" t="s">
        <v>237</v>
      </c>
      <c r="J536" s="15" t="s">
        <v>37</v>
      </c>
      <c r="K536" s="16" t="s">
        <v>29</v>
      </c>
      <c r="L536" s="15" t="s">
        <v>702</v>
      </c>
      <c r="M536" s="15"/>
      <c r="N536" s="15" t="s">
        <v>138</v>
      </c>
      <c r="O536" s="15"/>
      <c r="P536" s="16" t="s">
        <v>209</v>
      </c>
      <c r="Q536" s="17">
        <v>13699</v>
      </c>
      <c r="R536" s="18">
        <v>45.25</v>
      </c>
      <c r="S536" s="19">
        <v>8624.9884999999995</v>
      </c>
      <c r="T536" s="20" t="s">
        <v>75</v>
      </c>
      <c r="U536" s="21" t="s">
        <v>43</v>
      </c>
      <c r="V536" s="25" t="s">
        <v>44</v>
      </c>
      <c r="W536" s="22">
        <v>1</v>
      </c>
      <c r="X536" s="23"/>
    </row>
    <row r="537" spans="1:24" s="1" customFormat="1" ht="108" customHeight="1" x14ac:dyDescent="0.3">
      <c r="A537" s="11" t="s">
        <v>23</v>
      </c>
      <c r="B537" s="11" t="s">
        <v>703</v>
      </c>
      <c r="C537" s="12" t="s">
        <v>704</v>
      </c>
      <c r="D537" s="13"/>
      <c r="E537" s="43" t="str">
        <f>HYPERLINK("https://www.google.ru/search?q=21972-0011&amp;newwindow=1&amp;tbm=isch","Еще фото")</f>
        <v>Еще фото</v>
      </c>
      <c r="F537" s="14" t="s">
        <v>182</v>
      </c>
      <c r="G537" s="11" t="s">
        <v>237</v>
      </c>
      <c r="H537" s="11" t="s">
        <v>27</v>
      </c>
      <c r="I537" s="15" t="s">
        <v>237</v>
      </c>
      <c r="J537" s="15" t="s">
        <v>37</v>
      </c>
      <c r="K537" s="16" t="s">
        <v>29</v>
      </c>
      <c r="L537" s="15" t="s">
        <v>271</v>
      </c>
      <c r="M537" s="15"/>
      <c r="N537" s="15" t="s">
        <v>130</v>
      </c>
      <c r="O537" s="15"/>
      <c r="P537" s="16" t="s">
        <v>250</v>
      </c>
      <c r="Q537" s="17">
        <v>13699</v>
      </c>
      <c r="R537" s="18">
        <v>45.25</v>
      </c>
      <c r="S537" s="19">
        <v>8624.9884999999995</v>
      </c>
      <c r="T537" s="20" t="s">
        <v>75</v>
      </c>
      <c r="U537" s="21" t="s">
        <v>42</v>
      </c>
      <c r="V537" s="22">
        <v>40</v>
      </c>
      <c r="W537" s="22">
        <v>3</v>
      </c>
      <c r="X537" s="23"/>
    </row>
    <row r="538" spans="1:24" s="1" customFormat="1" ht="108" customHeight="1" x14ac:dyDescent="0.3">
      <c r="A538" s="11" t="s">
        <v>23</v>
      </c>
      <c r="B538" s="11" t="s">
        <v>705</v>
      </c>
      <c r="C538" s="12" t="s">
        <v>706</v>
      </c>
      <c r="D538" s="13"/>
      <c r="E538" s="43" t="str">
        <f>HYPERLINK("https://www.google.ru/search?q=28833-0475&amp;newwindow=1&amp;tbm=isch","Еще фото")</f>
        <v>Еще фото</v>
      </c>
      <c r="F538" s="14"/>
      <c r="G538" s="11" t="s">
        <v>237</v>
      </c>
      <c r="H538" s="11" t="s">
        <v>27</v>
      </c>
      <c r="I538" s="15" t="s">
        <v>237</v>
      </c>
      <c r="J538" s="15" t="s">
        <v>37</v>
      </c>
      <c r="K538" s="16" t="s">
        <v>57</v>
      </c>
      <c r="L538" s="15" t="s">
        <v>518</v>
      </c>
      <c r="M538" s="15"/>
      <c r="N538" s="15" t="s">
        <v>130</v>
      </c>
      <c r="O538" s="15"/>
      <c r="P538" s="16" t="s">
        <v>707</v>
      </c>
      <c r="Q538" s="17">
        <v>13699</v>
      </c>
      <c r="R538" s="18">
        <v>45.25</v>
      </c>
      <c r="S538" s="19">
        <v>8624.9884999999995</v>
      </c>
      <c r="T538" s="20" t="s">
        <v>75</v>
      </c>
      <c r="U538" s="21" t="s">
        <v>173</v>
      </c>
      <c r="V538" s="25" t="s">
        <v>63</v>
      </c>
      <c r="W538" s="22">
        <v>2</v>
      </c>
      <c r="X538" s="23"/>
    </row>
    <row r="539" spans="1:24" s="1" customFormat="1" ht="35" customHeight="1" x14ac:dyDescent="0.3">
      <c r="A539" s="11" t="s">
        <v>23</v>
      </c>
      <c r="B539" s="11" t="s">
        <v>708</v>
      </c>
      <c r="C539" s="12" t="s">
        <v>709</v>
      </c>
      <c r="D539" s="57"/>
      <c r="E539" s="43" t="str">
        <f>HYPERLINK("https://www.google.ru/search?q=52797-0352&amp;newwindow=1&amp;tbm=isch","Еще фото")</f>
        <v>Еще фото</v>
      </c>
      <c r="F539" s="14"/>
      <c r="G539" s="11" t="s">
        <v>237</v>
      </c>
      <c r="H539" s="11" t="s">
        <v>27</v>
      </c>
      <c r="I539" s="15" t="s">
        <v>237</v>
      </c>
      <c r="J539" s="15" t="s">
        <v>37</v>
      </c>
      <c r="K539" s="16" t="s">
        <v>29</v>
      </c>
      <c r="L539" s="60" t="s">
        <v>459</v>
      </c>
      <c r="M539" s="15"/>
      <c r="N539" s="15" t="s">
        <v>130</v>
      </c>
      <c r="O539" s="15"/>
      <c r="P539" s="16" t="s">
        <v>710</v>
      </c>
      <c r="Q539" s="17">
        <v>13699</v>
      </c>
      <c r="R539" s="18">
        <v>45.25</v>
      </c>
      <c r="S539" s="19">
        <v>8624.9884999999995</v>
      </c>
      <c r="T539" s="20" t="s">
        <v>75</v>
      </c>
      <c r="U539" s="21" t="s">
        <v>42</v>
      </c>
      <c r="V539" s="22">
        <v>40</v>
      </c>
      <c r="W539" s="22">
        <v>2</v>
      </c>
      <c r="X539" s="23"/>
    </row>
    <row r="540" spans="1:24" s="1" customFormat="1" ht="35" customHeight="1" x14ac:dyDescent="0.3">
      <c r="A540" s="24" t="s">
        <v>23</v>
      </c>
      <c r="B540" s="24" t="s">
        <v>708</v>
      </c>
      <c r="C540" s="12" t="s">
        <v>709</v>
      </c>
      <c r="D540" s="58"/>
      <c r="E540" s="43" t="str">
        <f>HYPERLINK("https://www.google.ru/search?q=52797-0352&amp;newwindow=1&amp;tbm=isch","Еще фото")</f>
        <v>Еще фото</v>
      </c>
      <c r="F540" s="14"/>
      <c r="G540" s="24" t="s">
        <v>237</v>
      </c>
      <c r="H540" s="24" t="s">
        <v>27</v>
      </c>
      <c r="I540" s="24" t="s">
        <v>237</v>
      </c>
      <c r="J540" s="15" t="s">
        <v>37</v>
      </c>
      <c r="K540" s="16" t="s">
        <v>29</v>
      </c>
      <c r="L540" s="61"/>
      <c r="M540" s="15"/>
      <c r="N540" s="15" t="s">
        <v>130</v>
      </c>
      <c r="O540" s="15"/>
      <c r="P540" s="16" t="s">
        <v>710</v>
      </c>
      <c r="Q540" s="17">
        <v>13699</v>
      </c>
      <c r="R540" s="18">
        <v>45.25</v>
      </c>
      <c r="S540" s="19">
        <v>8624.9884999999995</v>
      </c>
      <c r="T540" s="20" t="s">
        <v>75</v>
      </c>
      <c r="U540" s="21" t="s">
        <v>45</v>
      </c>
      <c r="V540" s="25" t="s">
        <v>44</v>
      </c>
      <c r="W540" s="22">
        <v>1</v>
      </c>
      <c r="X540" s="23"/>
    </row>
    <row r="541" spans="1:24" s="1" customFormat="1" ht="37.049999999999997" customHeight="1" x14ac:dyDescent="0.3">
      <c r="A541" s="24" t="s">
        <v>23</v>
      </c>
      <c r="B541" s="24" t="s">
        <v>708</v>
      </c>
      <c r="C541" s="12" t="s">
        <v>709</v>
      </c>
      <c r="D541" s="59"/>
      <c r="E541" s="43" t="str">
        <f>HYPERLINK("https://www.google.ru/search?q=52797-0352&amp;newwindow=1&amp;tbm=isch","Еще фото")</f>
        <v>Еще фото</v>
      </c>
      <c r="F541" s="14"/>
      <c r="G541" s="24" t="s">
        <v>237</v>
      </c>
      <c r="H541" s="24" t="s">
        <v>27</v>
      </c>
      <c r="I541" s="24" t="s">
        <v>237</v>
      </c>
      <c r="J541" s="15" t="s">
        <v>37</v>
      </c>
      <c r="K541" s="16" t="s">
        <v>29</v>
      </c>
      <c r="L541" s="62"/>
      <c r="M541" s="15"/>
      <c r="N541" s="15" t="s">
        <v>130</v>
      </c>
      <c r="O541" s="15"/>
      <c r="P541" s="16" t="s">
        <v>710</v>
      </c>
      <c r="Q541" s="17">
        <v>13699</v>
      </c>
      <c r="R541" s="18">
        <v>45.25</v>
      </c>
      <c r="S541" s="19">
        <v>8624.9884999999995</v>
      </c>
      <c r="T541" s="20" t="s">
        <v>75</v>
      </c>
      <c r="U541" s="21" t="s">
        <v>173</v>
      </c>
      <c r="V541" s="22">
        <v>46</v>
      </c>
      <c r="W541" s="22">
        <v>1</v>
      </c>
      <c r="X541" s="23"/>
    </row>
    <row r="542" spans="1:24" s="1" customFormat="1" ht="108" customHeight="1" x14ac:dyDescent="0.3">
      <c r="A542" s="11" t="s">
        <v>23</v>
      </c>
      <c r="B542" s="11" t="s">
        <v>711</v>
      </c>
      <c r="C542" s="12" t="s">
        <v>712</v>
      </c>
      <c r="D542" s="13"/>
      <c r="E542" s="43" t="str">
        <f>HYPERLINK("https://www.google.ru/search?q=28833-1414&amp;newwindow=1&amp;tbm=isch","Еще фото")</f>
        <v>Еще фото</v>
      </c>
      <c r="F542" s="14"/>
      <c r="G542" s="11" t="s">
        <v>237</v>
      </c>
      <c r="H542" s="11" t="s">
        <v>27</v>
      </c>
      <c r="I542" s="15" t="s">
        <v>237</v>
      </c>
      <c r="J542" s="15" t="s">
        <v>37</v>
      </c>
      <c r="K542" s="16" t="s">
        <v>57</v>
      </c>
      <c r="L542" s="15" t="s">
        <v>570</v>
      </c>
      <c r="M542" s="15"/>
      <c r="N542" s="15" t="s">
        <v>87</v>
      </c>
      <c r="O542" s="15"/>
      <c r="P542" s="16" t="s">
        <v>713</v>
      </c>
      <c r="Q542" s="17">
        <v>22099</v>
      </c>
      <c r="R542" s="18">
        <v>45.25</v>
      </c>
      <c r="S542" s="19">
        <v>13914.988499999999</v>
      </c>
      <c r="T542" s="20" t="s">
        <v>75</v>
      </c>
      <c r="U542" s="21" t="s">
        <v>109</v>
      </c>
      <c r="V542" s="25" t="s">
        <v>65</v>
      </c>
      <c r="W542" s="22">
        <v>1</v>
      </c>
      <c r="X542" s="23"/>
    </row>
    <row r="543" spans="1:24" s="1" customFormat="1" ht="26" customHeight="1" x14ac:dyDescent="0.3">
      <c r="A543" s="11" t="s">
        <v>23</v>
      </c>
      <c r="B543" s="11" t="s">
        <v>714</v>
      </c>
      <c r="C543" s="12" t="s">
        <v>715</v>
      </c>
      <c r="D543" s="57"/>
      <c r="E543" s="43" t="str">
        <f>HYPERLINK("https://www.google.ru/search?q=A8701-0018&amp;newwindow=1&amp;tbm=isch","Еще фото")</f>
        <v>Еще фото</v>
      </c>
      <c r="F543" s="14"/>
      <c r="G543" s="11" t="s">
        <v>237</v>
      </c>
      <c r="H543" s="11" t="s">
        <v>27</v>
      </c>
      <c r="I543" s="15" t="s">
        <v>237</v>
      </c>
      <c r="J543" s="15" t="s">
        <v>37</v>
      </c>
      <c r="K543" s="16" t="s">
        <v>29</v>
      </c>
      <c r="L543" s="60" t="s">
        <v>716</v>
      </c>
      <c r="M543" s="15"/>
      <c r="N543" s="15" t="s">
        <v>87</v>
      </c>
      <c r="O543" s="15"/>
      <c r="P543" s="16" t="s">
        <v>717</v>
      </c>
      <c r="Q543" s="17">
        <v>22099</v>
      </c>
      <c r="R543" s="18">
        <v>45.25</v>
      </c>
      <c r="S543" s="19">
        <v>13914.988499999999</v>
      </c>
      <c r="T543" s="20" t="s">
        <v>75</v>
      </c>
      <c r="U543" s="21" t="s">
        <v>718</v>
      </c>
      <c r="V543" s="22">
        <v>42</v>
      </c>
      <c r="W543" s="22">
        <v>1</v>
      </c>
      <c r="X543" s="23"/>
    </row>
    <row r="544" spans="1:24" s="1" customFormat="1" ht="26" customHeight="1" x14ac:dyDescent="0.3">
      <c r="A544" s="24" t="s">
        <v>23</v>
      </c>
      <c r="B544" s="24" t="s">
        <v>714</v>
      </c>
      <c r="C544" s="12" t="s">
        <v>715</v>
      </c>
      <c r="D544" s="58"/>
      <c r="E544" s="43" t="str">
        <f>HYPERLINK("https://www.google.ru/search?q=A8701-0018&amp;newwindow=1&amp;tbm=isch","Еще фото")</f>
        <v>Еще фото</v>
      </c>
      <c r="F544" s="14"/>
      <c r="G544" s="24" t="s">
        <v>237</v>
      </c>
      <c r="H544" s="24" t="s">
        <v>27</v>
      </c>
      <c r="I544" s="24" t="s">
        <v>237</v>
      </c>
      <c r="J544" s="15" t="s">
        <v>37</v>
      </c>
      <c r="K544" s="16" t="s">
        <v>29</v>
      </c>
      <c r="L544" s="61"/>
      <c r="M544" s="15"/>
      <c r="N544" s="15" t="s">
        <v>87</v>
      </c>
      <c r="O544" s="15"/>
      <c r="P544" s="16" t="s">
        <v>717</v>
      </c>
      <c r="Q544" s="17">
        <v>22099</v>
      </c>
      <c r="R544" s="18">
        <v>45.25</v>
      </c>
      <c r="S544" s="19">
        <v>13914.988499999999</v>
      </c>
      <c r="T544" s="20" t="s">
        <v>75</v>
      </c>
      <c r="U544" s="21" t="s">
        <v>719</v>
      </c>
      <c r="V544" s="22">
        <v>44</v>
      </c>
      <c r="W544" s="22">
        <v>2</v>
      </c>
      <c r="X544" s="23"/>
    </row>
    <row r="545" spans="1:24" s="1" customFormat="1" ht="26" customHeight="1" x14ac:dyDescent="0.3">
      <c r="A545" s="24" t="s">
        <v>23</v>
      </c>
      <c r="B545" s="24" t="s">
        <v>714</v>
      </c>
      <c r="C545" s="12" t="s">
        <v>715</v>
      </c>
      <c r="D545" s="58"/>
      <c r="E545" s="43" t="str">
        <f>HYPERLINK("https://www.google.ru/search?q=A8701-0018&amp;newwindow=1&amp;tbm=isch","Еще фото")</f>
        <v>Еще фото</v>
      </c>
      <c r="F545" s="14"/>
      <c r="G545" s="24" t="s">
        <v>237</v>
      </c>
      <c r="H545" s="24" t="s">
        <v>27</v>
      </c>
      <c r="I545" s="24" t="s">
        <v>237</v>
      </c>
      <c r="J545" s="15" t="s">
        <v>37</v>
      </c>
      <c r="K545" s="16" t="s">
        <v>29</v>
      </c>
      <c r="L545" s="61"/>
      <c r="M545" s="15"/>
      <c r="N545" s="15" t="s">
        <v>87</v>
      </c>
      <c r="O545" s="15"/>
      <c r="P545" s="16" t="s">
        <v>717</v>
      </c>
      <c r="Q545" s="17">
        <v>22099</v>
      </c>
      <c r="R545" s="18">
        <v>45.25</v>
      </c>
      <c r="S545" s="19">
        <v>13914.988499999999</v>
      </c>
      <c r="T545" s="20" t="s">
        <v>75</v>
      </c>
      <c r="U545" s="21" t="s">
        <v>660</v>
      </c>
      <c r="V545" s="25" t="s">
        <v>63</v>
      </c>
      <c r="W545" s="22">
        <v>2</v>
      </c>
      <c r="X545" s="23"/>
    </row>
    <row r="546" spans="1:24" s="1" customFormat="1" ht="26" customHeight="1" x14ac:dyDescent="0.3">
      <c r="A546" s="24" t="s">
        <v>23</v>
      </c>
      <c r="B546" s="24" t="s">
        <v>714</v>
      </c>
      <c r="C546" s="12" t="s">
        <v>715</v>
      </c>
      <c r="D546" s="59"/>
      <c r="E546" s="43" t="str">
        <f>HYPERLINK("https://www.google.ru/search?q=A8701-0018&amp;newwindow=1&amp;tbm=isch","Еще фото")</f>
        <v>Еще фото</v>
      </c>
      <c r="F546" s="14"/>
      <c r="G546" s="24" t="s">
        <v>237</v>
      </c>
      <c r="H546" s="24" t="s">
        <v>27</v>
      </c>
      <c r="I546" s="24" t="s">
        <v>237</v>
      </c>
      <c r="J546" s="15" t="s">
        <v>37</v>
      </c>
      <c r="K546" s="16" t="s">
        <v>29</v>
      </c>
      <c r="L546" s="62"/>
      <c r="M546" s="15"/>
      <c r="N546" s="15" t="s">
        <v>87</v>
      </c>
      <c r="O546" s="15"/>
      <c r="P546" s="16" t="s">
        <v>717</v>
      </c>
      <c r="Q546" s="17">
        <v>22099</v>
      </c>
      <c r="R546" s="18">
        <v>45.25</v>
      </c>
      <c r="S546" s="19">
        <v>13914.988499999999</v>
      </c>
      <c r="T546" s="20" t="s">
        <v>75</v>
      </c>
      <c r="U546" s="21" t="s">
        <v>134</v>
      </c>
      <c r="V546" s="22">
        <v>48</v>
      </c>
      <c r="W546" s="22">
        <v>1</v>
      </c>
      <c r="X546" s="23"/>
    </row>
    <row r="547" spans="1:24" s="1" customFormat="1" ht="108" customHeight="1" x14ac:dyDescent="0.3">
      <c r="A547" s="11" t="s">
        <v>23</v>
      </c>
      <c r="B547" s="11" t="s">
        <v>411</v>
      </c>
      <c r="C547" s="12" t="s">
        <v>720</v>
      </c>
      <c r="D547" s="13"/>
      <c r="E547" s="43" t="str">
        <f>HYPERLINK("https://www.google.ru/search?q=00501-3382&amp;newwindow=1&amp;tbm=isch","Еще фото")</f>
        <v>Еще фото</v>
      </c>
      <c r="F547" s="14"/>
      <c r="G547" s="11" t="s">
        <v>237</v>
      </c>
      <c r="H547" s="11" t="s">
        <v>27</v>
      </c>
      <c r="I547" s="15" t="s">
        <v>237</v>
      </c>
      <c r="J547" s="15" t="s">
        <v>37</v>
      </c>
      <c r="K547" s="16" t="s">
        <v>57</v>
      </c>
      <c r="L547" s="15" t="s">
        <v>413</v>
      </c>
      <c r="M547" s="15"/>
      <c r="N547" s="15" t="s">
        <v>130</v>
      </c>
      <c r="O547" s="15"/>
      <c r="P547" s="16" t="s">
        <v>254</v>
      </c>
      <c r="Q547" s="17">
        <v>25199</v>
      </c>
      <c r="R547" s="18">
        <v>45.24</v>
      </c>
      <c r="S547" s="19">
        <v>15869.988499999998</v>
      </c>
      <c r="T547" s="20" t="s">
        <v>75</v>
      </c>
      <c r="U547" s="21" t="s">
        <v>53</v>
      </c>
      <c r="V547" s="22">
        <v>46</v>
      </c>
      <c r="W547" s="22">
        <v>1</v>
      </c>
      <c r="X547" s="23"/>
    </row>
    <row r="548" spans="1:24" s="1" customFormat="1" ht="35" customHeight="1" x14ac:dyDescent="0.3">
      <c r="A548" s="11" t="s">
        <v>23</v>
      </c>
      <c r="B548" s="11" t="s">
        <v>721</v>
      </c>
      <c r="C548" s="12" t="s">
        <v>722</v>
      </c>
      <c r="D548" s="57"/>
      <c r="E548" s="43" t="str">
        <f>HYPERLINK("https://www.google.ru/search?q=04511-4102&amp;newwindow=1&amp;tbm=isch","Еще фото")</f>
        <v>Еще фото</v>
      </c>
      <c r="F548" s="14"/>
      <c r="G548" s="11" t="s">
        <v>237</v>
      </c>
      <c r="H548" s="11" t="s">
        <v>27</v>
      </c>
      <c r="I548" s="15" t="s">
        <v>237</v>
      </c>
      <c r="J548" s="15" t="s">
        <v>28</v>
      </c>
      <c r="K548" s="16" t="s">
        <v>57</v>
      </c>
      <c r="L548" s="60" t="s">
        <v>723</v>
      </c>
      <c r="M548" s="15" t="s">
        <v>72</v>
      </c>
      <c r="N548" s="15" t="s">
        <v>130</v>
      </c>
      <c r="O548" s="15" t="s">
        <v>121</v>
      </c>
      <c r="P548" s="16" t="s">
        <v>254</v>
      </c>
      <c r="Q548" s="17">
        <v>20999</v>
      </c>
      <c r="R548" s="18">
        <v>45.24</v>
      </c>
      <c r="S548" s="19">
        <v>13224.988499999999</v>
      </c>
      <c r="T548" s="20" t="s">
        <v>75</v>
      </c>
      <c r="U548" s="21" t="s">
        <v>49</v>
      </c>
      <c r="V548" s="22">
        <v>42</v>
      </c>
      <c r="W548" s="22">
        <v>1</v>
      </c>
      <c r="X548" s="23"/>
    </row>
    <row r="549" spans="1:24" s="1" customFormat="1" ht="35" customHeight="1" x14ac:dyDescent="0.3">
      <c r="A549" s="24" t="s">
        <v>23</v>
      </c>
      <c r="B549" s="24" t="s">
        <v>721</v>
      </c>
      <c r="C549" s="12" t="s">
        <v>722</v>
      </c>
      <c r="D549" s="58"/>
      <c r="E549" s="43" t="str">
        <f>HYPERLINK("https://www.google.ru/search?q=04511-4102&amp;newwindow=1&amp;tbm=isch","Еще фото")</f>
        <v>Еще фото</v>
      </c>
      <c r="F549" s="14"/>
      <c r="G549" s="24" t="s">
        <v>237</v>
      </c>
      <c r="H549" s="24" t="s">
        <v>27</v>
      </c>
      <c r="I549" s="24" t="s">
        <v>237</v>
      </c>
      <c r="J549" s="15" t="s">
        <v>28</v>
      </c>
      <c r="K549" s="16" t="s">
        <v>57</v>
      </c>
      <c r="L549" s="61"/>
      <c r="M549" s="15" t="s">
        <v>72</v>
      </c>
      <c r="N549" s="15" t="s">
        <v>130</v>
      </c>
      <c r="O549" s="15" t="s">
        <v>121</v>
      </c>
      <c r="P549" s="16" t="s">
        <v>254</v>
      </c>
      <c r="Q549" s="17">
        <v>20999</v>
      </c>
      <c r="R549" s="18">
        <v>45.24</v>
      </c>
      <c r="S549" s="19">
        <v>13224.988499999999</v>
      </c>
      <c r="T549" s="20" t="s">
        <v>75</v>
      </c>
      <c r="U549" s="21" t="s">
        <v>143</v>
      </c>
      <c r="V549" s="22">
        <v>46</v>
      </c>
      <c r="W549" s="22">
        <v>1</v>
      </c>
      <c r="X549" s="23"/>
    </row>
    <row r="550" spans="1:24" s="1" customFormat="1" ht="37.049999999999997" customHeight="1" x14ac:dyDescent="0.3">
      <c r="A550" s="24" t="s">
        <v>23</v>
      </c>
      <c r="B550" s="24" t="s">
        <v>721</v>
      </c>
      <c r="C550" s="12" t="s">
        <v>722</v>
      </c>
      <c r="D550" s="59"/>
      <c r="E550" s="43" t="str">
        <f>HYPERLINK("https://www.google.ru/search?q=04511-4102&amp;newwindow=1&amp;tbm=isch","Еще фото")</f>
        <v>Еще фото</v>
      </c>
      <c r="F550" s="14"/>
      <c r="G550" s="24" t="s">
        <v>237</v>
      </c>
      <c r="H550" s="24" t="s">
        <v>27</v>
      </c>
      <c r="I550" s="24" t="s">
        <v>237</v>
      </c>
      <c r="J550" s="15" t="s">
        <v>28</v>
      </c>
      <c r="K550" s="16" t="s">
        <v>57</v>
      </c>
      <c r="L550" s="62"/>
      <c r="M550" s="15" t="s">
        <v>72</v>
      </c>
      <c r="N550" s="15" t="s">
        <v>130</v>
      </c>
      <c r="O550" s="15" t="s">
        <v>121</v>
      </c>
      <c r="P550" s="16" t="s">
        <v>254</v>
      </c>
      <c r="Q550" s="17">
        <v>20999</v>
      </c>
      <c r="R550" s="18">
        <v>45.24</v>
      </c>
      <c r="S550" s="19">
        <v>13224.988499999999</v>
      </c>
      <c r="T550" s="20" t="s">
        <v>75</v>
      </c>
      <c r="U550" s="21" t="s">
        <v>140</v>
      </c>
      <c r="V550" s="25" t="s">
        <v>65</v>
      </c>
      <c r="W550" s="22">
        <v>1</v>
      </c>
      <c r="X550" s="23"/>
    </row>
    <row r="551" spans="1:24" s="1" customFormat="1" ht="35" customHeight="1" x14ac:dyDescent="0.3">
      <c r="A551" s="11" t="s">
        <v>23</v>
      </c>
      <c r="B551" s="11" t="s">
        <v>618</v>
      </c>
      <c r="C551" s="12" t="s">
        <v>724</v>
      </c>
      <c r="D551" s="57"/>
      <c r="E551" s="43" t="str">
        <f>HYPERLINK("https://www.google.ru/search?q=52797-0328&amp;newwindow=1&amp;tbm=isch","Еще фото")</f>
        <v>Еще фото</v>
      </c>
      <c r="F551" s="14"/>
      <c r="G551" s="11" t="s">
        <v>237</v>
      </c>
      <c r="H551" s="11" t="s">
        <v>27</v>
      </c>
      <c r="I551" s="15" t="s">
        <v>237</v>
      </c>
      <c r="J551" s="15" t="s">
        <v>28</v>
      </c>
      <c r="K551" s="16" t="s">
        <v>29</v>
      </c>
      <c r="L551" s="60" t="s">
        <v>459</v>
      </c>
      <c r="M551" s="15"/>
      <c r="N551" s="15" t="s">
        <v>130</v>
      </c>
      <c r="O551" s="15"/>
      <c r="P551" s="16" t="s">
        <v>297</v>
      </c>
      <c r="Q551" s="17">
        <v>20999</v>
      </c>
      <c r="R551" s="18">
        <v>45.24</v>
      </c>
      <c r="S551" s="19">
        <v>13224.988499999999</v>
      </c>
      <c r="T551" s="20" t="s">
        <v>75</v>
      </c>
      <c r="U551" s="21" t="s">
        <v>42</v>
      </c>
      <c r="V551" s="22">
        <v>40</v>
      </c>
      <c r="W551" s="22">
        <v>1</v>
      </c>
      <c r="X551" s="23"/>
    </row>
    <row r="552" spans="1:24" s="1" customFormat="1" ht="35" customHeight="1" x14ac:dyDescent="0.3">
      <c r="A552" s="24" t="s">
        <v>23</v>
      </c>
      <c r="B552" s="24" t="s">
        <v>618</v>
      </c>
      <c r="C552" s="12" t="s">
        <v>724</v>
      </c>
      <c r="D552" s="58"/>
      <c r="E552" s="43" t="str">
        <f>HYPERLINK("https://www.google.ru/search?q=52797-0328&amp;newwindow=1&amp;tbm=isch","Еще фото")</f>
        <v>Еще фото</v>
      </c>
      <c r="F552" s="14"/>
      <c r="G552" s="24" t="s">
        <v>237</v>
      </c>
      <c r="H552" s="24" t="s">
        <v>27</v>
      </c>
      <c r="I552" s="24" t="s">
        <v>237</v>
      </c>
      <c r="J552" s="15" t="s">
        <v>28</v>
      </c>
      <c r="K552" s="16" t="s">
        <v>29</v>
      </c>
      <c r="L552" s="61"/>
      <c r="M552" s="15"/>
      <c r="N552" s="15" t="s">
        <v>130</v>
      </c>
      <c r="O552" s="15"/>
      <c r="P552" s="16" t="s">
        <v>297</v>
      </c>
      <c r="Q552" s="17">
        <v>20999</v>
      </c>
      <c r="R552" s="18">
        <v>45.24</v>
      </c>
      <c r="S552" s="19">
        <v>13224.988499999999</v>
      </c>
      <c r="T552" s="20" t="s">
        <v>75</v>
      </c>
      <c r="U552" s="21" t="s">
        <v>50</v>
      </c>
      <c r="V552" s="22">
        <v>44</v>
      </c>
      <c r="W552" s="22">
        <v>3</v>
      </c>
      <c r="X552" s="23"/>
    </row>
    <row r="553" spans="1:24" s="1" customFormat="1" ht="37.049999999999997" customHeight="1" x14ac:dyDescent="0.3">
      <c r="A553" s="24" t="s">
        <v>23</v>
      </c>
      <c r="B553" s="24" t="s">
        <v>618</v>
      </c>
      <c r="C553" s="12" t="s">
        <v>724</v>
      </c>
      <c r="D553" s="59"/>
      <c r="E553" s="43" t="str">
        <f>HYPERLINK("https://www.google.ru/search?q=52797-0328&amp;newwindow=1&amp;tbm=isch","Еще фото")</f>
        <v>Еще фото</v>
      </c>
      <c r="F553" s="14"/>
      <c r="G553" s="24" t="s">
        <v>237</v>
      </c>
      <c r="H553" s="24" t="s">
        <v>27</v>
      </c>
      <c r="I553" s="24" t="s">
        <v>237</v>
      </c>
      <c r="J553" s="15" t="s">
        <v>28</v>
      </c>
      <c r="K553" s="16" t="s">
        <v>29</v>
      </c>
      <c r="L553" s="62"/>
      <c r="M553" s="15"/>
      <c r="N553" s="15" t="s">
        <v>130</v>
      </c>
      <c r="O553" s="15"/>
      <c r="P553" s="16" t="s">
        <v>297</v>
      </c>
      <c r="Q553" s="17">
        <v>20999</v>
      </c>
      <c r="R553" s="18">
        <v>45.24</v>
      </c>
      <c r="S553" s="19">
        <v>13224.988499999999</v>
      </c>
      <c r="T553" s="20" t="s">
        <v>75</v>
      </c>
      <c r="U553" s="21" t="s">
        <v>52</v>
      </c>
      <c r="V553" s="22">
        <v>48</v>
      </c>
      <c r="W553" s="22">
        <v>1</v>
      </c>
      <c r="X553" s="23"/>
    </row>
    <row r="554" spans="1:24" s="1" customFormat="1" ht="108" customHeight="1" x14ac:dyDescent="0.3">
      <c r="A554" s="11" t="s">
        <v>23</v>
      </c>
      <c r="B554" s="11" t="s">
        <v>725</v>
      </c>
      <c r="C554" s="12" t="s">
        <v>726</v>
      </c>
      <c r="D554" s="13"/>
      <c r="E554" s="43" t="str">
        <f>HYPERLINK("https://www.google.ru/search?q=72693-0099&amp;newwindow=1&amp;tbm=isch","Еще фото")</f>
        <v>Еще фото</v>
      </c>
      <c r="F554" s="14"/>
      <c r="G554" s="11" t="s">
        <v>237</v>
      </c>
      <c r="H554" s="11" t="s">
        <v>27</v>
      </c>
      <c r="I554" s="15" t="s">
        <v>237</v>
      </c>
      <c r="J554" s="15" t="s">
        <v>28</v>
      </c>
      <c r="K554" s="16" t="s">
        <v>29</v>
      </c>
      <c r="L554" s="15" t="s">
        <v>727</v>
      </c>
      <c r="M554" s="15" t="s">
        <v>72</v>
      </c>
      <c r="N554" s="15" t="s">
        <v>130</v>
      </c>
      <c r="O554" s="15" t="s">
        <v>121</v>
      </c>
      <c r="P554" s="16" t="s">
        <v>254</v>
      </c>
      <c r="Q554" s="17">
        <v>16799</v>
      </c>
      <c r="R554" s="18">
        <v>45.23</v>
      </c>
      <c r="S554" s="19">
        <v>10579.988499999999</v>
      </c>
      <c r="T554" s="20" t="s">
        <v>41</v>
      </c>
      <c r="U554" s="21" t="s">
        <v>243</v>
      </c>
      <c r="V554" s="22">
        <v>40</v>
      </c>
      <c r="W554" s="22">
        <v>1</v>
      </c>
      <c r="X554" s="23"/>
    </row>
    <row r="555" spans="1:24" s="1" customFormat="1" ht="52.05" customHeight="1" x14ac:dyDescent="0.3">
      <c r="A555" s="11" t="s">
        <v>23</v>
      </c>
      <c r="B555" s="11" t="s">
        <v>728</v>
      </c>
      <c r="C555" s="12" t="s">
        <v>729</v>
      </c>
      <c r="D555" s="63"/>
      <c r="E555" s="43" t="str">
        <f>HYPERLINK("https://www.google.ru/search?q=04511-5859&amp;newwindow=1&amp;tbm=isch","Еще фото")</f>
        <v>Еще фото</v>
      </c>
      <c r="F555" s="14"/>
      <c r="G555" s="11" t="s">
        <v>237</v>
      </c>
      <c r="H555" s="11" t="s">
        <v>27</v>
      </c>
      <c r="I555" s="15" t="s">
        <v>237</v>
      </c>
      <c r="J555" s="15" t="s">
        <v>37</v>
      </c>
      <c r="K555" s="16" t="s">
        <v>57</v>
      </c>
      <c r="L555" s="60" t="s">
        <v>592</v>
      </c>
      <c r="M555" s="15"/>
      <c r="N555" s="15" t="s">
        <v>138</v>
      </c>
      <c r="O555" s="15"/>
      <c r="P555" s="16" t="s">
        <v>254</v>
      </c>
      <c r="Q555" s="17">
        <v>12599</v>
      </c>
      <c r="R555" s="18">
        <v>45.23</v>
      </c>
      <c r="S555" s="19">
        <v>7934.9884999999995</v>
      </c>
      <c r="T555" s="20" t="s">
        <v>75</v>
      </c>
      <c r="U555" s="21" t="s">
        <v>109</v>
      </c>
      <c r="V555" s="25" t="s">
        <v>65</v>
      </c>
      <c r="W555" s="22">
        <v>1</v>
      </c>
      <c r="X555" s="23"/>
    </row>
    <row r="556" spans="1:24" s="1" customFormat="1" ht="61.05" customHeight="1" x14ac:dyDescent="0.3">
      <c r="A556" s="24" t="s">
        <v>23</v>
      </c>
      <c r="B556" s="24" t="s">
        <v>728</v>
      </c>
      <c r="C556" s="12" t="s">
        <v>729</v>
      </c>
      <c r="D556" s="64"/>
      <c r="E556" s="43" t="str">
        <f>HYPERLINK("https://www.google.ru/search?q=04511-5859&amp;newwindow=1&amp;tbm=isch","Еще фото")</f>
        <v>Еще фото</v>
      </c>
      <c r="F556" s="14"/>
      <c r="G556" s="24" t="s">
        <v>237</v>
      </c>
      <c r="H556" s="24" t="s">
        <v>27</v>
      </c>
      <c r="I556" s="24" t="s">
        <v>237</v>
      </c>
      <c r="J556" s="15" t="s">
        <v>37</v>
      </c>
      <c r="K556" s="16" t="s">
        <v>57</v>
      </c>
      <c r="L556" s="62"/>
      <c r="M556" s="15"/>
      <c r="N556" s="15" t="s">
        <v>138</v>
      </c>
      <c r="O556" s="15"/>
      <c r="P556" s="16" t="s">
        <v>254</v>
      </c>
      <c r="Q556" s="17">
        <v>12599</v>
      </c>
      <c r="R556" s="18">
        <v>45.23</v>
      </c>
      <c r="S556" s="19">
        <v>7934.9884999999995</v>
      </c>
      <c r="T556" s="20" t="s">
        <v>75</v>
      </c>
      <c r="U556" s="21" t="s">
        <v>166</v>
      </c>
      <c r="V556" s="25" t="s">
        <v>96</v>
      </c>
      <c r="W556" s="22">
        <v>1</v>
      </c>
      <c r="X556" s="23"/>
    </row>
    <row r="557" spans="1:24" s="1" customFormat="1" ht="108" customHeight="1" x14ac:dyDescent="0.3">
      <c r="A557" s="11" t="s">
        <v>23</v>
      </c>
      <c r="B557" s="11" t="s">
        <v>730</v>
      </c>
      <c r="C557" s="12" t="s">
        <v>731</v>
      </c>
      <c r="D557" s="13"/>
      <c r="E557" s="43" t="str">
        <f>HYPERLINK("https://www.google.ru/search?q=05510-1345&amp;newwindow=1&amp;tbm=isch","Еще фото")</f>
        <v>Еще фото</v>
      </c>
      <c r="F557" s="14"/>
      <c r="G557" s="11" t="s">
        <v>237</v>
      </c>
      <c r="H557" s="11" t="s">
        <v>27</v>
      </c>
      <c r="I557" s="15" t="s">
        <v>237</v>
      </c>
      <c r="J557" s="15" t="s">
        <v>37</v>
      </c>
      <c r="K557" s="16" t="s">
        <v>57</v>
      </c>
      <c r="L557" s="15" t="s">
        <v>357</v>
      </c>
      <c r="M557" s="15"/>
      <c r="N557" s="15" t="s">
        <v>138</v>
      </c>
      <c r="O557" s="15"/>
      <c r="P557" s="16" t="s">
        <v>732</v>
      </c>
      <c r="Q557" s="17">
        <v>12599</v>
      </c>
      <c r="R557" s="18">
        <v>45.23</v>
      </c>
      <c r="S557" s="19">
        <v>7934.9884999999995</v>
      </c>
      <c r="T557" s="20" t="s">
        <v>75</v>
      </c>
      <c r="U557" s="21" t="s">
        <v>359</v>
      </c>
      <c r="V557" s="25" t="s">
        <v>96</v>
      </c>
      <c r="W557" s="22">
        <v>1</v>
      </c>
      <c r="X557" s="23"/>
    </row>
    <row r="558" spans="1:24" s="1" customFormat="1" ht="108" customHeight="1" x14ac:dyDescent="0.3">
      <c r="A558" s="11" t="s">
        <v>23</v>
      </c>
      <c r="B558" s="11" t="s">
        <v>289</v>
      </c>
      <c r="C558" s="12" t="s">
        <v>733</v>
      </c>
      <c r="D558" s="13"/>
      <c r="E558" s="43" t="str">
        <f>HYPERLINK("https://www.google.ru/search?q=18881-0052&amp;newwindow=1&amp;tbm=isch","Еще фото")</f>
        <v>Еще фото</v>
      </c>
      <c r="F558" s="14"/>
      <c r="G558" s="11" t="s">
        <v>237</v>
      </c>
      <c r="H558" s="11" t="s">
        <v>27</v>
      </c>
      <c r="I558" s="15" t="s">
        <v>237</v>
      </c>
      <c r="J558" s="15" t="s">
        <v>28</v>
      </c>
      <c r="K558" s="16" t="s">
        <v>29</v>
      </c>
      <c r="L558" s="15" t="s">
        <v>734</v>
      </c>
      <c r="M558" s="15" t="s">
        <v>72</v>
      </c>
      <c r="N558" s="15" t="s">
        <v>39</v>
      </c>
      <c r="O558" s="15" t="s">
        <v>308</v>
      </c>
      <c r="P558" s="16" t="s">
        <v>284</v>
      </c>
      <c r="Q558" s="17">
        <v>12599</v>
      </c>
      <c r="R558" s="18">
        <v>45.23</v>
      </c>
      <c r="S558" s="19">
        <v>7934.9884999999995</v>
      </c>
      <c r="T558" s="20" t="s">
        <v>41</v>
      </c>
      <c r="U558" s="21" t="s">
        <v>285</v>
      </c>
      <c r="V558" s="22">
        <v>38</v>
      </c>
      <c r="W558" s="22">
        <v>6</v>
      </c>
      <c r="X558" s="23"/>
    </row>
    <row r="559" spans="1:24" s="1" customFormat="1" ht="35" customHeight="1" x14ac:dyDescent="0.3">
      <c r="A559" s="11" t="s">
        <v>23</v>
      </c>
      <c r="B559" s="11" t="s">
        <v>735</v>
      </c>
      <c r="C559" s="12" t="s">
        <v>736</v>
      </c>
      <c r="D559" s="57"/>
      <c r="E559" s="43" t="str">
        <f>HYPERLINK("https://www.google.ru/search?q=A6199-0005&amp;newwindow=1&amp;tbm=isch","Еще фото")</f>
        <v>Еще фото</v>
      </c>
      <c r="F559" s="14"/>
      <c r="G559" s="11" t="s">
        <v>237</v>
      </c>
      <c r="H559" s="11" t="s">
        <v>27</v>
      </c>
      <c r="I559" s="15" t="s">
        <v>237</v>
      </c>
      <c r="J559" s="15" t="s">
        <v>37</v>
      </c>
      <c r="K559" s="16" t="s">
        <v>29</v>
      </c>
      <c r="L559" s="60" t="s">
        <v>261</v>
      </c>
      <c r="M559" s="15"/>
      <c r="N559" s="15" t="s">
        <v>130</v>
      </c>
      <c r="O559" s="15"/>
      <c r="P559" s="16" t="s">
        <v>737</v>
      </c>
      <c r="Q559" s="17">
        <v>12599</v>
      </c>
      <c r="R559" s="18">
        <v>45.23</v>
      </c>
      <c r="S559" s="19">
        <v>7934.9884999999995</v>
      </c>
      <c r="T559" s="20" t="s">
        <v>75</v>
      </c>
      <c r="U559" s="21" t="s">
        <v>311</v>
      </c>
      <c r="V559" s="25" t="s">
        <v>44</v>
      </c>
      <c r="W559" s="22">
        <v>1</v>
      </c>
      <c r="X559" s="23"/>
    </row>
    <row r="560" spans="1:24" s="1" customFormat="1" ht="35" customHeight="1" x14ac:dyDescent="0.3">
      <c r="A560" s="24" t="s">
        <v>23</v>
      </c>
      <c r="B560" s="24" t="s">
        <v>735</v>
      </c>
      <c r="C560" s="12" t="s">
        <v>736</v>
      </c>
      <c r="D560" s="58"/>
      <c r="E560" s="43" t="str">
        <f>HYPERLINK("https://www.google.ru/search?q=A6199-0005&amp;newwindow=1&amp;tbm=isch","Еще фото")</f>
        <v>Еще фото</v>
      </c>
      <c r="F560" s="14"/>
      <c r="G560" s="24" t="s">
        <v>237</v>
      </c>
      <c r="H560" s="24" t="s">
        <v>27</v>
      </c>
      <c r="I560" s="24" t="s">
        <v>237</v>
      </c>
      <c r="J560" s="15" t="s">
        <v>37</v>
      </c>
      <c r="K560" s="16" t="s">
        <v>29</v>
      </c>
      <c r="L560" s="61"/>
      <c r="M560" s="15"/>
      <c r="N560" s="15" t="s">
        <v>130</v>
      </c>
      <c r="O560" s="15"/>
      <c r="P560" s="16" t="s">
        <v>737</v>
      </c>
      <c r="Q560" s="17">
        <v>12599</v>
      </c>
      <c r="R560" s="18">
        <v>45.23</v>
      </c>
      <c r="S560" s="19">
        <v>7934.9884999999995</v>
      </c>
      <c r="T560" s="20" t="s">
        <v>75</v>
      </c>
      <c r="U560" s="21" t="s">
        <v>43</v>
      </c>
      <c r="V560" s="25" t="s">
        <v>44</v>
      </c>
      <c r="W560" s="22">
        <v>1</v>
      </c>
      <c r="X560" s="23"/>
    </row>
    <row r="561" spans="1:24" s="1" customFormat="1" ht="37.049999999999997" customHeight="1" x14ac:dyDescent="0.3">
      <c r="A561" s="24" t="s">
        <v>23</v>
      </c>
      <c r="B561" s="24" t="s">
        <v>735</v>
      </c>
      <c r="C561" s="12" t="s">
        <v>736</v>
      </c>
      <c r="D561" s="59"/>
      <c r="E561" s="43" t="str">
        <f>HYPERLINK("https://www.google.ru/search?q=A6199-0005&amp;newwindow=1&amp;tbm=isch","Еще фото")</f>
        <v>Еще фото</v>
      </c>
      <c r="F561" s="14"/>
      <c r="G561" s="24" t="s">
        <v>237</v>
      </c>
      <c r="H561" s="24" t="s">
        <v>27</v>
      </c>
      <c r="I561" s="24" t="s">
        <v>237</v>
      </c>
      <c r="J561" s="15" t="s">
        <v>37</v>
      </c>
      <c r="K561" s="16" t="s">
        <v>29</v>
      </c>
      <c r="L561" s="62"/>
      <c r="M561" s="15"/>
      <c r="N561" s="15" t="s">
        <v>130</v>
      </c>
      <c r="O561" s="15"/>
      <c r="P561" s="16" t="s">
        <v>737</v>
      </c>
      <c r="Q561" s="17">
        <v>12599</v>
      </c>
      <c r="R561" s="18">
        <v>45.23</v>
      </c>
      <c r="S561" s="19">
        <v>7934.9884999999995</v>
      </c>
      <c r="T561" s="20" t="s">
        <v>75</v>
      </c>
      <c r="U561" s="21" t="s">
        <v>78</v>
      </c>
      <c r="V561" s="22">
        <v>42</v>
      </c>
      <c r="W561" s="22">
        <v>2</v>
      </c>
      <c r="X561" s="23"/>
    </row>
    <row r="562" spans="1:24" s="1" customFormat="1" ht="108" customHeight="1" x14ac:dyDescent="0.3">
      <c r="A562" s="11" t="s">
        <v>23</v>
      </c>
      <c r="B562" s="11" t="s">
        <v>738</v>
      </c>
      <c r="C562" s="12" t="s">
        <v>739</v>
      </c>
      <c r="D562" s="13"/>
      <c r="E562" s="43" t="str">
        <f>HYPERLINK("https://www.google.ru/search?q=A6081-0011&amp;newwindow=1&amp;tbm=isch","Еще фото")</f>
        <v>Еще фото</v>
      </c>
      <c r="F562" s="14"/>
      <c r="G562" s="11" t="s">
        <v>237</v>
      </c>
      <c r="H562" s="11" t="s">
        <v>27</v>
      </c>
      <c r="I562" s="15" t="s">
        <v>237</v>
      </c>
      <c r="J562" s="15" t="s">
        <v>37</v>
      </c>
      <c r="K562" s="16" t="s">
        <v>29</v>
      </c>
      <c r="L562" s="15" t="s">
        <v>740</v>
      </c>
      <c r="M562" s="15"/>
      <c r="N562" s="15" t="s">
        <v>39</v>
      </c>
      <c r="O562" s="15"/>
      <c r="P562" s="16" t="s">
        <v>32</v>
      </c>
      <c r="Q562" s="17">
        <v>19899</v>
      </c>
      <c r="R562" s="18">
        <v>45.22</v>
      </c>
      <c r="S562" s="19">
        <v>12534.988499999999</v>
      </c>
      <c r="T562" s="20" t="s">
        <v>75</v>
      </c>
      <c r="U562" s="21" t="s">
        <v>188</v>
      </c>
      <c r="V562" s="25" t="s">
        <v>96</v>
      </c>
      <c r="W562" s="22">
        <v>1</v>
      </c>
      <c r="X562" s="23"/>
    </row>
    <row r="563" spans="1:24" s="1" customFormat="1" ht="52.05" customHeight="1" x14ac:dyDescent="0.3">
      <c r="A563" s="11" t="s">
        <v>23</v>
      </c>
      <c r="B563" s="11" t="s">
        <v>741</v>
      </c>
      <c r="C563" s="12" t="s">
        <v>742</v>
      </c>
      <c r="D563" s="63"/>
      <c r="E563" s="43" t="str">
        <f>HYPERLINK("https://www.google.ru/search?q=A7503-0007&amp;newwindow=1&amp;tbm=isch","Еще фото")</f>
        <v>Еще фото</v>
      </c>
      <c r="F563" s="14"/>
      <c r="G563" s="11" t="s">
        <v>237</v>
      </c>
      <c r="H563" s="11" t="s">
        <v>27</v>
      </c>
      <c r="I563" s="15" t="s">
        <v>237</v>
      </c>
      <c r="J563" s="15" t="s">
        <v>37</v>
      </c>
      <c r="K563" s="16" t="s">
        <v>29</v>
      </c>
      <c r="L563" s="60" t="s">
        <v>743</v>
      </c>
      <c r="M563" s="15"/>
      <c r="N563" s="15" t="s">
        <v>39</v>
      </c>
      <c r="O563" s="15"/>
      <c r="P563" s="16" t="s">
        <v>254</v>
      </c>
      <c r="Q563" s="17">
        <v>19899</v>
      </c>
      <c r="R563" s="18">
        <v>45.22</v>
      </c>
      <c r="S563" s="19">
        <v>12534.988499999999</v>
      </c>
      <c r="T563" s="20" t="s">
        <v>75</v>
      </c>
      <c r="U563" s="21" t="s">
        <v>47</v>
      </c>
      <c r="V563" s="25" t="s">
        <v>48</v>
      </c>
      <c r="W563" s="22">
        <v>1</v>
      </c>
      <c r="X563" s="23"/>
    </row>
    <row r="564" spans="1:24" s="1" customFormat="1" ht="61.05" customHeight="1" x14ac:dyDescent="0.3">
      <c r="A564" s="24" t="s">
        <v>23</v>
      </c>
      <c r="B564" s="24" t="s">
        <v>741</v>
      </c>
      <c r="C564" s="12" t="s">
        <v>742</v>
      </c>
      <c r="D564" s="64"/>
      <c r="E564" s="43" t="str">
        <f>HYPERLINK("https://www.google.ru/search?q=A7503-0007&amp;newwindow=1&amp;tbm=isch","Еще фото")</f>
        <v>Еще фото</v>
      </c>
      <c r="F564" s="14"/>
      <c r="G564" s="24" t="s">
        <v>237</v>
      </c>
      <c r="H564" s="24" t="s">
        <v>27</v>
      </c>
      <c r="I564" s="24" t="s">
        <v>237</v>
      </c>
      <c r="J564" s="15" t="s">
        <v>37</v>
      </c>
      <c r="K564" s="16" t="s">
        <v>29</v>
      </c>
      <c r="L564" s="62"/>
      <c r="M564" s="15"/>
      <c r="N564" s="15" t="s">
        <v>39</v>
      </c>
      <c r="O564" s="15"/>
      <c r="P564" s="16" t="s">
        <v>254</v>
      </c>
      <c r="Q564" s="17">
        <v>19899</v>
      </c>
      <c r="R564" s="18">
        <v>45.22</v>
      </c>
      <c r="S564" s="19">
        <v>12534.988499999999</v>
      </c>
      <c r="T564" s="20" t="s">
        <v>75</v>
      </c>
      <c r="U564" s="21" t="s">
        <v>173</v>
      </c>
      <c r="V564" s="22">
        <v>46</v>
      </c>
      <c r="W564" s="22">
        <v>1</v>
      </c>
      <c r="X564" s="23"/>
    </row>
    <row r="565" spans="1:24" s="1" customFormat="1" ht="52.05" customHeight="1" x14ac:dyDescent="0.3">
      <c r="A565" s="11" t="s">
        <v>23</v>
      </c>
      <c r="B565" s="11" t="s">
        <v>393</v>
      </c>
      <c r="C565" s="12" t="s">
        <v>744</v>
      </c>
      <c r="D565" s="63"/>
      <c r="E565" s="43" t="str">
        <f>HYPERLINK("https://www.google.ru/search?q=18881-0534&amp;newwindow=1&amp;tbm=isch","Еще фото")</f>
        <v>Еще фото</v>
      </c>
      <c r="F565" s="14"/>
      <c r="G565" s="11" t="s">
        <v>237</v>
      </c>
      <c r="H565" s="11" t="s">
        <v>27</v>
      </c>
      <c r="I565" s="15" t="s">
        <v>237</v>
      </c>
      <c r="J565" s="15" t="s">
        <v>28</v>
      </c>
      <c r="K565" s="16" t="s">
        <v>29</v>
      </c>
      <c r="L565" s="60" t="s">
        <v>745</v>
      </c>
      <c r="M565" s="15" t="s">
        <v>72</v>
      </c>
      <c r="N565" s="15" t="s">
        <v>130</v>
      </c>
      <c r="O565" s="15"/>
      <c r="P565" s="16" t="s">
        <v>746</v>
      </c>
      <c r="Q565" s="17">
        <v>15699</v>
      </c>
      <c r="R565" s="18">
        <v>45.22</v>
      </c>
      <c r="S565" s="19">
        <v>9889.9884999999995</v>
      </c>
      <c r="T565" s="20" t="s">
        <v>75</v>
      </c>
      <c r="U565" s="21" t="s">
        <v>255</v>
      </c>
      <c r="V565" s="22">
        <v>40</v>
      </c>
      <c r="W565" s="22">
        <v>4</v>
      </c>
      <c r="X565" s="23"/>
    </row>
    <row r="566" spans="1:24" s="1" customFormat="1" ht="61.05" customHeight="1" x14ac:dyDescent="0.3">
      <c r="A566" s="24" t="s">
        <v>23</v>
      </c>
      <c r="B566" s="24" t="s">
        <v>393</v>
      </c>
      <c r="C566" s="12" t="s">
        <v>744</v>
      </c>
      <c r="D566" s="64"/>
      <c r="E566" s="43" t="str">
        <f>HYPERLINK("https://www.google.ru/search?q=18881-0534&amp;newwindow=1&amp;tbm=isch","Еще фото")</f>
        <v>Еще фото</v>
      </c>
      <c r="F566" s="14"/>
      <c r="G566" s="24" t="s">
        <v>237</v>
      </c>
      <c r="H566" s="24" t="s">
        <v>27</v>
      </c>
      <c r="I566" s="24" t="s">
        <v>237</v>
      </c>
      <c r="J566" s="15" t="s">
        <v>28</v>
      </c>
      <c r="K566" s="16" t="s">
        <v>29</v>
      </c>
      <c r="L566" s="62"/>
      <c r="M566" s="15" t="s">
        <v>72</v>
      </c>
      <c r="N566" s="15" t="s">
        <v>130</v>
      </c>
      <c r="O566" s="15"/>
      <c r="P566" s="16" t="s">
        <v>746</v>
      </c>
      <c r="Q566" s="17">
        <v>15699</v>
      </c>
      <c r="R566" s="18">
        <v>45.22</v>
      </c>
      <c r="S566" s="19">
        <v>9889.9884999999995</v>
      </c>
      <c r="T566" s="20" t="s">
        <v>75</v>
      </c>
      <c r="U566" s="21" t="s">
        <v>45</v>
      </c>
      <c r="V566" s="25" t="s">
        <v>44</v>
      </c>
      <c r="W566" s="22">
        <v>1</v>
      </c>
      <c r="X566" s="23"/>
    </row>
    <row r="567" spans="1:24" s="1" customFormat="1" ht="108" customHeight="1" x14ac:dyDescent="0.3">
      <c r="A567" s="11" t="s">
        <v>23</v>
      </c>
      <c r="B567" s="11" t="s">
        <v>747</v>
      </c>
      <c r="C567" s="12" t="s">
        <v>748</v>
      </c>
      <c r="D567" s="13"/>
      <c r="E567" s="43" t="str">
        <f>HYPERLINK("https://www.google.ru/search?q=18883-0076&amp;newwindow=1&amp;tbm=isch","Еще фото")</f>
        <v>Еще фото</v>
      </c>
      <c r="F567" s="14"/>
      <c r="G567" s="11" t="s">
        <v>237</v>
      </c>
      <c r="H567" s="11" t="s">
        <v>27</v>
      </c>
      <c r="I567" s="15" t="s">
        <v>237</v>
      </c>
      <c r="J567" s="15" t="s">
        <v>28</v>
      </c>
      <c r="K567" s="16" t="s">
        <v>29</v>
      </c>
      <c r="L567" s="15" t="s">
        <v>749</v>
      </c>
      <c r="M567" s="15" t="s">
        <v>72</v>
      </c>
      <c r="N567" s="15" t="s">
        <v>138</v>
      </c>
      <c r="O567" s="15" t="s">
        <v>121</v>
      </c>
      <c r="P567" s="16" t="s">
        <v>750</v>
      </c>
      <c r="Q567" s="17">
        <v>15699</v>
      </c>
      <c r="R567" s="18">
        <v>45.22</v>
      </c>
      <c r="S567" s="19">
        <v>9889.9884999999995</v>
      </c>
      <c r="T567" s="20" t="s">
        <v>75</v>
      </c>
      <c r="U567" s="21" t="s">
        <v>47</v>
      </c>
      <c r="V567" s="25" t="s">
        <v>48</v>
      </c>
      <c r="W567" s="22">
        <v>1</v>
      </c>
      <c r="X567" s="23"/>
    </row>
    <row r="568" spans="1:24" s="1" customFormat="1" ht="108" customHeight="1" x14ac:dyDescent="0.3">
      <c r="A568" s="11" t="s">
        <v>23</v>
      </c>
      <c r="B568" s="11" t="s">
        <v>751</v>
      </c>
      <c r="C568" s="12" t="s">
        <v>752</v>
      </c>
      <c r="D568" s="13"/>
      <c r="E568" s="43" t="str">
        <f>HYPERLINK("https://www.google.ru/search?q=18881-0475&amp;newwindow=1&amp;tbm=isch","Еще фото")</f>
        <v>Еще фото</v>
      </c>
      <c r="F568" s="14"/>
      <c r="G568" s="11" t="s">
        <v>237</v>
      </c>
      <c r="H568" s="11" t="s">
        <v>27</v>
      </c>
      <c r="I568" s="15" t="s">
        <v>237</v>
      </c>
      <c r="J568" s="15" t="s">
        <v>28</v>
      </c>
      <c r="K568" s="16" t="s">
        <v>29</v>
      </c>
      <c r="L568" s="15" t="s">
        <v>753</v>
      </c>
      <c r="M568" s="15" t="s">
        <v>72</v>
      </c>
      <c r="N568" s="15" t="s">
        <v>130</v>
      </c>
      <c r="O568" s="15"/>
      <c r="P568" s="16" t="s">
        <v>754</v>
      </c>
      <c r="Q568" s="17">
        <v>11500</v>
      </c>
      <c r="R568" s="18">
        <v>45.22</v>
      </c>
      <c r="S568" s="19">
        <v>7244.9884999999995</v>
      </c>
      <c r="T568" s="20" t="s">
        <v>75</v>
      </c>
      <c r="U568" s="21" t="s">
        <v>255</v>
      </c>
      <c r="V568" s="22">
        <v>40</v>
      </c>
      <c r="W568" s="22">
        <v>2</v>
      </c>
      <c r="X568" s="23"/>
    </row>
    <row r="569" spans="1:24" s="1" customFormat="1" ht="108" customHeight="1" x14ac:dyDescent="0.3">
      <c r="A569" s="11" t="s">
        <v>23</v>
      </c>
      <c r="B569" s="11" t="s">
        <v>534</v>
      </c>
      <c r="C569" s="12" t="s">
        <v>755</v>
      </c>
      <c r="D569" s="13"/>
      <c r="E569" s="43" t="str">
        <f>HYPERLINK("https://www.google.ru/search?q=83368-0007&amp;newwindow=1&amp;tbm=isch","Еще фото")</f>
        <v>Еще фото</v>
      </c>
      <c r="F569" s="14"/>
      <c r="G569" s="11" t="s">
        <v>237</v>
      </c>
      <c r="H569" s="11" t="s">
        <v>27</v>
      </c>
      <c r="I569" s="15" t="s">
        <v>237</v>
      </c>
      <c r="J569" s="15" t="s">
        <v>28</v>
      </c>
      <c r="K569" s="16" t="s">
        <v>29</v>
      </c>
      <c r="L569" s="15" t="s">
        <v>756</v>
      </c>
      <c r="M569" s="15"/>
      <c r="N569" s="15" t="s">
        <v>39</v>
      </c>
      <c r="O569" s="15"/>
      <c r="P569" s="16" t="s">
        <v>757</v>
      </c>
      <c r="Q569" s="17">
        <v>11500</v>
      </c>
      <c r="R569" s="18">
        <v>45.22</v>
      </c>
      <c r="S569" s="19">
        <v>7244.9884999999995</v>
      </c>
      <c r="T569" s="20" t="s">
        <v>75</v>
      </c>
      <c r="U569" s="21" t="s">
        <v>539</v>
      </c>
      <c r="V569" s="25" t="s">
        <v>538</v>
      </c>
      <c r="W569" s="22">
        <v>1</v>
      </c>
      <c r="X569" s="23"/>
    </row>
    <row r="570" spans="1:24" s="1" customFormat="1" ht="108" customHeight="1" x14ac:dyDescent="0.3">
      <c r="A570" s="11" t="s">
        <v>23</v>
      </c>
      <c r="B570" s="11" t="s">
        <v>534</v>
      </c>
      <c r="C570" s="12" t="s">
        <v>758</v>
      </c>
      <c r="D570" s="13"/>
      <c r="E570" s="43" t="str">
        <f>HYPERLINK("https://www.google.ru/search?q=83737-0001&amp;newwindow=1&amp;tbm=isch","Еще фото")</f>
        <v>Еще фото</v>
      </c>
      <c r="F570" s="14"/>
      <c r="G570" s="11" t="s">
        <v>237</v>
      </c>
      <c r="H570" s="11" t="s">
        <v>27</v>
      </c>
      <c r="I570" s="15" t="s">
        <v>237</v>
      </c>
      <c r="J570" s="15" t="s">
        <v>28</v>
      </c>
      <c r="K570" s="16" t="s">
        <v>29</v>
      </c>
      <c r="L570" s="15" t="s">
        <v>759</v>
      </c>
      <c r="M570" s="15"/>
      <c r="N570" s="15" t="s">
        <v>39</v>
      </c>
      <c r="O570" s="15"/>
      <c r="P570" s="16" t="s">
        <v>284</v>
      </c>
      <c r="Q570" s="17">
        <v>11500</v>
      </c>
      <c r="R570" s="18">
        <v>45.22</v>
      </c>
      <c r="S570" s="19">
        <v>7244.9884999999995</v>
      </c>
      <c r="T570" s="20" t="s">
        <v>75</v>
      </c>
      <c r="U570" s="21" t="s">
        <v>760</v>
      </c>
      <c r="V570" s="25" t="s">
        <v>761</v>
      </c>
      <c r="W570" s="22">
        <v>1</v>
      </c>
      <c r="X570" s="23"/>
    </row>
    <row r="571" spans="1:24" s="1" customFormat="1" ht="108" customHeight="1" x14ac:dyDescent="0.3">
      <c r="A571" s="11" t="s">
        <v>23</v>
      </c>
      <c r="B571" s="11" t="s">
        <v>534</v>
      </c>
      <c r="C571" s="12" t="s">
        <v>762</v>
      </c>
      <c r="D571" s="13"/>
      <c r="E571" s="43" t="str">
        <f>HYPERLINK("https://www.google.ru/search?q=83737-0002&amp;newwindow=1&amp;tbm=isch","Еще фото")</f>
        <v>Еще фото</v>
      </c>
      <c r="F571" s="14"/>
      <c r="G571" s="11" t="s">
        <v>237</v>
      </c>
      <c r="H571" s="11" t="s">
        <v>27</v>
      </c>
      <c r="I571" s="15" t="s">
        <v>237</v>
      </c>
      <c r="J571" s="15" t="s">
        <v>28</v>
      </c>
      <c r="K571" s="16" t="s">
        <v>29</v>
      </c>
      <c r="L571" s="15" t="s">
        <v>536</v>
      </c>
      <c r="M571" s="15"/>
      <c r="N571" s="15" t="s">
        <v>130</v>
      </c>
      <c r="O571" s="15"/>
      <c r="P571" s="16" t="s">
        <v>318</v>
      </c>
      <c r="Q571" s="17">
        <v>11500</v>
      </c>
      <c r="R571" s="18">
        <v>45.22</v>
      </c>
      <c r="S571" s="19">
        <v>7244.9884999999995</v>
      </c>
      <c r="T571" s="20" t="s">
        <v>75</v>
      </c>
      <c r="U571" s="21" t="s">
        <v>763</v>
      </c>
      <c r="V571" s="25" t="s">
        <v>538</v>
      </c>
      <c r="W571" s="22">
        <v>1</v>
      </c>
      <c r="X571" s="23"/>
    </row>
    <row r="572" spans="1:24" s="1" customFormat="1" ht="108" customHeight="1" x14ac:dyDescent="0.3">
      <c r="A572" s="11" t="s">
        <v>23</v>
      </c>
      <c r="B572" s="11" t="s">
        <v>764</v>
      </c>
      <c r="C572" s="12" t="s">
        <v>765</v>
      </c>
      <c r="D572" s="13"/>
      <c r="E572" s="43" t="str">
        <f>HYPERLINK("https://www.google.ru/search?q=A5758-0008&amp;newwindow=1&amp;tbm=isch","Еще фото")</f>
        <v>Еще фото</v>
      </c>
      <c r="F572" s="14"/>
      <c r="G572" s="11" t="s">
        <v>237</v>
      </c>
      <c r="H572" s="11" t="s">
        <v>27</v>
      </c>
      <c r="I572" s="15" t="s">
        <v>237</v>
      </c>
      <c r="J572" s="15" t="s">
        <v>37</v>
      </c>
      <c r="K572" s="16" t="s">
        <v>29</v>
      </c>
      <c r="L572" s="15" t="s">
        <v>766</v>
      </c>
      <c r="M572" s="15"/>
      <c r="N572" s="15" t="s">
        <v>130</v>
      </c>
      <c r="O572" s="15"/>
      <c r="P572" s="16" t="s">
        <v>322</v>
      </c>
      <c r="Q572" s="17">
        <v>18799</v>
      </c>
      <c r="R572" s="18">
        <v>45.21</v>
      </c>
      <c r="S572" s="19">
        <v>11844.988499999999</v>
      </c>
      <c r="T572" s="20" t="s">
        <v>75</v>
      </c>
      <c r="U572" s="21" t="s">
        <v>43</v>
      </c>
      <c r="V572" s="25" t="s">
        <v>44</v>
      </c>
      <c r="W572" s="22">
        <v>1</v>
      </c>
      <c r="X572" s="23"/>
    </row>
    <row r="573" spans="1:24" s="1" customFormat="1" ht="108" customHeight="1" x14ac:dyDescent="0.3">
      <c r="A573" s="11" t="s">
        <v>23</v>
      </c>
      <c r="B573" s="11" t="s">
        <v>767</v>
      </c>
      <c r="C573" s="12" t="s">
        <v>768</v>
      </c>
      <c r="D573" s="13"/>
      <c r="E573" s="43" t="str">
        <f>HYPERLINK("https://www.google.ru/search?q=19887-0242&amp;newwindow=1&amp;tbm=isch","Еще фото")</f>
        <v>Еще фото</v>
      </c>
      <c r="F573" s="14"/>
      <c r="G573" s="11" t="s">
        <v>237</v>
      </c>
      <c r="H573" s="11" t="s">
        <v>27</v>
      </c>
      <c r="I573" s="15" t="s">
        <v>237</v>
      </c>
      <c r="J573" s="15" t="s">
        <v>37</v>
      </c>
      <c r="K573" s="16" t="s">
        <v>29</v>
      </c>
      <c r="L573" s="15" t="s">
        <v>769</v>
      </c>
      <c r="M573" s="15"/>
      <c r="N573" s="15" t="s">
        <v>39</v>
      </c>
      <c r="O573" s="15"/>
      <c r="P573" s="16" t="s">
        <v>770</v>
      </c>
      <c r="Q573" s="17">
        <v>14599</v>
      </c>
      <c r="R573" s="18">
        <v>45.2</v>
      </c>
      <c r="S573" s="19">
        <v>9199.9884999999995</v>
      </c>
      <c r="T573" s="20" t="s">
        <v>75</v>
      </c>
      <c r="U573" s="21" t="s">
        <v>47</v>
      </c>
      <c r="V573" s="25" t="s">
        <v>48</v>
      </c>
      <c r="W573" s="22">
        <v>1</v>
      </c>
      <c r="X573" s="23"/>
    </row>
    <row r="574" spans="1:24" s="1" customFormat="1" ht="52.05" customHeight="1" x14ac:dyDescent="0.3">
      <c r="A574" s="11" t="s">
        <v>23</v>
      </c>
      <c r="B574" s="11" t="s">
        <v>714</v>
      </c>
      <c r="C574" s="12" t="s">
        <v>771</v>
      </c>
      <c r="D574" s="63"/>
      <c r="E574" s="43" t="str">
        <f>HYPERLINK("https://www.google.ru/search?q=A8701-0008&amp;newwindow=1&amp;tbm=isch","Еще фото")</f>
        <v>Еще фото</v>
      </c>
      <c r="F574" s="14"/>
      <c r="G574" s="11" t="s">
        <v>237</v>
      </c>
      <c r="H574" s="11" t="s">
        <v>27</v>
      </c>
      <c r="I574" s="15" t="s">
        <v>237</v>
      </c>
      <c r="J574" s="15" t="s">
        <v>37</v>
      </c>
      <c r="K574" s="16" t="s">
        <v>29</v>
      </c>
      <c r="L574" s="60" t="s">
        <v>716</v>
      </c>
      <c r="M574" s="15"/>
      <c r="N574" s="15" t="s">
        <v>130</v>
      </c>
      <c r="O574" s="15"/>
      <c r="P574" s="16" t="s">
        <v>772</v>
      </c>
      <c r="Q574" s="17">
        <v>14599</v>
      </c>
      <c r="R574" s="18">
        <v>45.2</v>
      </c>
      <c r="S574" s="19">
        <v>9199.9884999999995</v>
      </c>
      <c r="T574" s="20" t="s">
        <v>75</v>
      </c>
      <c r="U574" s="21" t="s">
        <v>773</v>
      </c>
      <c r="V574" s="22">
        <v>44</v>
      </c>
      <c r="W574" s="22">
        <v>1</v>
      </c>
      <c r="X574" s="23"/>
    </row>
    <row r="575" spans="1:24" s="1" customFormat="1" ht="61.05" customHeight="1" x14ac:dyDescent="0.3">
      <c r="A575" s="24" t="s">
        <v>23</v>
      </c>
      <c r="B575" s="24" t="s">
        <v>714</v>
      </c>
      <c r="C575" s="12" t="s">
        <v>771</v>
      </c>
      <c r="D575" s="64"/>
      <c r="E575" s="43" t="str">
        <f>HYPERLINK("https://www.google.ru/search?q=A8701-0008&amp;newwindow=1&amp;tbm=isch","Еще фото")</f>
        <v>Еще фото</v>
      </c>
      <c r="F575" s="14"/>
      <c r="G575" s="24" t="s">
        <v>237</v>
      </c>
      <c r="H575" s="24" t="s">
        <v>27</v>
      </c>
      <c r="I575" s="24" t="s">
        <v>237</v>
      </c>
      <c r="J575" s="15" t="s">
        <v>37</v>
      </c>
      <c r="K575" s="16" t="s">
        <v>29</v>
      </c>
      <c r="L575" s="62"/>
      <c r="M575" s="15"/>
      <c r="N575" s="15" t="s">
        <v>130</v>
      </c>
      <c r="O575" s="15"/>
      <c r="P575" s="16" t="s">
        <v>772</v>
      </c>
      <c r="Q575" s="17">
        <v>14599</v>
      </c>
      <c r="R575" s="18">
        <v>45.2</v>
      </c>
      <c r="S575" s="19">
        <v>9199.9884999999995</v>
      </c>
      <c r="T575" s="20" t="s">
        <v>75</v>
      </c>
      <c r="U575" s="21" t="s">
        <v>774</v>
      </c>
      <c r="V575" s="22">
        <v>46</v>
      </c>
      <c r="W575" s="22">
        <v>1</v>
      </c>
      <c r="X575" s="23"/>
    </row>
    <row r="576" spans="1:24" s="1" customFormat="1" ht="108" customHeight="1" x14ac:dyDescent="0.3">
      <c r="A576" s="11" t="s">
        <v>23</v>
      </c>
      <c r="B576" s="11" t="s">
        <v>775</v>
      </c>
      <c r="C576" s="12" t="s">
        <v>776</v>
      </c>
      <c r="D576" s="13"/>
      <c r="E576" s="43" t="str">
        <f>HYPERLINK("https://www.google.ru/search?q=18883-0349&amp;newwindow=1&amp;tbm=isch","Еще фото")</f>
        <v>Еще фото</v>
      </c>
      <c r="F576" s="14"/>
      <c r="G576" s="11" t="s">
        <v>237</v>
      </c>
      <c r="H576" s="11" t="s">
        <v>27</v>
      </c>
      <c r="I576" s="15" t="s">
        <v>237</v>
      </c>
      <c r="J576" s="15" t="s">
        <v>37</v>
      </c>
      <c r="K576" s="16" t="s">
        <v>29</v>
      </c>
      <c r="L576" s="15" t="s">
        <v>777</v>
      </c>
      <c r="M576" s="15"/>
      <c r="N576" s="15" t="s">
        <v>130</v>
      </c>
      <c r="O576" s="15"/>
      <c r="P576" s="16" t="s">
        <v>525</v>
      </c>
      <c r="Q576" s="17">
        <v>10399</v>
      </c>
      <c r="R576" s="18">
        <v>45.19</v>
      </c>
      <c r="S576" s="19">
        <v>6554.9884999999995</v>
      </c>
      <c r="T576" s="20" t="s">
        <v>75</v>
      </c>
      <c r="U576" s="21" t="s">
        <v>42</v>
      </c>
      <c r="V576" s="22">
        <v>40</v>
      </c>
      <c r="W576" s="22">
        <v>2</v>
      </c>
      <c r="X576" s="23"/>
    </row>
    <row r="577" spans="1:24" s="1" customFormat="1" ht="35" customHeight="1" x14ac:dyDescent="0.3">
      <c r="A577" s="11" t="s">
        <v>23</v>
      </c>
      <c r="B577" s="11" t="s">
        <v>775</v>
      </c>
      <c r="C577" s="12" t="s">
        <v>778</v>
      </c>
      <c r="D577" s="57"/>
      <c r="E577" s="43" t="str">
        <f>HYPERLINK("https://www.google.ru/search?q=18883-0397&amp;newwindow=1&amp;tbm=isch","Еще фото")</f>
        <v>Еще фото</v>
      </c>
      <c r="F577" s="14"/>
      <c r="G577" s="11" t="s">
        <v>237</v>
      </c>
      <c r="H577" s="11" t="s">
        <v>27</v>
      </c>
      <c r="I577" s="15" t="s">
        <v>237</v>
      </c>
      <c r="J577" s="15" t="s">
        <v>37</v>
      </c>
      <c r="K577" s="16" t="s">
        <v>29</v>
      </c>
      <c r="L577" s="60" t="s">
        <v>777</v>
      </c>
      <c r="M577" s="15"/>
      <c r="N577" s="15" t="s">
        <v>130</v>
      </c>
      <c r="O577" s="15"/>
      <c r="P577" s="16" t="s">
        <v>209</v>
      </c>
      <c r="Q577" s="17">
        <v>10399</v>
      </c>
      <c r="R577" s="18">
        <v>45.19</v>
      </c>
      <c r="S577" s="19">
        <v>6554.9884999999995</v>
      </c>
      <c r="T577" s="20" t="s">
        <v>75</v>
      </c>
      <c r="U577" s="21" t="s">
        <v>42</v>
      </c>
      <c r="V577" s="22">
        <v>40</v>
      </c>
      <c r="W577" s="22">
        <v>1</v>
      </c>
      <c r="X577" s="23"/>
    </row>
    <row r="578" spans="1:24" s="1" customFormat="1" ht="35" customHeight="1" x14ac:dyDescent="0.3">
      <c r="A578" s="24" t="s">
        <v>23</v>
      </c>
      <c r="B578" s="24" t="s">
        <v>775</v>
      </c>
      <c r="C578" s="12" t="s">
        <v>778</v>
      </c>
      <c r="D578" s="58"/>
      <c r="E578" s="43" t="str">
        <f>HYPERLINK("https://www.google.ru/search?q=18883-0397&amp;newwindow=1&amp;tbm=isch","Еще фото")</f>
        <v>Еще фото</v>
      </c>
      <c r="F578" s="14"/>
      <c r="G578" s="24" t="s">
        <v>237</v>
      </c>
      <c r="H578" s="24" t="s">
        <v>27</v>
      </c>
      <c r="I578" s="24" t="s">
        <v>237</v>
      </c>
      <c r="J578" s="15" t="s">
        <v>37</v>
      </c>
      <c r="K578" s="16" t="s">
        <v>29</v>
      </c>
      <c r="L578" s="61"/>
      <c r="M578" s="15"/>
      <c r="N578" s="15" t="s">
        <v>130</v>
      </c>
      <c r="O578" s="15"/>
      <c r="P578" s="16" t="s">
        <v>209</v>
      </c>
      <c r="Q578" s="17">
        <v>10399</v>
      </c>
      <c r="R578" s="18">
        <v>45.19</v>
      </c>
      <c r="S578" s="19">
        <v>6554.9884999999995</v>
      </c>
      <c r="T578" s="20" t="s">
        <v>75</v>
      </c>
      <c r="U578" s="21" t="s">
        <v>43</v>
      </c>
      <c r="V578" s="25" t="s">
        <v>44</v>
      </c>
      <c r="W578" s="22">
        <v>1</v>
      </c>
      <c r="X578" s="23"/>
    </row>
    <row r="579" spans="1:24" s="1" customFormat="1" ht="37.049999999999997" customHeight="1" x14ac:dyDescent="0.3">
      <c r="A579" s="24" t="s">
        <v>23</v>
      </c>
      <c r="B579" s="24" t="s">
        <v>775</v>
      </c>
      <c r="C579" s="12" t="s">
        <v>778</v>
      </c>
      <c r="D579" s="59"/>
      <c r="E579" s="43" t="str">
        <f>HYPERLINK("https://www.google.ru/search?q=18883-0397&amp;newwindow=1&amp;tbm=isch","Еще фото")</f>
        <v>Еще фото</v>
      </c>
      <c r="F579" s="14"/>
      <c r="G579" s="24" t="s">
        <v>237</v>
      </c>
      <c r="H579" s="24" t="s">
        <v>27</v>
      </c>
      <c r="I579" s="24" t="s">
        <v>237</v>
      </c>
      <c r="J579" s="15" t="s">
        <v>37</v>
      </c>
      <c r="K579" s="16" t="s">
        <v>29</v>
      </c>
      <c r="L579" s="62"/>
      <c r="M579" s="15"/>
      <c r="N579" s="15" t="s">
        <v>130</v>
      </c>
      <c r="O579" s="15"/>
      <c r="P579" s="16" t="s">
        <v>209</v>
      </c>
      <c r="Q579" s="17">
        <v>10399</v>
      </c>
      <c r="R579" s="18">
        <v>45.19</v>
      </c>
      <c r="S579" s="19">
        <v>6554.9884999999995</v>
      </c>
      <c r="T579" s="20" t="s">
        <v>75</v>
      </c>
      <c r="U579" s="21" t="s">
        <v>158</v>
      </c>
      <c r="V579" s="22">
        <v>42</v>
      </c>
      <c r="W579" s="22">
        <v>1</v>
      </c>
      <c r="X579" s="23"/>
    </row>
    <row r="580" spans="1:24" s="1" customFormat="1" ht="108" customHeight="1" x14ac:dyDescent="0.3">
      <c r="A580" s="11" t="s">
        <v>23</v>
      </c>
      <c r="B580" s="11" t="s">
        <v>779</v>
      </c>
      <c r="C580" s="12" t="s">
        <v>780</v>
      </c>
      <c r="D580" s="13"/>
      <c r="E580" s="43" t="str">
        <f>HYPERLINK("https://www.google.ru/search?q=26986-0054&amp;newwindow=1&amp;tbm=isch","Еще фото")</f>
        <v>Еще фото</v>
      </c>
      <c r="F580" s="14"/>
      <c r="G580" s="11" t="s">
        <v>237</v>
      </c>
      <c r="H580" s="11" t="s">
        <v>27</v>
      </c>
      <c r="I580" s="15" t="s">
        <v>237</v>
      </c>
      <c r="J580" s="15" t="s">
        <v>37</v>
      </c>
      <c r="K580" s="16" t="s">
        <v>29</v>
      </c>
      <c r="L580" s="15" t="s">
        <v>781</v>
      </c>
      <c r="M580" s="15"/>
      <c r="N580" s="15" t="s">
        <v>138</v>
      </c>
      <c r="O580" s="15"/>
      <c r="P580" s="16" t="s">
        <v>782</v>
      </c>
      <c r="Q580" s="17">
        <v>15499</v>
      </c>
      <c r="R580" s="18">
        <v>45.16</v>
      </c>
      <c r="S580" s="19">
        <v>9774.9884999999995</v>
      </c>
      <c r="T580" s="20" t="s">
        <v>41</v>
      </c>
      <c r="U580" s="21" t="s">
        <v>243</v>
      </c>
      <c r="V580" s="22">
        <v>40</v>
      </c>
      <c r="W580" s="22">
        <v>1</v>
      </c>
      <c r="X580" s="23"/>
    </row>
    <row r="581" spans="1:24" s="1" customFormat="1" ht="108" customHeight="1" x14ac:dyDescent="0.3">
      <c r="A581" s="11" t="s">
        <v>23</v>
      </c>
      <c r="B581" s="11" t="s">
        <v>783</v>
      </c>
      <c r="C581" s="12" t="s">
        <v>784</v>
      </c>
      <c r="D581" s="13"/>
      <c r="E581" s="43" t="str">
        <f>HYPERLINK("https://www.google.ru/search?q=22791-0184&amp;newwindow=1&amp;tbm=isch","Еще фото")</f>
        <v>Еще фото</v>
      </c>
      <c r="F581" s="14"/>
      <c r="G581" s="11" t="s">
        <v>237</v>
      </c>
      <c r="H581" s="11" t="s">
        <v>27</v>
      </c>
      <c r="I581" s="15" t="s">
        <v>237</v>
      </c>
      <c r="J581" s="15" t="s">
        <v>28</v>
      </c>
      <c r="K581" s="16" t="s">
        <v>29</v>
      </c>
      <c r="L581" s="15" t="s">
        <v>785</v>
      </c>
      <c r="M581" s="15" t="s">
        <v>72</v>
      </c>
      <c r="N581" s="15" t="s">
        <v>130</v>
      </c>
      <c r="O581" s="15"/>
      <c r="P581" s="16" t="s">
        <v>786</v>
      </c>
      <c r="Q581" s="17">
        <v>9299</v>
      </c>
      <c r="R581" s="18">
        <v>45.16</v>
      </c>
      <c r="S581" s="19">
        <v>5864.9884999999995</v>
      </c>
      <c r="T581" s="20" t="s">
        <v>75</v>
      </c>
      <c r="U581" s="21" t="s">
        <v>45</v>
      </c>
      <c r="V581" s="25" t="s">
        <v>44</v>
      </c>
      <c r="W581" s="22">
        <v>4</v>
      </c>
      <c r="X581" s="23"/>
    </row>
    <row r="582" spans="1:24" s="1" customFormat="1" ht="108" customHeight="1" x14ac:dyDescent="0.3">
      <c r="A582" s="11" t="s">
        <v>23</v>
      </c>
      <c r="B582" s="11" t="s">
        <v>787</v>
      </c>
      <c r="C582" s="12" t="s">
        <v>788</v>
      </c>
      <c r="D582" s="13"/>
      <c r="E582" s="43" t="str">
        <f>HYPERLINK("https://www.google.ru/search?q=A0899-0005&amp;newwindow=1&amp;tbm=isch","Еще фото")</f>
        <v>Еще фото</v>
      </c>
      <c r="F582" s="14"/>
      <c r="G582" s="11" t="s">
        <v>237</v>
      </c>
      <c r="H582" s="11" t="s">
        <v>27</v>
      </c>
      <c r="I582" s="15" t="s">
        <v>237</v>
      </c>
      <c r="J582" s="15" t="s">
        <v>37</v>
      </c>
      <c r="K582" s="16" t="s">
        <v>29</v>
      </c>
      <c r="L582" s="15" t="s">
        <v>789</v>
      </c>
      <c r="M582" s="15" t="s">
        <v>72</v>
      </c>
      <c r="N582" s="15" t="s">
        <v>39</v>
      </c>
      <c r="O582" s="15" t="s">
        <v>121</v>
      </c>
      <c r="P582" s="16" t="s">
        <v>790</v>
      </c>
      <c r="Q582" s="17">
        <v>17500</v>
      </c>
      <c r="R582" s="18">
        <v>45.14</v>
      </c>
      <c r="S582" s="19">
        <v>11039.988499999999</v>
      </c>
      <c r="T582" s="20" t="s">
        <v>75</v>
      </c>
      <c r="U582" s="21" t="s">
        <v>314</v>
      </c>
      <c r="V582" s="22">
        <v>46</v>
      </c>
      <c r="W582" s="22">
        <v>1</v>
      </c>
      <c r="X582" s="23"/>
    </row>
    <row r="583" spans="1:24" s="1" customFormat="1" ht="108" customHeight="1" x14ac:dyDescent="0.3">
      <c r="A583" s="11" t="s">
        <v>23</v>
      </c>
      <c r="B583" s="11" t="s">
        <v>791</v>
      </c>
      <c r="C583" s="12" t="s">
        <v>792</v>
      </c>
      <c r="D583" s="13"/>
      <c r="E583" s="43" t="str">
        <f>HYPERLINK("https://www.google.ru/search?q=28833-1293&amp;newwindow=1&amp;tbm=isch","Еще фото")</f>
        <v>Еще фото</v>
      </c>
      <c r="F583" s="14"/>
      <c r="G583" s="11" t="s">
        <v>237</v>
      </c>
      <c r="H583" s="11" t="s">
        <v>27</v>
      </c>
      <c r="I583" s="15" t="s">
        <v>237</v>
      </c>
      <c r="J583" s="15" t="s">
        <v>37</v>
      </c>
      <c r="K583" s="16" t="s">
        <v>57</v>
      </c>
      <c r="L583" s="15" t="s">
        <v>500</v>
      </c>
      <c r="M583" s="15"/>
      <c r="N583" s="15" t="s">
        <v>138</v>
      </c>
      <c r="O583" s="15"/>
      <c r="P583" s="16" t="s">
        <v>593</v>
      </c>
      <c r="Q583" s="17">
        <v>17499</v>
      </c>
      <c r="R583" s="18">
        <v>45.14</v>
      </c>
      <c r="S583" s="19">
        <v>11039.988499999999</v>
      </c>
      <c r="T583" s="20" t="s">
        <v>75</v>
      </c>
      <c r="U583" s="21" t="s">
        <v>140</v>
      </c>
      <c r="V583" s="25" t="s">
        <v>65</v>
      </c>
      <c r="W583" s="22">
        <v>1</v>
      </c>
      <c r="X583" s="23"/>
    </row>
    <row r="584" spans="1:24" s="1" customFormat="1" ht="52.05" customHeight="1" x14ac:dyDescent="0.3">
      <c r="A584" s="11" t="s">
        <v>23</v>
      </c>
      <c r="B584" s="11" t="s">
        <v>793</v>
      </c>
      <c r="C584" s="12" t="s">
        <v>794</v>
      </c>
      <c r="D584" s="63"/>
      <c r="E584" s="43" t="str">
        <f>HYPERLINK("https://www.google.ru/search?q=A2231-0000&amp;newwindow=1&amp;tbm=isch","Еще фото")</f>
        <v>Еще фото</v>
      </c>
      <c r="F584" s="14"/>
      <c r="G584" s="11" t="s">
        <v>237</v>
      </c>
      <c r="H584" s="11" t="s">
        <v>27</v>
      </c>
      <c r="I584" s="15" t="s">
        <v>237</v>
      </c>
      <c r="J584" s="15" t="s">
        <v>37</v>
      </c>
      <c r="K584" s="16" t="s">
        <v>57</v>
      </c>
      <c r="L584" s="60" t="s">
        <v>795</v>
      </c>
      <c r="M584" s="15" t="s">
        <v>72</v>
      </c>
      <c r="N584" s="15" t="s">
        <v>130</v>
      </c>
      <c r="O584" s="15"/>
      <c r="P584" s="16" t="s">
        <v>32</v>
      </c>
      <c r="Q584" s="17">
        <v>17499</v>
      </c>
      <c r="R584" s="18">
        <v>45.14</v>
      </c>
      <c r="S584" s="19">
        <v>11039.988499999999</v>
      </c>
      <c r="T584" s="20" t="s">
        <v>75</v>
      </c>
      <c r="U584" s="21" t="s">
        <v>43</v>
      </c>
      <c r="V584" s="22">
        <v>40</v>
      </c>
      <c r="W584" s="22">
        <v>1</v>
      </c>
      <c r="X584" s="23"/>
    </row>
    <row r="585" spans="1:24" s="1" customFormat="1" ht="61.05" customHeight="1" x14ac:dyDescent="0.3">
      <c r="A585" s="24" t="s">
        <v>23</v>
      </c>
      <c r="B585" s="24" t="s">
        <v>793</v>
      </c>
      <c r="C585" s="12" t="s">
        <v>794</v>
      </c>
      <c r="D585" s="64"/>
      <c r="E585" s="43" t="str">
        <f>HYPERLINK("https://www.google.ru/search?q=A2231-0000&amp;newwindow=1&amp;tbm=isch","Еще фото")</f>
        <v>Еще фото</v>
      </c>
      <c r="F585" s="14"/>
      <c r="G585" s="24" t="s">
        <v>237</v>
      </c>
      <c r="H585" s="24" t="s">
        <v>27</v>
      </c>
      <c r="I585" s="24" t="s">
        <v>237</v>
      </c>
      <c r="J585" s="15" t="s">
        <v>37</v>
      </c>
      <c r="K585" s="16" t="s">
        <v>57</v>
      </c>
      <c r="L585" s="62"/>
      <c r="M585" s="15" t="s">
        <v>72</v>
      </c>
      <c r="N585" s="15" t="s">
        <v>130</v>
      </c>
      <c r="O585" s="15"/>
      <c r="P585" s="16" t="s">
        <v>32</v>
      </c>
      <c r="Q585" s="17">
        <v>17499</v>
      </c>
      <c r="R585" s="18">
        <v>45.14</v>
      </c>
      <c r="S585" s="19">
        <v>11039.988499999999</v>
      </c>
      <c r="T585" s="20" t="s">
        <v>75</v>
      </c>
      <c r="U585" s="21" t="s">
        <v>49</v>
      </c>
      <c r="V585" s="22">
        <v>42</v>
      </c>
      <c r="W585" s="22">
        <v>1</v>
      </c>
      <c r="X585" s="23"/>
    </row>
    <row r="586" spans="1:24" s="1" customFormat="1" ht="35" customHeight="1" x14ac:dyDescent="0.3">
      <c r="A586" s="11" t="s">
        <v>23</v>
      </c>
      <c r="B586" s="11" t="s">
        <v>796</v>
      </c>
      <c r="C586" s="12" t="s">
        <v>797</v>
      </c>
      <c r="D586" s="57"/>
      <c r="E586" s="43" t="str">
        <f>HYPERLINK("https://www.google.ru/search?q=18181-0526&amp;newwindow=1&amp;tbm=isch","Еще фото")</f>
        <v>Еще фото</v>
      </c>
      <c r="F586" s="14"/>
      <c r="G586" s="11" t="s">
        <v>237</v>
      </c>
      <c r="H586" s="11" t="s">
        <v>27</v>
      </c>
      <c r="I586" s="15" t="s">
        <v>237</v>
      </c>
      <c r="J586" s="15" t="s">
        <v>28</v>
      </c>
      <c r="K586" s="16" t="s">
        <v>57</v>
      </c>
      <c r="L586" s="60" t="s">
        <v>798</v>
      </c>
      <c r="M586" s="15"/>
      <c r="N586" s="15" t="s">
        <v>130</v>
      </c>
      <c r="O586" s="15"/>
      <c r="P586" s="16" t="s">
        <v>242</v>
      </c>
      <c r="Q586" s="17">
        <v>11299</v>
      </c>
      <c r="R586" s="18">
        <v>45.13</v>
      </c>
      <c r="S586" s="19">
        <v>7129.9884999999995</v>
      </c>
      <c r="T586" s="20" t="s">
        <v>75</v>
      </c>
      <c r="U586" s="21" t="s">
        <v>51</v>
      </c>
      <c r="V586" s="22">
        <v>44</v>
      </c>
      <c r="W586" s="22">
        <v>1</v>
      </c>
      <c r="X586" s="23"/>
    </row>
    <row r="587" spans="1:24" s="1" customFormat="1" ht="35" customHeight="1" x14ac:dyDescent="0.3">
      <c r="A587" s="24" t="s">
        <v>23</v>
      </c>
      <c r="B587" s="24" t="s">
        <v>796</v>
      </c>
      <c r="C587" s="12" t="s">
        <v>797</v>
      </c>
      <c r="D587" s="58"/>
      <c r="E587" s="43" t="str">
        <f>HYPERLINK("https://www.google.ru/search?q=18181-0526&amp;newwindow=1&amp;tbm=isch","Еще фото")</f>
        <v>Еще фото</v>
      </c>
      <c r="F587" s="14"/>
      <c r="G587" s="24" t="s">
        <v>237</v>
      </c>
      <c r="H587" s="24" t="s">
        <v>27</v>
      </c>
      <c r="I587" s="24" t="s">
        <v>237</v>
      </c>
      <c r="J587" s="15" t="s">
        <v>28</v>
      </c>
      <c r="K587" s="16" t="s">
        <v>57</v>
      </c>
      <c r="L587" s="61"/>
      <c r="M587" s="15"/>
      <c r="N587" s="15" t="s">
        <v>130</v>
      </c>
      <c r="O587" s="15"/>
      <c r="P587" s="16" t="s">
        <v>242</v>
      </c>
      <c r="Q587" s="17">
        <v>11299</v>
      </c>
      <c r="R587" s="18">
        <v>45.13</v>
      </c>
      <c r="S587" s="19">
        <v>7129.9884999999995</v>
      </c>
      <c r="T587" s="20" t="s">
        <v>75</v>
      </c>
      <c r="U587" s="21" t="s">
        <v>173</v>
      </c>
      <c r="V587" s="25" t="s">
        <v>63</v>
      </c>
      <c r="W587" s="22">
        <v>8</v>
      </c>
      <c r="X587" s="23"/>
    </row>
    <row r="588" spans="1:24" s="1" customFormat="1" ht="37.049999999999997" customHeight="1" x14ac:dyDescent="0.3">
      <c r="A588" s="24" t="s">
        <v>23</v>
      </c>
      <c r="B588" s="24" t="s">
        <v>796</v>
      </c>
      <c r="C588" s="12" t="s">
        <v>797</v>
      </c>
      <c r="D588" s="59"/>
      <c r="E588" s="43" t="str">
        <f>HYPERLINK("https://www.google.ru/search?q=18181-0526&amp;newwindow=1&amp;tbm=isch","Еще фото")</f>
        <v>Еще фото</v>
      </c>
      <c r="F588" s="14"/>
      <c r="G588" s="24" t="s">
        <v>237</v>
      </c>
      <c r="H588" s="24" t="s">
        <v>27</v>
      </c>
      <c r="I588" s="24" t="s">
        <v>237</v>
      </c>
      <c r="J588" s="15" t="s">
        <v>28</v>
      </c>
      <c r="K588" s="16" t="s">
        <v>57</v>
      </c>
      <c r="L588" s="62"/>
      <c r="M588" s="15"/>
      <c r="N588" s="15" t="s">
        <v>130</v>
      </c>
      <c r="O588" s="15"/>
      <c r="P588" s="16" t="s">
        <v>242</v>
      </c>
      <c r="Q588" s="17">
        <v>11299</v>
      </c>
      <c r="R588" s="18">
        <v>45.13</v>
      </c>
      <c r="S588" s="19">
        <v>7129.9884999999995</v>
      </c>
      <c r="T588" s="20" t="s">
        <v>75</v>
      </c>
      <c r="U588" s="21" t="s">
        <v>140</v>
      </c>
      <c r="V588" s="25" t="s">
        <v>65</v>
      </c>
      <c r="W588" s="22">
        <v>3</v>
      </c>
      <c r="X588" s="23"/>
    </row>
    <row r="589" spans="1:24" s="1" customFormat="1" ht="108" customHeight="1" x14ac:dyDescent="0.3">
      <c r="A589" s="11" t="s">
        <v>23</v>
      </c>
      <c r="B589" s="11" t="s">
        <v>799</v>
      </c>
      <c r="C589" s="12" t="s">
        <v>800</v>
      </c>
      <c r="D589" s="13"/>
      <c r="E589" s="43" t="str">
        <f>HYPERLINK("https://www.google.ru/search?q=A3506-0015&amp;newwindow=1&amp;tbm=isch","Еще фото")</f>
        <v>Еще фото</v>
      </c>
      <c r="F589" s="14"/>
      <c r="G589" s="11" t="s">
        <v>237</v>
      </c>
      <c r="H589" s="11" t="s">
        <v>27</v>
      </c>
      <c r="I589" s="15" t="s">
        <v>237</v>
      </c>
      <c r="J589" s="15" t="s">
        <v>37</v>
      </c>
      <c r="K589" s="16" t="s">
        <v>29</v>
      </c>
      <c r="L589" s="15" t="s">
        <v>801</v>
      </c>
      <c r="M589" s="15"/>
      <c r="N589" s="15" t="s">
        <v>130</v>
      </c>
      <c r="O589" s="15"/>
      <c r="P589" s="16" t="s">
        <v>802</v>
      </c>
      <c r="Q589" s="17">
        <v>21499</v>
      </c>
      <c r="R589" s="18">
        <v>45.11</v>
      </c>
      <c r="S589" s="19">
        <v>13569.988499999999</v>
      </c>
      <c r="T589" s="20" t="s">
        <v>75</v>
      </c>
      <c r="U589" s="21" t="s">
        <v>43</v>
      </c>
      <c r="V589" s="25" t="s">
        <v>44</v>
      </c>
      <c r="W589" s="22">
        <v>1</v>
      </c>
      <c r="X589" s="23"/>
    </row>
    <row r="590" spans="1:24" s="1" customFormat="1" ht="108" customHeight="1" x14ac:dyDescent="0.3">
      <c r="A590" s="11" t="s">
        <v>23</v>
      </c>
      <c r="B590" s="11" t="s">
        <v>803</v>
      </c>
      <c r="C590" s="12" t="s">
        <v>804</v>
      </c>
      <c r="D590" s="13"/>
      <c r="E590" s="43" t="str">
        <f>HYPERLINK("https://www.google.ru/search?q=19626-0450&amp;newwindow=1&amp;tbm=isch","Еще фото")</f>
        <v>Еще фото</v>
      </c>
      <c r="F590" s="14"/>
      <c r="G590" s="11" t="s">
        <v>237</v>
      </c>
      <c r="H590" s="11" t="s">
        <v>27</v>
      </c>
      <c r="I590" s="15" t="s">
        <v>237</v>
      </c>
      <c r="J590" s="15" t="s">
        <v>37</v>
      </c>
      <c r="K590" s="16" t="s">
        <v>29</v>
      </c>
      <c r="L590" s="15" t="s">
        <v>805</v>
      </c>
      <c r="M590" s="15"/>
      <c r="N590" s="15" t="s">
        <v>130</v>
      </c>
      <c r="O590" s="15"/>
      <c r="P590" s="16" t="s">
        <v>209</v>
      </c>
      <c r="Q590" s="17">
        <v>13299</v>
      </c>
      <c r="R590" s="18">
        <v>45.11</v>
      </c>
      <c r="S590" s="19">
        <v>8394.9884999999995</v>
      </c>
      <c r="T590" s="20" t="s">
        <v>75</v>
      </c>
      <c r="U590" s="21" t="s">
        <v>49</v>
      </c>
      <c r="V590" s="25" t="s">
        <v>48</v>
      </c>
      <c r="W590" s="22">
        <v>2</v>
      </c>
      <c r="X590" s="23"/>
    </row>
    <row r="591" spans="1:24" s="1" customFormat="1" ht="108" customHeight="1" x14ac:dyDescent="0.3">
      <c r="A591" s="11" t="s">
        <v>23</v>
      </c>
      <c r="B591" s="11" t="s">
        <v>806</v>
      </c>
      <c r="C591" s="12" t="s">
        <v>807</v>
      </c>
      <c r="D591" s="13"/>
      <c r="E591" s="43" t="str">
        <f>HYPERLINK("https://www.google.ru/search?q=29507-1267&amp;newwindow=1&amp;tbm=isch","Еще фото")</f>
        <v>Еще фото</v>
      </c>
      <c r="F591" s="14"/>
      <c r="G591" s="11" t="s">
        <v>237</v>
      </c>
      <c r="H591" s="11" t="s">
        <v>27</v>
      </c>
      <c r="I591" s="15" t="s">
        <v>237</v>
      </c>
      <c r="J591" s="15" t="s">
        <v>37</v>
      </c>
      <c r="K591" s="16" t="s">
        <v>57</v>
      </c>
      <c r="L591" s="15" t="s">
        <v>579</v>
      </c>
      <c r="M591" s="15"/>
      <c r="N591" s="15" t="s">
        <v>130</v>
      </c>
      <c r="O591" s="15"/>
      <c r="P591" s="16" t="s">
        <v>564</v>
      </c>
      <c r="Q591" s="17">
        <v>18399</v>
      </c>
      <c r="R591" s="18">
        <v>45.11</v>
      </c>
      <c r="S591" s="19">
        <v>11614.988499999999</v>
      </c>
      <c r="T591" s="20" t="s">
        <v>75</v>
      </c>
      <c r="U591" s="21" t="s">
        <v>51</v>
      </c>
      <c r="V591" s="22">
        <v>44</v>
      </c>
      <c r="W591" s="22">
        <v>1</v>
      </c>
      <c r="X591" s="23"/>
    </row>
    <row r="592" spans="1:24" s="1" customFormat="1" ht="108" customHeight="1" x14ac:dyDescent="0.3">
      <c r="A592" s="11" t="s">
        <v>23</v>
      </c>
      <c r="B592" s="11" t="s">
        <v>808</v>
      </c>
      <c r="C592" s="12" t="s">
        <v>809</v>
      </c>
      <c r="D592" s="13"/>
      <c r="E592" s="43" t="str">
        <f>HYPERLINK("https://www.google.ru/search?q=A0898-0017&amp;newwindow=1&amp;tbm=isch","Еще фото")</f>
        <v>Еще фото</v>
      </c>
      <c r="F592" s="14"/>
      <c r="G592" s="11" t="s">
        <v>237</v>
      </c>
      <c r="H592" s="11" t="s">
        <v>27</v>
      </c>
      <c r="I592" s="15" t="s">
        <v>237</v>
      </c>
      <c r="J592" s="15" t="s">
        <v>28</v>
      </c>
      <c r="K592" s="16" t="s">
        <v>29</v>
      </c>
      <c r="L592" s="15" t="s">
        <v>810</v>
      </c>
      <c r="M592" s="15" t="s">
        <v>72</v>
      </c>
      <c r="N592" s="15" t="s">
        <v>156</v>
      </c>
      <c r="O592" s="15" t="s">
        <v>121</v>
      </c>
      <c r="P592" s="16" t="s">
        <v>32</v>
      </c>
      <c r="Q592" s="17">
        <v>18399</v>
      </c>
      <c r="R592" s="18">
        <v>45.11</v>
      </c>
      <c r="S592" s="19">
        <v>11614.988499999999</v>
      </c>
      <c r="T592" s="20" t="s">
        <v>41</v>
      </c>
      <c r="U592" s="21" t="s">
        <v>402</v>
      </c>
      <c r="V592" s="22">
        <v>40</v>
      </c>
      <c r="W592" s="22">
        <v>1</v>
      </c>
      <c r="X592" s="23"/>
    </row>
    <row r="593" spans="1:24" s="1" customFormat="1" ht="108" customHeight="1" x14ac:dyDescent="0.3">
      <c r="A593" s="11" t="s">
        <v>23</v>
      </c>
      <c r="B593" s="11" t="s">
        <v>811</v>
      </c>
      <c r="C593" s="12" t="s">
        <v>812</v>
      </c>
      <c r="D593" s="13"/>
      <c r="E593" s="43" t="str">
        <f>HYPERLINK("https://www.google.ru/search?q=36200-0142&amp;newwindow=1&amp;tbm=isch","Еще фото")</f>
        <v>Еще фото</v>
      </c>
      <c r="F593" s="14"/>
      <c r="G593" s="11" t="s">
        <v>237</v>
      </c>
      <c r="H593" s="11" t="s">
        <v>27</v>
      </c>
      <c r="I593" s="15" t="s">
        <v>237</v>
      </c>
      <c r="J593" s="15" t="s">
        <v>28</v>
      </c>
      <c r="K593" s="16" t="s">
        <v>29</v>
      </c>
      <c r="L593" s="15" t="s">
        <v>813</v>
      </c>
      <c r="M593" s="15" t="s">
        <v>72</v>
      </c>
      <c r="N593" s="15" t="s">
        <v>130</v>
      </c>
      <c r="O593" s="15" t="s">
        <v>113</v>
      </c>
      <c r="P593" s="16" t="s">
        <v>32</v>
      </c>
      <c r="Q593" s="17">
        <v>15299</v>
      </c>
      <c r="R593" s="18">
        <v>45.09</v>
      </c>
      <c r="S593" s="19">
        <v>9659.9884999999995</v>
      </c>
      <c r="T593" s="20" t="s">
        <v>75</v>
      </c>
      <c r="U593" s="21" t="s">
        <v>378</v>
      </c>
      <c r="V593" s="22">
        <v>46</v>
      </c>
      <c r="W593" s="22">
        <v>1</v>
      </c>
      <c r="X593" s="23"/>
    </row>
    <row r="594" spans="1:24" s="1" customFormat="1" ht="52.05" customHeight="1" x14ac:dyDescent="0.3">
      <c r="A594" s="11" t="s">
        <v>23</v>
      </c>
      <c r="B594" s="11" t="s">
        <v>814</v>
      </c>
      <c r="C594" s="12" t="s">
        <v>815</v>
      </c>
      <c r="D594" s="63"/>
      <c r="E594" s="43" t="str">
        <f>HYPERLINK("https://www.google.ru/search?q=A6199-0006&amp;newwindow=1&amp;tbm=isch","Еще фото")</f>
        <v>Еще фото</v>
      </c>
      <c r="F594" s="14"/>
      <c r="G594" s="11" t="s">
        <v>237</v>
      </c>
      <c r="H594" s="11" t="s">
        <v>27</v>
      </c>
      <c r="I594" s="15" t="s">
        <v>237</v>
      </c>
      <c r="J594" s="15" t="s">
        <v>37</v>
      </c>
      <c r="K594" s="16" t="s">
        <v>29</v>
      </c>
      <c r="L594" s="60" t="s">
        <v>261</v>
      </c>
      <c r="M594" s="15"/>
      <c r="N594" s="15" t="s">
        <v>39</v>
      </c>
      <c r="O594" s="15"/>
      <c r="P594" s="16" t="s">
        <v>242</v>
      </c>
      <c r="Q594" s="17">
        <v>10199</v>
      </c>
      <c r="R594" s="18">
        <v>45.09</v>
      </c>
      <c r="S594" s="19">
        <v>6439.9884999999995</v>
      </c>
      <c r="T594" s="20" t="s">
        <v>75</v>
      </c>
      <c r="U594" s="21" t="s">
        <v>311</v>
      </c>
      <c r="V594" s="25" t="s">
        <v>44</v>
      </c>
      <c r="W594" s="22">
        <v>1</v>
      </c>
      <c r="X594" s="23"/>
    </row>
    <row r="595" spans="1:24" s="1" customFormat="1" ht="61.05" customHeight="1" x14ac:dyDescent="0.3">
      <c r="A595" s="24" t="s">
        <v>23</v>
      </c>
      <c r="B595" s="24" t="s">
        <v>814</v>
      </c>
      <c r="C595" s="12" t="s">
        <v>815</v>
      </c>
      <c r="D595" s="64"/>
      <c r="E595" s="43" t="str">
        <f>HYPERLINK("https://www.google.ru/search?q=A6199-0006&amp;newwindow=1&amp;tbm=isch","Еще фото")</f>
        <v>Еще фото</v>
      </c>
      <c r="F595" s="14"/>
      <c r="G595" s="24" t="s">
        <v>237</v>
      </c>
      <c r="H595" s="24" t="s">
        <v>27</v>
      </c>
      <c r="I595" s="24" t="s">
        <v>237</v>
      </c>
      <c r="J595" s="15" t="s">
        <v>37</v>
      </c>
      <c r="K595" s="16" t="s">
        <v>29</v>
      </c>
      <c r="L595" s="62"/>
      <c r="M595" s="15"/>
      <c r="N595" s="15" t="s">
        <v>39</v>
      </c>
      <c r="O595" s="15"/>
      <c r="P595" s="16" t="s">
        <v>242</v>
      </c>
      <c r="Q595" s="17">
        <v>10199</v>
      </c>
      <c r="R595" s="18">
        <v>45.09</v>
      </c>
      <c r="S595" s="19">
        <v>6439.9884999999995</v>
      </c>
      <c r="T595" s="20" t="s">
        <v>75</v>
      </c>
      <c r="U595" s="21" t="s">
        <v>78</v>
      </c>
      <c r="V595" s="22">
        <v>42</v>
      </c>
      <c r="W595" s="22">
        <v>1</v>
      </c>
      <c r="X595" s="23"/>
    </row>
    <row r="596" spans="1:24" s="1" customFormat="1" ht="35" customHeight="1" x14ac:dyDescent="0.3">
      <c r="A596" s="11" t="s">
        <v>23</v>
      </c>
      <c r="B596" s="11" t="s">
        <v>816</v>
      </c>
      <c r="C596" s="12" t="s">
        <v>817</v>
      </c>
      <c r="D596" s="57"/>
      <c r="E596" s="43" t="str">
        <f>HYPERLINK("https://www.google.ru/search?q=A6215-0011&amp;newwindow=1&amp;tbm=isch","Еще фото")</f>
        <v>Еще фото</v>
      </c>
      <c r="F596" s="14"/>
      <c r="G596" s="11" t="s">
        <v>237</v>
      </c>
      <c r="H596" s="11" t="s">
        <v>27</v>
      </c>
      <c r="I596" s="15" t="s">
        <v>237</v>
      </c>
      <c r="J596" s="15" t="s">
        <v>37</v>
      </c>
      <c r="K596" s="16" t="s">
        <v>29</v>
      </c>
      <c r="L596" s="60" t="s">
        <v>258</v>
      </c>
      <c r="M596" s="15"/>
      <c r="N596" s="15" t="s">
        <v>138</v>
      </c>
      <c r="O596" s="15"/>
      <c r="P596" s="16" t="s">
        <v>737</v>
      </c>
      <c r="Q596" s="17">
        <v>12199</v>
      </c>
      <c r="R596" s="18">
        <v>45.08</v>
      </c>
      <c r="S596" s="19">
        <v>7704.9884999999995</v>
      </c>
      <c r="T596" s="20" t="s">
        <v>75</v>
      </c>
      <c r="U596" s="21" t="s">
        <v>78</v>
      </c>
      <c r="V596" s="22">
        <v>42</v>
      </c>
      <c r="W596" s="22">
        <v>1</v>
      </c>
      <c r="X596" s="23"/>
    </row>
    <row r="597" spans="1:24" s="1" customFormat="1" ht="35" customHeight="1" x14ac:dyDescent="0.3">
      <c r="A597" s="24" t="s">
        <v>23</v>
      </c>
      <c r="B597" s="24" t="s">
        <v>816</v>
      </c>
      <c r="C597" s="12" t="s">
        <v>817</v>
      </c>
      <c r="D597" s="58"/>
      <c r="E597" s="43" t="str">
        <f>HYPERLINK("https://www.google.ru/search?q=A6215-0011&amp;newwindow=1&amp;tbm=isch","Еще фото")</f>
        <v>Еще фото</v>
      </c>
      <c r="F597" s="14"/>
      <c r="G597" s="24" t="s">
        <v>237</v>
      </c>
      <c r="H597" s="24" t="s">
        <v>27</v>
      </c>
      <c r="I597" s="24" t="s">
        <v>237</v>
      </c>
      <c r="J597" s="15" t="s">
        <v>37</v>
      </c>
      <c r="K597" s="16" t="s">
        <v>29</v>
      </c>
      <c r="L597" s="61"/>
      <c r="M597" s="15"/>
      <c r="N597" s="15" t="s">
        <v>138</v>
      </c>
      <c r="O597" s="15"/>
      <c r="P597" s="16" t="s">
        <v>737</v>
      </c>
      <c r="Q597" s="17">
        <v>12199</v>
      </c>
      <c r="R597" s="18">
        <v>45.08</v>
      </c>
      <c r="S597" s="19">
        <v>7704.9884999999995</v>
      </c>
      <c r="T597" s="20" t="s">
        <v>75</v>
      </c>
      <c r="U597" s="21" t="s">
        <v>481</v>
      </c>
      <c r="V597" s="25" t="s">
        <v>48</v>
      </c>
      <c r="W597" s="22">
        <v>1</v>
      </c>
      <c r="X597" s="23"/>
    </row>
    <row r="598" spans="1:24" s="1" customFormat="1" ht="37.049999999999997" customHeight="1" x14ac:dyDescent="0.3">
      <c r="A598" s="24" t="s">
        <v>23</v>
      </c>
      <c r="B598" s="24" t="s">
        <v>816</v>
      </c>
      <c r="C598" s="12" t="s">
        <v>817</v>
      </c>
      <c r="D598" s="59"/>
      <c r="E598" s="43" t="str">
        <f>HYPERLINK("https://www.google.ru/search?q=A6215-0011&amp;newwindow=1&amp;tbm=isch","Еще фото")</f>
        <v>Еще фото</v>
      </c>
      <c r="F598" s="14"/>
      <c r="G598" s="24" t="s">
        <v>237</v>
      </c>
      <c r="H598" s="24" t="s">
        <v>27</v>
      </c>
      <c r="I598" s="24" t="s">
        <v>237</v>
      </c>
      <c r="J598" s="15" t="s">
        <v>37</v>
      </c>
      <c r="K598" s="16" t="s">
        <v>29</v>
      </c>
      <c r="L598" s="62"/>
      <c r="M598" s="15"/>
      <c r="N598" s="15" t="s">
        <v>138</v>
      </c>
      <c r="O598" s="15"/>
      <c r="P598" s="16" t="s">
        <v>737</v>
      </c>
      <c r="Q598" s="17">
        <v>12199</v>
      </c>
      <c r="R598" s="18">
        <v>45.08</v>
      </c>
      <c r="S598" s="19">
        <v>7704.9884999999995</v>
      </c>
      <c r="T598" s="20" t="s">
        <v>75</v>
      </c>
      <c r="U598" s="21" t="s">
        <v>362</v>
      </c>
      <c r="V598" s="22">
        <v>44</v>
      </c>
      <c r="W598" s="22">
        <v>2</v>
      </c>
      <c r="X598" s="23"/>
    </row>
    <row r="599" spans="1:24" s="1" customFormat="1" ht="35" customHeight="1" x14ac:dyDescent="0.3">
      <c r="A599" s="11" t="s">
        <v>23</v>
      </c>
      <c r="B599" s="11" t="s">
        <v>818</v>
      </c>
      <c r="C599" s="12" t="s">
        <v>819</v>
      </c>
      <c r="D599" s="57"/>
      <c r="E599" s="43" t="str">
        <f>HYPERLINK("https://www.google.ru/search?q=04511-5946&amp;newwindow=1&amp;tbm=isch","Еще фото")</f>
        <v>Еще фото</v>
      </c>
      <c r="F599" s="14"/>
      <c r="G599" s="11" t="s">
        <v>237</v>
      </c>
      <c r="H599" s="11" t="s">
        <v>27</v>
      </c>
      <c r="I599" s="15" t="s">
        <v>237</v>
      </c>
      <c r="J599" s="15" t="s">
        <v>37</v>
      </c>
      <c r="K599" s="16" t="s">
        <v>57</v>
      </c>
      <c r="L599" s="60" t="s">
        <v>439</v>
      </c>
      <c r="M599" s="15"/>
      <c r="N599" s="15" t="s">
        <v>130</v>
      </c>
      <c r="O599" s="15"/>
      <c r="P599" s="16" t="s">
        <v>820</v>
      </c>
      <c r="Q599" s="17">
        <v>23299</v>
      </c>
      <c r="R599" s="18">
        <v>45.06</v>
      </c>
      <c r="S599" s="19">
        <v>14719.988499999999</v>
      </c>
      <c r="T599" s="20" t="s">
        <v>75</v>
      </c>
      <c r="U599" s="21" t="s">
        <v>52</v>
      </c>
      <c r="V599" s="22">
        <v>46</v>
      </c>
      <c r="W599" s="22">
        <v>1</v>
      </c>
      <c r="X599" s="23"/>
    </row>
    <row r="600" spans="1:24" s="1" customFormat="1" ht="35" customHeight="1" x14ac:dyDescent="0.3">
      <c r="A600" s="24" t="s">
        <v>23</v>
      </c>
      <c r="B600" s="24" t="s">
        <v>818</v>
      </c>
      <c r="C600" s="12" t="s">
        <v>819</v>
      </c>
      <c r="D600" s="58"/>
      <c r="E600" s="43" t="str">
        <f>HYPERLINK("https://www.google.ru/search?q=04511-5946&amp;newwindow=1&amp;tbm=isch","Еще фото")</f>
        <v>Еще фото</v>
      </c>
      <c r="F600" s="14"/>
      <c r="G600" s="24" t="s">
        <v>237</v>
      </c>
      <c r="H600" s="24" t="s">
        <v>27</v>
      </c>
      <c r="I600" s="24" t="s">
        <v>237</v>
      </c>
      <c r="J600" s="15" t="s">
        <v>37</v>
      </c>
      <c r="K600" s="16" t="s">
        <v>57</v>
      </c>
      <c r="L600" s="61"/>
      <c r="M600" s="15"/>
      <c r="N600" s="15" t="s">
        <v>130</v>
      </c>
      <c r="O600" s="15"/>
      <c r="P600" s="16" t="s">
        <v>820</v>
      </c>
      <c r="Q600" s="17">
        <v>23299</v>
      </c>
      <c r="R600" s="18">
        <v>45.06</v>
      </c>
      <c r="S600" s="19">
        <v>14719.988499999999</v>
      </c>
      <c r="T600" s="20" t="s">
        <v>75</v>
      </c>
      <c r="U600" s="21" t="s">
        <v>53</v>
      </c>
      <c r="V600" s="22">
        <v>46</v>
      </c>
      <c r="W600" s="22">
        <v>1</v>
      </c>
      <c r="X600" s="23"/>
    </row>
    <row r="601" spans="1:24" s="1" customFormat="1" ht="37.049999999999997" customHeight="1" x14ac:dyDescent="0.3">
      <c r="A601" s="24" t="s">
        <v>23</v>
      </c>
      <c r="B601" s="24" t="s">
        <v>818</v>
      </c>
      <c r="C601" s="12" t="s">
        <v>819</v>
      </c>
      <c r="D601" s="59"/>
      <c r="E601" s="43" t="str">
        <f>HYPERLINK("https://www.google.ru/search?q=04511-5946&amp;newwindow=1&amp;tbm=isch","Еще фото")</f>
        <v>Еще фото</v>
      </c>
      <c r="F601" s="14"/>
      <c r="G601" s="24" t="s">
        <v>237</v>
      </c>
      <c r="H601" s="24" t="s">
        <v>27</v>
      </c>
      <c r="I601" s="24" t="s">
        <v>237</v>
      </c>
      <c r="J601" s="15" t="s">
        <v>37</v>
      </c>
      <c r="K601" s="16" t="s">
        <v>57</v>
      </c>
      <c r="L601" s="62"/>
      <c r="M601" s="15"/>
      <c r="N601" s="15" t="s">
        <v>130</v>
      </c>
      <c r="O601" s="15"/>
      <c r="P601" s="16" t="s">
        <v>820</v>
      </c>
      <c r="Q601" s="17">
        <v>23299</v>
      </c>
      <c r="R601" s="18">
        <v>45.06</v>
      </c>
      <c r="S601" s="19">
        <v>14719.988499999999</v>
      </c>
      <c r="T601" s="20" t="s">
        <v>75</v>
      </c>
      <c r="U601" s="21" t="s">
        <v>109</v>
      </c>
      <c r="V601" s="25" t="s">
        <v>65</v>
      </c>
      <c r="W601" s="22">
        <v>2</v>
      </c>
      <c r="X601" s="23"/>
    </row>
    <row r="602" spans="1:24" s="1" customFormat="1" ht="108" customHeight="1" x14ac:dyDescent="0.3">
      <c r="A602" s="11" t="s">
        <v>23</v>
      </c>
      <c r="B602" s="11" t="s">
        <v>821</v>
      </c>
      <c r="C602" s="12" t="s">
        <v>822</v>
      </c>
      <c r="D602" s="13"/>
      <c r="E602" s="43" t="str">
        <f>HYPERLINK("https://www.google.ru/search?q=04511-6128&amp;newwindow=1&amp;tbm=isch","Еще фото")</f>
        <v>Еще фото</v>
      </c>
      <c r="F602" s="14"/>
      <c r="G602" s="11" t="s">
        <v>237</v>
      </c>
      <c r="H602" s="11" t="s">
        <v>27</v>
      </c>
      <c r="I602" s="15" t="s">
        <v>237</v>
      </c>
      <c r="J602" s="15" t="s">
        <v>37</v>
      </c>
      <c r="K602" s="16" t="s">
        <v>57</v>
      </c>
      <c r="L602" s="15" t="s">
        <v>533</v>
      </c>
      <c r="M602" s="15"/>
      <c r="N602" s="15" t="s">
        <v>99</v>
      </c>
      <c r="O602" s="15"/>
      <c r="P602" s="16" t="s">
        <v>254</v>
      </c>
      <c r="Q602" s="17">
        <v>18199</v>
      </c>
      <c r="R602" s="18">
        <v>45.05</v>
      </c>
      <c r="S602" s="19">
        <v>11499.988499999999</v>
      </c>
      <c r="T602" s="20" t="s">
        <v>75</v>
      </c>
      <c r="U602" s="21" t="s">
        <v>200</v>
      </c>
      <c r="V602" s="25" t="s">
        <v>96</v>
      </c>
      <c r="W602" s="22">
        <v>1</v>
      </c>
      <c r="X602" s="23"/>
    </row>
    <row r="603" spans="1:24" s="1" customFormat="1" ht="108" customHeight="1" x14ac:dyDescent="0.3">
      <c r="A603" s="11" t="s">
        <v>23</v>
      </c>
      <c r="B603" s="36">
        <v>511</v>
      </c>
      <c r="C603" s="12" t="s">
        <v>823</v>
      </c>
      <c r="D603" s="13"/>
      <c r="E603" s="43" t="str">
        <f>HYPERLINK("https://www.google.ru/search?q=04511-5461&amp;newwindow=1&amp;tbm=isch","Еще фото")</f>
        <v>Еще фото</v>
      </c>
      <c r="F603" s="14"/>
      <c r="G603" s="11" t="s">
        <v>237</v>
      </c>
      <c r="H603" s="11" t="s">
        <v>27</v>
      </c>
      <c r="I603" s="15" t="s">
        <v>237</v>
      </c>
      <c r="J603" s="15" t="s">
        <v>28</v>
      </c>
      <c r="K603" s="16" t="s">
        <v>57</v>
      </c>
      <c r="L603" s="15" t="s">
        <v>824</v>
      </c>
      <c r="M603" s="15"/>
      <c r="N603" s="15" t="s">
        <v>130</v>
      </c>
      <c r="O603" s="15"/>
      <c r="P603" s="16" t="s">
        <v>254</v>
      </c>
      <c r="Q603" s="17">
        <v>11099</v>
      </c>
      <c r="R603" s="18">
        <v>45.04</v>
      </c>
      <c r="S603" s="19">
        <v>7014.9884999999995</v>
      </c>
      <c r="T603" s="20" t="s">
        <v>75</v>
      </c>
      <c r="U603" s="21" t="s">
        <v>143</v>
      </c>
      <c r="V603" s="22">
        <v>46</v>
      </c>
      <c r="W603" s="22">
        <v>1</v>
      </c>
      <c r="X603" s="23"/>
    </row>
    <row r="604" spans="1:24" s="1" customFormat="1" ht="108" customHeight="1" x14ac:dyDescent="0.3">
      <c r="A604" s="11" t="s">
        <v>23</v>
      </c>
      <c r="B604" s="11" t="s">
        <v>825</v>
      </c>
      <c r="C604" s="12" t="s">
        <v>826</v>
      </c>
      <c r="D604" s="13"/>
      <c r="E604" s="43" t="str">
        <f>HYPERLINK("https://www.google.ru/search?q=00501-3736&amp;newwindow=1&amp;tbm=isch","Еще фото")</f>
        <v>Еще фото</v>
      </c>
      <c r="F604" s="14" t="s">
        <v>182</v>
      </c>
      <c r="G604" s="11" t="s">
        <v>237</v>
      </c>
      <c r="H604" s="11" t="s">
        <v>27</v>
      </c>
      <c r="I604" s="15" t="s">
        <v>237</v>
      </c>
      <c r="J604" s="15" t="s">
        <v>28</v>
      </c>
      <c r="K604" s="16" t="s">
        <v>57</v>
      </c>
      <c r="L604" s="15" t="s">
        <v>827</v>
      </c>
      <c r="M604" s="15"/>
      <c r="N604" s="15" t="s">
        <v>138</v>
      </c>
      <c r="O604" s="15"/>
      <c r="P604" s="16" t="s">
        <v>32</v>
      </c>
      <c r="Q604" s="17">
        <v>24199</v>
      </c>
      <c r="R604" s="18">
        <v>45.04</v>
      </c>
      <c r="S604" s="19">
        <v>15294.988499999999</v>
      </c>
      <c r="T604" s="20" t="s">
        <v>75</v>
      </c>
      <c r="U604" s="21" t="s">
        <v>100</v>
      </c>
      <c r="V604" s="22">
        <v>50</v>
      </c>
      <c r="W604" s="22">
        <v>1</v>
      </c>
      <c r="X604" s="23"/>
    </row>
    <row r="605" spans="1:24" s="1" customFormat="1" ht="35" customHeight="1" x14ac:dyDescent="0.3">
      <c r="A605" s="11" t="s">
        <v>23</v>
      </c>
      <c r="B605" s="11" t="s">
        <v>828</v>
      </c>
      <c r="C605" s="12" t="s">
        <v>829</v>
      </c>
      <c r="D605" s="57"/>
      <c r="E605" s="43" t="str">
        <f>HYPERLINK("https://www.google.ru/search?q=000LO-0053&amp;newwindow=1&amp;tbm=isch","Еще фото")</f>
        <v>Еще фото</v>
      </c>
      <c r="F605" s="14"/>
      <c r="G605" s="11" t="s">
        <v>237</v>
      </c>
      <c r="H605" s="11" t="s">
        <v>27</v>
      </c>
      <c r="I605" s="15" t="s">
        <v>237</v>
      </c>
      <c r="J605" s="15" t="s">
        <v>37</v>
      </c>
      <c r="K605" s="16" t="s">
        <v>57</v>
      </c>
      <c r="L605" s="60" t="s">
        <v>830</v>
      </c>
      <c r="M605" s="15"/>
      <c r="N605" s="15" t="s">
        <v>130</v>
      </c>
      <c r="O605" s="15"/>
      <c r="P605" s="16" t="s">
        <v>831</v>
      </c>
      <c r="Q605" s="17">
        <v>10899</v>
      </c>
      <c r="R605" s="18">
        <v>45</v>
      </c>
      <c r="S605" s="19">
        <v>6893.6174999999994</v>
      </c>
      <c r="T605" s="20" t="s">
        <v>75</v>
      </c>
      <c r="U605" s="21" t="s">
        <v>100</v>
      </c>
      <c r="V605" s="22">
        <v>50</v>
      </c>
      <c r="W605" s="22">
        <v>1</v>
      </c>
      <c r="X605" s="23"/>
    </row>
    <row r="606" spans="1:24" s="1" customFormat="1" ht="35" customHeight="1" x14ac:dyDescent="0.3">
      <c r="A606" s="24" t="s">
        <v>23</v>
      </c>
      <c r="B606" s="24" t="s">
        <v>828</v>
      </c>
      <c r="C606" s="12" t="s">
        <v>829</v>
      </c>
      <c r="D606" s="58"/>
      <c r="E606" s="43" t="str">
        <f>HYPERLINK("https://www.google.ru/search?q=000LO-0053&amp;newwindow=1&amp;tbm=isch","Еще фото")</f>
        <v>Еще фото</v>
      </c>
      <c r="F606" s="14"/>
      <c r="G606" s="24" t="s">
        <v>237</v>
      </c>
      <c r="H606" s="24" t="s">
        <v>27</v>
      </c>
      <c r="I606" s="24" t="s">
        <v>237</v>
      </c>
      <c r="J606" s="15" t="s">
        <v>37</v>
      </c>
      <c r="K606" s="16" t="s">
        <v>57</v>
      </c>
      <c r="L606" s="61"/>
      <c r="M606" s="15"/>
      <c r="N606" s="15" t="s">
        <v>130</v>
      </c>
      <c r="O606" s="15"/>
      <c r="P606" s="16" t="s">
        <v>831</v>
      </c>
      <c r="Q606" s="17">
        <v>10899</v>
      </c>
      <c r="R606" s="18">
        <v>45</v>
      </c>
      <c r="S606" s="19">
        <v>6893.6174999999994</v>
      </c>
      <c r="T606" s="20" t="s">
        <v>75</v>
      </c>
      <c r="U606" s="21" t="s">
        <v>167</v>
      </c>
      <c r="V606" s="22">
        <v>52</v>
      </c>
      <c r="W606" s="22">
        <v>2</v>
      </c>
      <c r="X606" s="23"/>
    </row>
    <row r="607" spans="1:24" s="1" customFormat="1" ht="37.049999999999997" customHeight="1" x14ac:dyDescent="0.3">
      <c r="A607" s="24" t="s">
        <v>23</v>
      </c>
      <c r="B607" s="24" t="s">
        <v>828</v>
      </c>
      <c r="C607" s="12" t="s">
        <v>829</v>
      </c>
      <c r="D607" s="59"/>
      <c r="E607" s="43" t="str">
        <f>HYPERLINK("https://www.google.ru/search?q=000LO-0053&amp;newwindow=1&amp;tbm=isch","Еще фото")</f>
        <v>Еще фото</v>
      </c>
      <c r="F607" s="14"/>
      <c r="G607" s="24" t="s">
        <v>237</v>
      </c>
      <c r="H607" s="24" t="s">
        <v>27</v>
      </c>
      <c r="I607" s="24" t="s">
        <v>237</v>
      </c>
      <c r="J607" s="15" t="s">
        <v>37</v>
      </c>
      <c r="K607" s="16" t="s">
        <v>57</v>
      </c>
      <c r="L607" s="62"/>
      <c r="M607" s="15"/>
      <c r="N607" s="15" t="s">
        <v>130</v>
      </c>
      <c r="O607" s="15"/>
      <c r="P607" s="16" t="s">
        <v>831</v>
      </c>
      <c r="Q607" s="17">
        <v>10899</v>
      </c>
      <c r="R607" s="18">
        <v>45</v>
      </c>
      <c r="S607" s="19">
        <v>6893.6174999999994</v>
      </c>
      <c r="T607" s="20" t="s">
        <v>75</v>
      </c>
      <c r="U607" s="21" t="s">
        <v>168</v>
      </c>
      <c r="V607" s="22">
        <v>52</v>
      </c>
      <c r="W607" s="22">
        <v>1</v>
      </c>
      <c r="X607" s="23"/>
    </row>
    <row r="608" spans="1:24" s="1" customFormat="1" ht="17" customHeight="1" x14ac:dyDescent="0.3">
      <c r="A608" s="11" t="s">
        <v>23</v>
      </c>
      <c r="B608" s="11" t="s">
        <v>832</v>
      </c>
      <c r="C608" s="12" t="s">
        <v>833</v>
      </c>
      <c r="D608" s="57"/>
      <c r="E608" s="43" t="str">
        <f t="shared" ref="E608:E613" si="24">HYPERLINK("https://www.google.ru/search?q=000LO-0065&amp;newwindow=1&amp;tbm=isch","Еще фото")</f>
        <v>Еще фото</v>
      </c>
      <c r="F608" s="14" t="s">
        <v>182</v>
      </c>
      <c r="G608" s="11" t="s">
        <v>237</v>
      </c>
      <c r="H608" s="11" t="s">
        <v>27</v>
      </c>
      <c r="I608" s="15" t="s">
        <v>237</v>
      </c>
      <c r="J608" s="15" t="s">
        <v>37</v>
      </c>
      <c r="K608" s="16" t="s">
        <v>57</v>
      </c>
      <c r="L608" s="60"/>
      <c r="M608" s="15"/>
      <c r="N608" s="15" t="s">
        <v>130</v>
      </c>
      <c r="O608" s="15"/>
      <c r="P608" s="16" t="s">
        <v>172</v>
      </c>
      <c r="Q608" s="17">
        <v>16499</v>
      </c>
      <c r="R608" s="18">
        <v>45</v>
      </c>
      <c r="S608" s="19">
        <v>10435.6175</v>
      </c>
      <c r="T608" s="20" t="s">
        <v>75</v>
      </c>
      <c r="U608" s="21" t="s">
        <v>51</v>
      </c>
      <c r="V608" s="22">
        <v>44</v>
      </c>
      <c r="W608" s="22">
        <v>1</v>
      </c>
      <c r="X608" s="23"/>
    </row>
    <row r="609" spans="1:24" s="1" customFormat="1" ht="17" customHeight="1" x14ac:dyDescent="0.3">
      <c r="A609" s="24" t="s">
        <v>23</v>
      </c>
      <c r="B609" s="24" t="s">
        <v>832</v>
      </c>
      <c r="C609" s="12" t="s">
        <v>833</v>
      </c>
      <c r="D609" s="58"/>
      <c r="E609" s="43" t="str">
        <f t="shared" si="24"/>
        <v>Еще фото</v>
      </c>
      <c r="F609" s="14" t="s">
        <v>182</v>
      </c>
      <c r="G609" s="24" t="s">
        <v>237</v>
      </c>
      <c r="H609" s="24" t="s">
        <v>27</v>
      </c>
      <c r="I609" s="24" t="s">
        <v>237</v>
      </c>
      <c r="J609" s="15" t="s">
        <v>37</v>
      </c>
      <c r="K609" s="16" t="s">
        <v>57</v>
      </c>
      <c r="L609" s="61"/>
      <c r="M609" s="15"/>
      <c r="N609" s="15" t="s">
        <v>130</v>
      </c>
      <c r="O609" s="15"/>
      <c r="P609" s="16" t="s">
        <v>172</v>
      </c>
      <c r="Q609" s="17">
        <v>16499</v>
      </c>
      <c r="R609" s="18">
        <v>45</v>
      </c>
      <c r="S609" s="19">
        <v>10435.6175</v>
      </c>
      <c r="T609" s="20" t="s">
        <v>75</v>
      </c>
      <c r="U609" s="21" t="s">
        <v>52</v>
      </c>
      <c r="V609" s="22">
        <v>46</v>
      </c>
      <c r="W609" s="22">
        <v>1</v>
      </c>
      <c r="X609" s="23"/>
    </row>
    <row r="610" spans="1:24" s="1" customFormat="1" ht="17" customHeight="1" x14ac:dyDescent="0.3">
      <c r="A610" s="24" t="s">
        <v>23</v>
      </c>
      <c r="B610" s="24" t="s">
        <v>832</v>
      </c>
      <c r="C610" s="12" t="s">
        <v>833</v>
      </c>
      <c r="D610" s="58"/>
      <c r="E610" s="43" t="str">
        <f t="shared" si="24"/>
        <v>Еще фото</v>
      </c>
      <c r="F610" s="14" t="s">
        <v>182</v>
      </c>
      <c r="G610" s="24" t="s">
        <v>237</v>
      </c>
      <c r="H610" s="24" t="s">
        <v>27</v>
      </c>
      <c r="I610" s="24" t="s">
        <v>237</v>
      </c>
      <c r="J610" s="15" t="s">
        <v>37</v>
      </c>
      <c r="K610" s="16" t="s">
        <v>57</v>
      </c>
      <c r="L610" s="61"/>
      <c r="M610" s="15"/>
      <c r="N610" s="15" t="s">
        <v>130</v>
      </c>
      <c r="O610" s="15"/>
      <c r="P610" s="16" t="s">
        <v>172</v>
      </c>
      <c r="Q610" s="17">
        <v>16499</v>
      </c>
      <c r="R610" s="18">
        <v>45</v>
      </c>
      <c r="S610" s="19">
        <v>10435.6175</v>
      </c>
      <c r="T610" s="20" t="s">
        <v>75</v>
      </c>
      <c r="U610" s="21" t="s">
        <v>188</v>
      </c>
      <c r="V610" s="25" t="s">
        <v>65</v>
      </c>
      <c r="W610" s="22">
        <v>1</v>
      </c>
      <c r="X610" s="23"/>
    </row>
    <row r="611" spans="1:24" s="1" customFormat="1" ht="17" customHeight="1" x14ac:dyDescent="0.3">
      <c r="A611" s="24" t="s">
        <v>23</v>
      </c>
      <c r="B611" s="24" t="s">
        <v>832</v>
      </c>
      <c r="C611" s="12" t="s">
        <v>833</v>
      </c>
      <c r="D611" s="58"/>
      <c r="E611" s="43" t="str">
        <f t="shared" si="24"/>
        <v>Еще фото</v>
      </c>
      <c r="F611" s="14" t="s">
        <v>182</v>
      </c>
      <c r="G611" s="24" t="s">
        <v>237</v>
      </c>
      <c r="H611" s="24" t="s">
        <v>27</v>
      </c>
      <c r="I611" s="24" t="s">
        <v>237</v>
      </c>
      <c r="J611" s="15" t="s">
        <v>37</v>
      </c>
      <c r="K611" s="16" t="s">
        <v>57</v>
      </c>
      <c r="L611" s="61"/>
      <c r="M611" s="15"/>
      <c r="N611" s="15" t="s">
        <v>130</v>
      </c>
      <c r="O611" s="15"/>
      <c r="P611" s="16" t="s">
        <v>172</v>
      </c>
      <c r="Q611" s="17">
        <v>16499</v>
      </c>
      <c r="R611" s="18">
        <v>45</v>
      </c>
      <c r="S611" s="19">
        <v>10435.6175</v>
      </c>
      <c r="T611" s="20" t="s">
        <v>75</v>
      </c>
      <c r="U611" s="21" t="s">
        <v>109</v>
      </c>
      <c r="V611" s="25" t="s">
        <v>65</v>
      </c>
      <c r="W611" s="22">
        <v>2</v>
      </c>
      <c r="X611" s="23"/>
    </row>
    <row r="612" spans="1:24" s="1" customFormat="1" ht="17" customHeight="1" x14ac:dyDescent="0.3">
      <c r="A612" s="24" t="s">
        <v>23</v>
      </c>
      <c r="B612" s="24" t="s">
        <v>832</v>
      </c>
      <c r="C612" s="12" t="s">
        <v>833</v>
      </c>
      <c r="D612" s="58"/>
      <c r="E612" s="43" t="str">
        <f t="shared" si="24"/>
        <v>Еще фото</v>
      </c>
      <c r="F612" s="14" t="s">
        <v>182</v>
      </c>
      <c r="G612" s="24" t="s">
        <v>237</v>
      </c>
      <c r="H612" s="24" t="s">
        <v>27</v>
      </c>
      <c r="I612" s="24" t="s">
        <v>237</v>
      </c>
      <c r="J612" s="15" t="s">
        <v>37</v>
      </c>
      <c r="K612" s="16" t="s">
        <v>57</v>
      </c>
      <c r="L612" s="61"/>
      <c r="M612" s="15"/>
      <c r="N612" s="15" t="s">
        <v>130</v>
      </c>
      <c r="O612" s="15"/>
      <c r="P612" s="16" t="s">
        <v>172</v>
      </c>
      <c r="Q612" s="17">
        <v>16499</v>
      </c>
      <c r="R612" s="18">
        <v>45</v>
      </c>
      <c r="S612" s="19">
        <v>10435.6175</v>
      </c>
      <c r="T612" s="20" t="s">
        <v>75</v>
      </c>
      <c r="U612" s="21" t="s">
        <v>165</v>
      </c>
      <c r="V612" s="22">
        <v>48</v>
      </c>
      <c r="W612" s="22">
        <v>1</v>
      </c>
      <c r="X612" s="23"/>
    </row>
    <row r="613" spans="1:24" s="1" customFormat="1" ht="22.05" customHeight="1" x14ac:dyDescent="0.3">
      <c r="A613" s="24" t="s">
        <v>23</v>
      </c>
      <c r="B613" s="24" t="s">
        <v>832</v>
      </c>
      <c r="C613" s="12" t="s">
        <v>833</v>
      </c>
      <c r="D613" s="59"/>
      <c r="E613" s="43" t="str">
        <f t="shared" si="24"/>
        <v>Еще фото</v>
      </c>
      <c r="F613" s="14" t="s">
        <v>182</v>
      </c>
      <c r="G613" s="24" t="s">
        <v>237</v>
      </c>
      <c r="H613" s="24" t="s">
        <v>27</v>
      </c>
      <c r="I613" s="24" t="s">
        <v>237</v>
      </c>
      <c r="J613" s="15" t="s">
        <v>37</v>
      </c>
      <c r="K613" s="16" t="s">
        <v>57</v>
      </c>
      <c r="L613" s="62"/>
      <c r="M613" s="15"/>
      <c r="N613" s="15" t="s">
        <v>130</v>
      </c>
      <c r="O613" s="15"/>
      <c r="P613" s="16" t="s">
        <v>172</v>
      </c>
      <c r="Q613" s="17">
        <v>16499</v>
      </c>
      <c r="R613" s="18">
        <v>45</v>
      </c>
      <c r="S613" s="19">
        <v>10435.6175</v>
      </c>
      <c r="T613" s="20" t="s">
        <v>75</v>
      </c>
      <c r="U613" s="21" t="s">
        <v>89</v>
      </c>
      <c r="V613" s="22">
        <v>50</v>
      </c>
      <c r="W613" s="22">
        <v>2</v>
      </c>
      <c r="X613" s="23"/>
    </row>
    <row r="614" spans="1:24" s="1" customFormat="1" ht="11" customHeight="1" x14ac:dyDescent="0.3">
      <c r="A614" s="11" t="s">
        <v>23</v>
      </c>
      <c r="B614" s="11" t="s">
        <v>834</v>
      </c>
      <c r="C614" s="12" t="s">
        <v>835</v>
      </c>
      <c r="D614" s="57"/>
      <c r="E614" s="43" t="str">
        <f t="shared" ref="E614:E626" si="25">HYPERLINK("https://www.google.ru/search?q=001PZ-0001&amp;newwindow=1&amp;tbm=isch","Еще фото")</f>
        <v>Еще фото</v>
      </c>
      <c r="F614" s="14"/>
      <c r="G614" s="11" t="s">
        <v>237</v>
      </c>
      <c r="H614" s="11" t="s">
        <v>27</v>
      </c>
      <c r="I614" s="15" t="s">
        <v>237</v>
      </c>
      <c r="J614" s="15" t="s">
        <v>37</v>
      </c>
      <c r="K614" s="16" t="s">
        <v>29</v>
      </c>
      <c r="L614" s="60" t="s">
        <v>836</v>
      </c>
      <c r="M614" s="15"/>
      <c r="N614" s="15" t="s">
        <v>130</v>
      </c>
      <c r="O614" s="15"/>
      <c r="P614" s="16" t="s">
        <v>837</v>
      </c>
      <c r="Q614" s="17">
        <v>13799</v>
      </c>
      <c r="R614" s="18">
        <v>45</v>
      </c>
      <c r="S614" s="19">
        <v>8727.8674999999985</v>
      </c>
      <c r="T614" s="20" t="s">
        <v>75</v>
      </c>
      <c r="U614" s="21" t="s">
        <v>46</v>
      </c>
      <c r="V614" s="22">
        <v>42</v>
      </c>
      <c r="W614" s="22">
        <v>6</v>
      </c>
      <c r="X614" s="23"/>
    </row>
    <row r="615" spans="1:24" s="1" customFormat="1" ht="11" customHeight="1" x14ac:dyDescent="0.3">
      <c r="A615" s="24" t="s">
        <v>23</v>
      </c>
      <c r="B615" s="24" t="s">
        <v>834</v>
      </c>
      <c r="C615" s="12" t="s">
        <v>835</v>
      </c>
      <c r="D615" s="58"/>
      <c r="E615" s="43" t="str">
        <f t="shared" si="25"/>
        <v>Еще фото</v>
      </c>
      <c r="F615" s="14"/>
      <c r="G615" s="24" t="s">
        <v>237</v>
      </c>
      <c r="H615" s="24" t="s">
        <v>27</v>
      </c>
      <c r="I615" s="24" t="s">
        <v>237</v>
      </c>
      <c r="J615" s="15" t="s">
        <v>37</v>
      </c>
      <c r="K615" s="16" t="s">
        <v>29</v>
      </c>
      <c r="L615" s="61"/>
      <c r="M615" s="15"/>
      <c r="N615" s="15" t="s">
        <v>130</v>
      </c>
      <c r="O615" s="15"/>
      <c r="P615" s="16" t="s">
        <v>837</v>
      </c>
      <c r="Q615" s="17">
        <v>13799</v>
      </c>
      <c r="R615" s="18">
        <v>45</v>
      </c>
      <c r="S615" s="19">
        <v>8727.8674999999985</v>
      </c>
      <c r="T615" s="20" t="s">
        <v>75</v>
      </c>
      <c r="U615" s="21" t="s">
        <v>158</v>
      </c>
      <c r="V615" s="22">
        <v>42</v>
      </c>
      <c r="W615" s="22">
        <v>6</v>
      </c>
      <c r="X615" s="23"/>
    </row>
    <row r="616" spans="1:24" s="1" customFormat="1" ht="11" customHeight="1" x14ac:dyDescent="0.3">
      <c r="A616" s="24" t="s">
        <v>23</v>
      </c>
      <c r="B616" s="24" t="s">
        <v>834</v>
      </c>
      <c r="C616" s="12" t="s">
        <v>835</v>
      </c>
      <c r="D616" s="58"/>
      <c r="E616" s="43" t="str">
        <f t="shared" si="25"/>
        <v>Еще фото</v>
      </c>
      <c r="F616" s="14"/>
      <c r="G616" s="24" t="s">
        <v>237</v>
      </c>
      <c r="H616" s="24" t="s">
        <v>27</v>
      </c>
      <c r="I616" s="24" t="s">
        <v>237</v>
      </c>
      <c r="J616" s="15" t="s">
        <v>37</v>
      </c>
      <c r="K616" s="16" t="s">
        <v>29</v>
      </c>
      <c r="L616" s="61"/>
      <c r="M616" s="15"/>
      <c r="N616" s="15" t="s">
        <v>130</v>
      </c>
      <c r="O616" s="15"/>
      <c r="P616" s="16" t="s">
        <v>837</v>
      </c>
      <c r="Q616" s="17">
        <v>13799</v>
      </c>
      <c r="R616" s="18">
        <v>45</v>
      </c>
      <c r="S616" s="19">
        <v>8727.8674999999985</v>
      </c>
      <c r="T616" s="20" t="s">
        <v>75</v>
      </c>
      <c r="U616" s="21" t="s">
        <v>47</v>
      </c>
      <c r="V616" s="25" t="s">
        <v>48</v>
      </c>
      <c r="W616" s="22">
        <v>8</v>
      </c>
      <c r="X616" s="23"/>
    </row>
    <row r="617" spans="1:24" s="1" customFormat="1" ht="11" customHeight="1" x14ac:dyDescent="0.3">
      <c r="A617" s="24" t="s">
        <v>23</v>
      </c>
      <c r="B617" s="24" t="s">
        <v>834</v>
      </c>
      <c r="C617" s="12" t="s">
        <v>835</v>
      </c>
      <c r="D617" s="58"/>
      <c r="E617" s="43" t="str">
        <f t="shared" si="25"/>
        <v>Еще фото</v>
      </c>
      <c r="F617" s="14"/>
      <c r="G617" s="24" t="s">
        <v>237</v>
      </c>
      <c r="H617" s="24" t="s">
        <v>27</v>
      </c>
      <c r="I617" s="24" t="s">
        <v>237</v>
      </c>
      <c r="J617" s="15" t="s">
        <v>37</v>
      </c>
      <c r="K617" s="16" t="s">
        <v>29</v>
      </c>
      <c r="L617" s="61"/>
      <c r="M617" s="15"/>
      <c r="N617" s="15" t="s">
        <v>130</v>
      </c>
      <c r="O617" s="15"/>
      <c r="P617" s="16" t="s">
        <v>837</v>
      </c>
      <c r="Q617" s="17">
        <v>13799</v>
      </c>
      <c r="R617" s="18">
        <v>45</v>
      </c>
      <c r="S617" s="19">
        <v>8727.8674999999985</v>
      </c>
      <c r="T617" s="20" t="s">
        <v>75</v>
      </c>
      <c r="U617" s="21" t="s">
        <v>50</v>
      </c>
      <c r="V617" s="22">
        <v>44</v>
      </c>
      <c r="W617" s="22">
        <v>14</v>
      </c>
      <c r="X617" s="23"/>
    </row>
    <row r="618" spans="1:24" s="1" customFormat="1" ht="11" customHeight="1" x14ac:dyDescent="0.3">
      <c r="A618" s="24" t="s">
        <v>23</v>
      </c>
      <c r="B618" s="24" t="s">
        <v>834</v>
      </c>
      <c r="C618" s="12" t="s">
        <v>835</v>
      </c>
      <c r="D618" s="58"/>
      <c r="E618" s="43" t="str">
        <f t="shared" si="25"/>
        <v>Еще фото</v>
      </c>
      <c r="F618" s="14"/>
      <c r="G618" s="24" t="s">
        <v>237</v>
      </c>
      <c r="H618" s="24" t="s">
        <v>27</v>
      </c>
      <c r="I618" s="24" t="s">
        <v>237</v>
      </c>
      <c r="J618" s="15" t="s">
        <v>37</v>
      </c>
      <c r="K618" s="16" t="s">
        <v>29</v>
      </c>
      <c r="L618" s="61"/>
      <c r="M618" s="15"/>
      <c r="N618" s="15" t="s">
        <v>130</v>
      </c>
      <c r="O618" s="15"/>
      <c r="P618" s="16" t="s">
        <v>837</v>
      </c>
      <c r="Q618" s="17">
        <v>13799</v>
      </c>
      <c r="R618" s="18">
        <v>45</v>
      </c>
      <c r="S618" s="19">
        <v>8727.8674999999985</v>
      </c>
      <c r="T618" s="20" t="s">
        <v>75</v>
      </c>
      <c r="U618" s="21" t="s">
        <v>51</v>
      </c>
      <c r="V618" s="22">
        <v>44</v>
      </c>
      <c r="W618" s="22">
        <v>4</v>
      </c>
      <c r="X618" s="23"/>
    </row>
    <row r="619" spans="1:24" s="1" customFormat="1" ht="11" customHeight="1" x14ac:dyDescent="0.3">
      <c r="A619" s="24" t="s">
        <v>23</v>
      </c>
      <c r="B619" s="24" t="s">
        <v>834</v>
      </c>
      <c r="C619" s="12" t="s">
        <v>835</v>
      </c>
      <c r="D619" s="58"/>
      <c r="E619" s="43" t="str">
        <f t="shared" si="25"/>
        <v>Еще фото</v>
      </c>
      <c r="F619" s="14"/>
      <c r="G619" s="24" t="s">
        <v>237</v>
      </c>
      <c r="H619" s="24" t="s">
        <v>27</v>
      </c>
      <c r="I619" s="24" t="s">
        <v>237</v>
      </c>
      <c r="J619" s="15" t="s">
        <v>37</v>
      </c>
      <c r="K619" s="16" t="s">
        <v>29</v>
      </c>
      <c r="L619" s="61"/>
      <c r="M619" s="15"/>
      <c r="N619" s="15" t="s">
        <v>130</v>
      </c>
      <c r="O619" s="15"/>
      <c r="P619" s="16" t="s">
        <v>837</v>
      </c>
      <c r="Q619" s="17">
        <v>13799</v>
      </c>
      <c r="R619" s="18">
        <v>45</v>
      </c>
      <c r="S619" s="19">
        <v>8727.8674999999985</v>
      </c>
      <c r="T619" s="20" t="s">
        <v>75</v>
      </c>
      <c r="U619" s="21" t="s">
        <v>230</v>
      </c>
      <c r="V619" s="22">
        <v>46</v>
      </c>
      <c r="W619" s="22">
        <v>20</v>
      </c>
      <c r="X619" s="23"/>
    </row>
    <row r="620" spans="1:24" s="1" customFormat="1" ht="11" customHeight="1" x14ac:dyDescent="0.3">
      <c r="A620" s="24" t="s">
        <v>23</v>
      </c>
      <c r="B620" s="24" t="s">
        <v>834</v>
      </c>
      <c r="C620" s="12" t="s">
        <v>835</v>
      </c>
      <c r="D620" s="58"/>
      <c r="E620" s="43" t="str">
        <f t="shared" si="25"/>
        <v>Еще фото</v>
      </c>
      <c r="F620" s="14"/>
      <c r="G620" s="24" t="s">
        <v>237</v>
      </c>
      <c r="H620" s="24" t="s">
        <v>27</v>
      </c>
      <c r="I620" s="24" t="s">
        <v>237</v>
      </c>
      <c r="J620" s="15" t="s">
        <v>37</v>
      </c>
      <c r="K620" s="16" t="s">
        <v>29</v>
      </c>
      <c r="L620" s="61"/>
      <c r="M620" s="15"/>
      <c r="N620" s="15" t="s">
        <v>130</v>
      </c>
      <c r="O620" s="15"/>
      <c r="P620" s="16" t="s">
        <v>837</v>
      </c>
      <c r="Q620" s="17">
        <v>13799</v>
      </c>
      <c r="R620" s="18">
        <v>45</v>
      </c>
      <c r="S620" s="19">
        <v>8727.8674999999985</v>
      </c>
      <c r="T620" s="20" t="s">
        <v>75</v>
      </c>
      <c r="U620" s="21" t="s">
        <v>173</v>
      </c>
      <c r="V620" s="22">
        <v>46</v>
      </c>
      <c r="W620" s="22">
        <v>6</v>
      </c>
      <c r="X620" s="23"/>
    </row>
    <row r="621" spans="1:24" s="1" customFormat="1" ht="11" customHeight="1" x14ac:dyDescent="0.3">
      <c r="A621" s="24" t="s">
        <v>23</v>
      </c>
      <c r="B621" s="24" t="s">
        <v>834</v>
      </c>
      <c r="C621" s="12" t="s">
        <v>835</v>
      </c>
      <c r="D621" s="58"/>
      <c r="E621" s="43" t="str">
        <f t="shared" si="25"/>
        <v>Еще фото</v>
      </c>
      <c r="F621" s="14"/>
      <c r="G621" s="24" t="s">
        <v>237</v>
      </c>
      <c r="H621" s="24" t="s">
        <v>27</v>
      </c>
      <c r="I621" s="24" t="s">
        <v>237</v>
      </c>
      <c r="J621" s="15" t="s">
        <v>37</v>
      </c>
      <c r="K621" s="16" t="s">
        <v>29</v>
      </c>
      <c r="L621" s="61"/>
      <c r="M621" s="15"/>
      <c r="N621" s="15" t="s">
        <v>130</v>
      </c>
      <c r="O621" s="15"/>
      <c r="P621" s="16" t="s">
        <v>837</v>
      </c>
      <c r="Q621" s="17">
        <v>13799</v>
      </c>
      <c r="R621" s="18">
        <v>45</v>
      </c>
      <c r="S621" s="19">
        <v>8727.8674999999985</v>
      </c>
      <c r="T621" s="20" t="s">
        <v>75</v>
      </c>
      <c r="U621" s="21" t="s">
        <v>52</v>
      </c>
      <c r="V621" s="22">
        <v>48</v>
      </c>
      <c r="W621" s="22">
        <v>16</v>
      </c>
      <c r="X621" s="23"/>
    </row>
    <row r="622" spans="1:24" s="1" customFormat="1" ht="11" customHeight="1" x14ac:dyDescent="0.3">
      <c r="A622" s="24" t="s">
        <v>23</v>
      </c>
      <c r="B622" s="24" t="s">
        <v>834</v>
      </c>
      <c r="C622" s="12" t="s">
        <v>835</v>
      </c>
      <c r="D622" s="58"/>
      <c r="E622" s="43" t="str">
        <f t="shared" si="25"/>
        <v>Еще фото</v>
      </c>
      <c r="F622" s="14"/>
      <c r="G622" s="24" t="s">
        <v>237</v>
      </c>
      <c r="H622" s="24" t="s">
        <v>27</v>
      </c>
      <c r="I622" s="24" t="s">
        <v>237</v>
      </c>
      <c r="J622" s="15" t="s">
        <v>37</v>
      </c>
      <c r="K622" s="16" t="s">
        <v>29</v>
      </c>
      <c r="L622" s="61"/>
      <c r="M622" s="15"/>
      <c r="N622" s="15" t="s">
        <v>130</v>
      </c>
      <c r="O622" s="15"/>
      <c r="P622" s="16" t="s">
        <v>837</v>
      </c>
      <c r="Q622" s="17">
        <v>13799</v>
      </c>
      <c r="R622" s="18">
        <v>45</v>
      </c>
      <c r="S622" s="19">
        <v>8727.8674999999985</v>
      </c>
      <c r="T622" s="20" t="s">
        <v>75</v>
      </c>
      <c r="U622" s="21" t="s">
        <v>53</v>
      </c>
      <c r="V622" s="22">
        <v>48</v>
      </c>
      <c r="W622" s="22">
        <v>6</v>
      </c>
      <c r="X622" s="23"/>
    </row>
    <row r="623" spans="1:24" s="1" customFormat="1" ht="11" customHeight="1" x14ac:dyDescent="0.3">
      <c r="A623" s="15" t="s">
        <v>23</v>
      </c>
      <c r="B623" s="15" t="s">
        <v>834</v>
      </c>
      <c r="C623" s="12" t="s">
        <v>835</v>
      </c>
      <c r="D623" s="58"/>
      <c r="E623" s="43" t="str">
        <f t="shared" si="25"/>
        <v>Еще фото</v>
      </c>
      <c r="F623" s="26"/>
      <c r="G623" s="15" t="s">
        <v>237</v>
      </c>
      <c r="H623" s="15" t="s">
        <v>27</v>
      </c>
      <c r="I623" s="15" t="s">
        <v>237</v>
      </c>
      <c r="J623" s="15" t="s">
        <v>37</v>
      </c>
      <c r="K623" s="15" t="s">
        <v>29</v>
      </c>
      <c r="L623" s="61"/>
      <c r="M623" s="15"/>
      <c r="N623" s="15" t="s">
        <v>130</v>
      </c>
      <c r="O623" s="15"/>
      <c r="P623" s="15" t="s">
        <v>837</v>
      </c>
      <c r="Q623" s="27">
        <v>13799</v>
      </c>
      <c r="R623" s="28">
        <v>45</v>
      </c>
      <c r="S623" s="29">
        <v>8727.8674999999985</v>
      </c>
      <c r="T623" s="20" t="s">
        <v>75</v>
      </c>
      <c r="U623" s="21" t="s">
        <v>188</v>
      </c>
      <c r="V623" s="25" t="s">
        <v>96</v>
      </c>
      <c r="W623" s="22">
        <v>14</v>
      </c>
      <c r="X623" s="23"/>
    </row>
    <row r="624" spans="1:24" s="1" customFormat="1" ht="11" customHeight="1" x14ac:dyDescent="0.3">
      <c r="A624" s="15" t="s">
        <v>23</v>
      </c>
      <c r="B624" s="15" t="s">
        <v>834</v>
      </c>
      <c r="C624" s="12" t="s">
        <v>835</v>
      </c>
      <c r="D624" s="58"/>
      <c r="E624" s="43" t="str">
        <f t="shared" si="25"/>
        <v>Еще фото</v>
      </c>
      <c r="F624" s="26"/>
      <c r="G624" s="15" t="s">
        <v>237</v>
      </c>
      <c r="H624" s="15" t="s">
        <v>27</v>
      </c>
      <c r="I624" s="15" t="s">
        <v>237</v>
      </c>
      <c r="J624" s="15" t="s">
        <v>37</v>
      </c>
      <c r="K624" s="15" t="s">
        <v>29</v>
      </c>
      <c r="L624" s="61"/>
      <c r="M624" s="15"/>
      <c r="N624" s="15" t="s">
        <v>130</v>
      </c>
      <c r="O624" s="15"/>
      <c r="P624" s="15" t="s">
        <v>837</v>
      </c>
      <c r="Q624" s="27">
        <v>13799</v>
      </c>
      <c r="R624" s="28">
        <v>45</v>
      </c>
      <c r="S624" s="29">
        <v>8727.8674999999985</v>
      </c>
      <c r="T624" s="20" t="s">
        <v>75</v>
      </c>
      <c r="U624" s="21" t="s">
        <v>109</v>
      </c>
      <c r="V624" s="25" t="s">
        <v>96</v>
      </c>
      <c r="W624" s="22">
        <v>6</v>
      </c>
      <c r="X624" s="23"/>
    </row>
    <row r="625" spans="1:24" s="1" customFormat="1" ht="11" customHeight="1" x14ac:dyDescent="0.3">
      <c r="A625" s="15" t="s">
        <v>23</v>
      </c>
      <c r="B625" s="15" t="s">
        <v>834</v>
      </c>
      <c r="C625" s="12" t="s">
        <v>835</v>
      </c>
      <c r="D625" s="58"/>
      <c r="E625" s="43" t="str">
        <f t="shared" si="25"/>
        <v>Еще фото</v>
      </c>
      <c r="F625" s="26"/>
      <c r="G625" s="15" t="s">
        <v>237</v>
      </c>
      <c r="H625" s="15" t="s">
        <v>27</v>
      </c>
      <c r="I625" s="15" t="s">
        <v>237</v>
      </c>
      <c r="J625" s="15" t="s">
        <v>37</v>
      </c>
      <c r="K625" s="15" t="s">
        <v>29</v>
      </c>
      <c r="L625" s="61"/>
      <c r="M625" s="15"/>
      <c r="N625" s="15" t="s">
        <v>130</v>
      </c>
      <c r="O625" s="15"/>
      <c r="P625" s="15" t="s">
        <v>837</v>
      </c>
      <c r="Q625" s="27">
        <v>13799</v>
      </c>
      <c r="R625" s="28">
        <v>45</v>
      </c>
      <c r="S625" s="29">
        <v>8727.8674999999985</v>
      </c>
      <c r="T625" s="20" t="s">
        <v>75</v>
      </c>
      <c r="U625" s="21" t="s">
        <v>95</v>
      </c>
      <c r="V625" s="22">
        <v>50</v>
      </c>
      <c r="W625" s="22">
        <v>14</v>
      </c>
      <c r="X625" s="23"/>
    </row>
    <row r="626" spans="1:24" s="1" customFormat="1" ht="11" customHeight="1" x14ac:dyDescent="0.3">
      <c r="A626" s="15" t="s">
        <v>23</v>
      </c>
      <c r="B626" s="15" t="s">
        <v>834</v>
      </c>
      <c r="C626" s="12" t="s">
        <v>835</v>
      </c>
      <c r="D626" s="59"/>
      <c r="E626" s="43" t="str">
        <f t="shared" si="25"/>
        <v>Еще фото</v>
      </c>
      <c r="F626" s="26"/>
      <c r="G626" s="15" t="s">
        <v>237</v>
      </c>
      <c r="H626" s="15" t="s">
        <v>27</v>
      </c>
      <c r="I626" s="15" t="s">
        <v>237</v>
      </c>
      <c r="J626" s="15" t="s">
        <v>37</v>
      </c>
      <c r="K626" s="15" t="s">
        <v>29</v>
      </c>
      <c r="L626" s="62"/>
      <c r="M626" s="15"/>
      <c r="N626" s="15" t="s">
        <v>130</v>
      </c>
      <c r="O626" s="15"/>
      <c r="P626" s="15" t="s">
        <v>837</v>
      </c>
      <c r="Q626" s="27">
        <v>13799</v>
      </c>
      <c r="R626" s="28">
        <v>45</v>
      </c>
      <c r="S626" s="29">
        <v>8727.8674999999985</v>
      </c>
      <c r="T626" s="20" t="s">
        <v>75</v>
      </c>
      <c r="U626" s="21" t="s">
        <v>165</v>
      </c>
      <c r="V626" s="22">
        <v>50</v>
      </c>
      <c r="W626" s="22">
        <v>6</v>
      </c>
      <c r="X626" s="23"/>
    </row>
    <row r="627" spans="1:24" s="1" customFormat="1" ht="11" customHeight="1" x14ac:dyDescent="0.3">
      <c r="A627" s="11" t="s">
        <v>23</v>
      </c>
      <c r="B627" s="11" t="s">
        <v>834</v>
      </c>
      <c r="C627" s="12" t="s">
        <v>838</v>
      </c>
      <c r="D627" s="57"/>
      <c r="E627" s="43" t="str">
        <f t="shared" ref="E627:E639" si="26">HYPERLINK("https://www.google.ru/search?q=001PZ-0004&amp;newwindow=1&amp;tbm=isch","Еще фото")</f>
        <v>Еще фото</v>
      </c>
      <c r="F627" s="14" t="s">
        <v>182</v>
      </c>
      <c r="G627" s="11" t="s">
        <v>237</v>
      </c>
      <c r="H627" s="11" t="s">
        <v>27</v>
      </c>
      <c r="I627" s="15" t="s">
        <v>237</v>
      </c>
      <c r="J627" s="15" t="s">
        <v>37</v>
      </c>
      <c r="K627" s="16" t="s">
        <v>29</v>
      </c>
      <c r="L627" s="60" t="s">
        <v>836</v>
      </c>
      <c r="M627" s="15"/>
      <c r="N627" s="15" t="s">
        <v>130</v>
      </c>
      <c r="O627" s="15"/>
      <c r="P627" s="16" t="s">
        <v>837</v>
      </c>
      <c r="Q627" s="17">
        <v>9899</v>
      </c>
      <c r="R627" s="18">
        <v>45</v>
      </c>
      <c r="S627" s="19">
        <v>6261.1174999999994</v>
      </c>
      <c r="T627" s="20" t="s">
        <v>75</v>
      </c>
      <c r="U627" s="21" t="s">
        <v>46</v>
      </c>
      <c r="V627" s="22">
        <v>42</v>
      </c>
      <c r="W627" s="22">
        <v>6</v>
      </c>
      <c r="X627" s="23"/>
    </row>
    <row r="628" spans="1:24" s="1" customFormat="1" ht="11" customHeight="1" x14ac:dyDescent="0.3">
      <c r="A628" s="24" t="s">
        <v>23</v>
      </c>
      <c r="B628" s="24" t="s">
        <v>834</v>
      </c>
      <c r="C628" s="12" t="s">
        <v>838</v>
      </c>
      <c r="D628" s="58"/>
      <c r="E628" s="43" t="str">
        <f t="shared" si="26"/>
        <v>Еще фото</v>
      </c>
      <c r="F628" s="14" t="s">
        <v>182</v>
      </c>
      <c r="G628" s="24" t="s">
        <v>237</v>
      </c>
      <c r="H628" s="24" t="s">
        <v>27</v>
      </c>
      <c r="I628" s="24" t="s">
        <v>237</v>
      </c>
      <c r="J628" s="15" t="s">
        <v>37</v>
      </c>
      <c r="K628" s="16" t="s">
        <v>29</v>
      </c>
      <c r="L628" s="61"/>
      <c r="M628" s="15"/>
      <c r="N628" s="15" t="s">
        <v>130</v>
      </c>
      <c r="O628" s="15"/>
      <c r="P628" s="16" t="s">
        <v>837</v>
      </c>
      <c r="Q628" s="17">
        <v>9899</v>
      </c>
      <c r="R628" s="18">
        <v>45</v>
      </c>
      <c r="S628" s="19">
        <v>6261.1174999999994</v>
      </c>
      <c r="T628" s="20" t="s">
        <v>75</v>
      </c>
      <c r="U628" s="21" t="s">
        <v>158</v>
      </c>
      <c r="V628" s="22">
        <v>42</v>
      </c>
      <c r="W628" s="22">
        <v>6</v>
      </c>
      <c r="X628" s="23"/>
    </row>
    <row r="629" spans="1:24" s="1" customFormat="1" ht="11" customHeight="1" x14ac:dyDescent="0.3">
      <c r="A629" s="24" t="s">
        <v>23</v>
      </c>
      <c r="B629" s="24" t="s">
        <v>834</v>
      </c>
      <c r="C629" s="12" t="s">
        <v>838</v>
      </c>
      <c r="D629" s="58"/>
      <c r="E629" s="43" t="str">
        <f t="shared" si="26"/>
        <v>Еще фото</v>
      </c>
      <c r="F629" s="14" t="s">
        <v>182</v>
      </c>
      <c r="G629" s="24" t="s">
        <v>237</v>
      </c>
      <c r="H629" s="24" t="s">
        <v>27</v>
      </c>
      <c r="I629" s="24" t="s">
        <v>237</v>
      </c>
      <c r="J629" s="15" t="s">
        <v>37</v>
      </c>
      <c r="K629" s="16" t="s">
        <v>29</v>
      </c>
      <c r="L629" s="61"/>
      <c r="M629" s="15"/>
      <c r="N629" s="15" t="s">
        <v>130</v>
      </c>
      <c r="O629" s="15"/>
      <c r="P629" s="16" t="s">
        <v>837</v>
      </c>
      <c r="Q629" s="17">
        <v>9899</v>
      </c>
      <c r="R629" s="18">
        <v>45</v>
      </c>
      <c r="S629" s="19">
        <v>6261.1174999999994</v>
      </c>
      <c r="T629" s="20" t="s">
        <v>75</v>
      </c>
      <c r="U629" s="21" t="s">
        <v>47</v>
      </c>
      <c r="V629" s="25" t="s">
        <v>48</v>
      </c>
      <c r="W629" s="22">
        <v>12</v>
      </c>
      <c r="X629" s="23"/>
    </row>
    <row r="630" spans="1:24" s="1" customFormat="1" ht="11" customHeight="1" x14ac:dyDescent="0.3">
      <c r="A630" s="24" t="s">
        <v>23</v>
      </c>
      <c r="B630" s="24" t="s">
        <v>834</v>
      </c>
      <c r="C630" s="12" t="s">
        <v>838</v>
      </c>
      <c r="D630" s="58"/>
      <c r="E630" s="43" t="str">
        <f t="shared" si="26"/>
        <v>Еще фото</v>
      </c>
      <c r="F630" s="14" t="s">
        <v>182</v>
      </c>
      <c r="G630" s="24" t="s">
        <v>237</v>
      </c>
      <c r="H630" s="24" t="s">
        <v>27</v>
      </c>
      <c r="I630" s="24" t="s">
        <v>237</v>
      </c>
      <c r="J630" s="15" t="s">
        <v>37</v>
      </c>
      <c r="K630" s="16" t="s">
        <v>29</v>
      </c>
      <c r="L630" s="61"/>
      <c r="M630" s="15"/>
      <c r="N630" s="15" t="s">
        <v>130</v>
      </c>
      <c r="O630" s="15"/>
      <c r="P630" s="16" t="s">
        <v>837</v>
      </c>
      <c r="Q630" s="17">
        <v>9899</v>
      </c>
      <c r="R630" s="18">
        <v>45</v>
      </c>
      <c r="S630" s="19">
        <v>6261.1174999999994</v>
      </c>
      <c r="T630" s="20" t="s">
        <v>75</v>
      </c>
      <c r="U630" s="21" t="s">
        <v>50</v>
      </c>
      <c r="V630" s="22">
        <v>44</v>
      </c>
      <c r="W630" s="22">
        <v>14</v>
      </c>
      <c r="X630" s="23"/>
    </row>
    <row r="631" spans="1:24" s="1" customFormat="1" ht="11" customHeight="1" x14ac:dyDescent="0.3">
      <c r="A631" s="24" t="s">
        <v>23</v>
      </c>
      <c r="B631" s="24" t="s">
        <v>834</v>
      </c>
      <c r="C631" s="12" t="s">
        <v>838</v>
      </c>
      <c r="D631" s="58"/>
      <c r="E631" s="43" t="str">
        <f t="shared" si="26"/>
        <v>Еще фото</v>
      </c>
      <c r="F631" s="14" t="s">
        <v>182</v>
      </c>
      <c r="G631" s="24" t="s">
        <v>237</v>
      </c>
      <c r="H631" s="24" t="s">
        <v>27</v>
      </c>
      <c r="I631" s="24" t="s">
        <v>237</v>
      </c>
      <c r="J631" s="15" t="s">
        <v>37</v>
      </c>
      <c r="K631" s="16" t="s">
        <v>29</v>
      </c>
      <c r="L631" s="61"/>
      <c r="M631" s="15"/>
      <c r="N631" s="15" t="s">
        <v>130</v>
      </c>
      <c r="O631" s="15"/>
      <c r="P631" s="16" t="s">
        <v>837</v>
      </c>
      <c r="Q631" s="17">
        <v>9899</v>
      </c>
      <c r="R631" s="18">
        <v>45</v>
      </c>
      <c r="S631" s="19">
        <v>6261.1174999999994</v>
      </c>
      <c r="T631" s="20" t="s">
        <v>75</v>
      </c>
      <c r="U631" s="21" t="s">
        <v>51</v>
      </c>
      <c r="V631" s="22">
        <v>44</v>
      </c>
      <c r="W631" s="22">
        <v>6</v>
      </c>
      <c r="X631" s="23"/>
    </row>
    <row r="632" spans="1:24" s="1" customFormat="1" ht="11" customHeight="1" x14ac:dyDescent="0.3">
      <c r="A632" s="24" t="s">
        <v>23</v>
      </c>
      <c r="B632" s="24" t="s">
        <v>834</v>
      </c>
      <c r="C632" s="12" t="s">
        <v>838</v>
      </c>
      <c r="D632" s="58"/>
      <c r="E632" s="43" t="str">
        <f t="shared" si="26"/>
        <v>Еще фото</v>
      </c>
      <c r="F632" s="14" t="s">
        <v>182</v>
      </c>
      <c r="G632" s="24" t="s">
        <v>237</v>
      </c>
      <c r="H632" s="24" t="s">
        <v>27</v>
      </c>
      <c r="I632" s="24" t="s">
        <v>237</v>
      </c>
      <c r="J632" s="15" t="s">
        <v>37</v>
      </c>
      <c r="K632" s="16" t="s">
        <v>29</v>
      </c>
      <c r="L632" s="61"/>
      <c r="M632" s="15"/>
      <c r="N632" s="15" t="s">
        <v>130</v>
      </c>
      <c r="O632" s="15"/>
      <c r="P632" s="16" t="s">
        <v>837</v>
      </c>
      <c r="Q632" s="17">
        <v>9899</v>
      </c>
      <c r="R632" s="18">
        <v>45</v>
      </c>
      <c r="S632" s="19">
        <v>6261.1174999999994</v>
      </c>
      <c r="T632" s="20" t="s">
        <v>75</v>
      </c>
      <c r="U632" s="21" t="s">
        <v>230</v>
      </c>
      <c r="V632" s="22">
        <v>46</v>
      </c>
      <c r="W632" s="22">
        <v>20</v>
      </c>
      <c r="X632" s="23"/>
    </row>
    <row r="633" spans="1:24" s="1" customFormat="1" ht="11" customHeight="1" x14ac:dyDescent="0.3">
      <c r="A633" s="24" t="s">
        <v>23</v>
      </c>
      <c r="B633" s="24" t="s">
        <v>834</v>
      </c>
      <c r="C633" s="12" t="s">
        <v>838</v>
      </c>
      <c r="D633" s="58"/>
      <c r="E633" s="43" t="str">
        <f t="shared" si="26"/>
        <v>Еще фото</v>
      </c>
      <c r="F633" s="14" t="s">
        <v>182</v>
      </c>
      <c r="G633" s="24" t="s">
        <v>237</v>
      </c>
      <c r="H633" s="24" t="s">
        <v>27</v>
      </c>
      <c r="I633" s="24" t="s">
        <v>237</v>
      </c>
      <c r="J633" s="15" t="s">
        <v>37</v>
      </c>
      <c r="K633" s="16" t="s">
        <v>29</v>
      </c>
      <c r="L633" s="61"/>
      <c r="M633" s="15"/>
      <c r="N633" s="15" t="s">
        <v>130</v>
      </c>
      <c r="O633" s="15"/>
      <c r="P633" s="16" t="s">
        <v>837</v>
      </c>
      <c r="Q633" s="17">
        <v>9899</v>
      </c>
      <c r="R633" s="18">
        <v>45</v>
      </c>
      <c r="S633" s="19">
        <v>6261.1174999999994</v>
      </c>
      <c r="T633" s="20" t="s">
        <v>75</v>
      </c>
      <c r="U633" s="21" t="s">
        <v>173</v>
      </c>
      <c r="V633" s="22">
        <v>46</v>
      </c>
      <c r="W633" s="22">
        <v>6</v>
      </c>
      <c r="X633" s="23"/>
    </row>
    <row r="634" spans="1:24" s="1" customFormat="1" ht="11" customHeight="1" x14ac:dyDescent="0.3">
      <c r="A634" s="24" t="s">
        <v>23</v>
      </c>
      <c r="B634" s="24" t="s">
        <v>834</v>
      </c>
      <c r="C634" s="12" t="s">
        <v>838</v>
      </c>
      <c r="D634" s="58"/>
      <c r="E634" s="43" t="str">
        <f t="shared" si="26"/>
        <v>Еще фото</v>
      </c>
      <c r="F634" s="14" t="s">
        <v>182</v>
      </c>
      <c r="G634" s="24" t="s">
        <v>237</v>
      </c>
      <c r="H634" s="24" t="s">
        <v>27</v>
      </c>
      <c r="I634" s="24" t="s">
        <v>237</v>
      </c>
      <c r="J634" s="15" t="s">
        <v>37</v>
      </c>
      <c r="K634" s="16" t="s">
        <v>29</v>
      </c>
      <c r="L634" s="61"/>
      <c r="M634" s="15"/>
      <c r="N634" s="15" t="s">
        <v>130</v>
      </c>
      <c r="O634" s="15"/>
      <c r="P634" s="16" t="s">
        <v>837</v>
      </c>
      <c r="Q634" s="17">
        <v>9899</v>
      </c>
      <c r="R634" s="18">
        <v>45</v>
      </c>
      <c r="S634" s="19">
        <v>6261.1174999999994</v>
      </c>
      <c r="T634" s="20" t="s">
        <v>75</v>
      </c>
      <c r="U634" s="21" t="s">
        <v>52</v>
      </c>
      <c r="V634" s="22">
        <v>48</v>
      </c>
      <c r="W634" s="22">
        <v>16</v>
      </c>
      <c r="X634" s="23"/>
    </row>
    <row r="635" spans="1:24" s="1" customFormat="1" ht="11" customHeight="1" x14ac:dyDescent="0.3">
      <c r="A635" s="24" t="s">
        <v>23</v>
      </c>
      <c r="B635" s="24" t="s">
        <v>834</v>
      </c>
      <c r="C635" s="12" t="s">
        <v>838</v>
      </c>
      <c r="D635" s="58"/>
      <c r="E635" s="43" t="str">
        <f t="shared" si="26"/>
        <v>Еще фото</v>
      </c>
      <c r="F635" s="14" t="s">
        <v>182</v>
      </c>
      <c r="G635" s="24" t="s">
        <v>237</v>
      </c>
      <c r="H635" s="24" t="s">
        <v>27</v>
      </c>
      <c r="I635" s="24" t="s">
        <v>237</v>
      </c>
      <c r="J635" s="15" t="s">
        <v>37</v>
      </c>
      <c r="K635" s="16" t="s">
        <v>29</v>
      </c>
      <c r="L635" s="61"/>
      <c r="M635" s="15"/>
      <c r="N635" s="15" t="s">
        <v>130</v>
      </c>
      <c r="O635" s="15"/>
      <c r="P635" s="16" t="s">
        <v>837</v>
      </c>
      <c r="Q635" s="17">
        <v>9899</v>
      </c>
      <c r="R635" s="18">
        <v>45</v>
      </c>
      <c r="S635" s="19">
        <v>6261.1174999999994</v>
      </c>
      <c r="T635" s="20" t="s">
        <v>75</v>
      </c>
      <c r="U635" s="21" t="s">
        <v>53</v>
      </c>
      <c r="V635" s="22">
        <v>48</v>
      </c>
      <c r="W635" s="22">
        <v>6</v>
      </c>
      <c r="X635" s="23"/>
    </row>
    <row r="636" spans="1:24" s="1" customFormat="1" ht="11" customHeight="1" x14ac:dyDescent="0.3">
      <c r="A636" s="15" t="s">
        <v>23</v>
      </c>
      <c r="B636" s="15" t="s">
        <v>834</v>
      </c>
      <c r="C636" s="12" t="s">
        <v>838</v>
      </c>
      <c r="D636" s="58"/>
      <c r="E636" s="43" t="str">
        <f t="shared" si="26"/>
        <v>Еще фото</v>
      </c>
      <c r="F636" s="26" t="s">
        <v>182</v>
      </c>
      <c r="G636" s="15" t="s">
        <v>237</v>
      </c>
      <c r="H636" s="15" t="s">
        <v>27</v>
      </c>
      <c r="I636" s="15" t="s">
        <v>237</v>
      </c>
      <c r="J636" s="15" t="s">
        <v>37</v>
      </c>
      <c r="K636" s="15" t="s">
        <v>29</v>
      </c>
      <c r="L636" s="61"/>
      <c r="M636" s="15"/>
      <c r="N636" s="15" t="s">
        <v>130</v>
      </c>
      <c r="O636" s="15"/>
      <c r="P636" s="15" t="s">
        <v>837</v>
      </c>
      <c r="Q636" s="27">
        <v>9899</v>
      </c>
      <c r="R636" s="28">
        <v>45</v>
      </c>
      <c r="S636" s="29">
        <v>6261.1174999999994</v>
      </c>
      <c r="T636" s="20" t="s">
        <v>75</v>
      </c>
      <c r="U636" s="21" t="s">
        <v>188</v>
      </c>
      <c r="V636" s="25" t="s">
        <v>96</v>
      </c>
      <c r="W636" s="22">
        <v>14</v>
      </c>
      <c r="X636" s="23"/>
    </row>
    <row r="637" spans="1:24" s="1" customFormat="1" ht="11" customHeight="1" x14ac:dyDescent="0.3">
      <c r="A637" s="15" t="s">
        <v>23</v>
      </c>
      <c r="B637" s="15" t="s">
        <v>834</v>
      </c>
      <c r="C637" s="12" t="s">
        <v>838</v>
      </c>
      <c r="D637" s="58"/>
      <c r="E637" s="43" t="str">
        <f t="shared" si="26"/>
        <v>Еще фото</v>
      </c>
      <c r="F637" s="26" t="s">
        <v>182</v>
      </c>
      <c r="G637" s="15" t="s">
        <v>237</v>
      </c>
      <c r="H637" s="15" t="s">
        <v>27</v>
      </c>
      <c r="I637" s="15" t="s">
        <v>237</v>
      </c>
      <c r="J637" s="15" t="s">
        <v>37</v>
      </c>
      <c r="K637" s="15" t="s">
        <v>29</v>
      </c>
      <c r="L637" s="61"/>
      <c r="M637" s="15"/>
      <c r="N637" s="15" t="s">
        <v>130</v>
      </c>
      <c r="O637" s="15"/>
      <c r="P637" s="15" t="s">
        <v>837</v>
      </c>
      <c r="Q637" s="27">
        <v>9899</v>
      </c>
      <c r="R637" s="28">
        <v>45</v>
      </c>
      <c r="S637" s="29">
        <v>6261.1174999999994</v>
      </c>
      <c r="T637" s="20" t="s">
        <v>75</v>
      </c>
      <c r="U637" s="21" t="s">
        <v>109</v>
      </c>
      <c r="V637" s="25" t="s">
        <v>96</v>
      </c>
      <c r="W637" s="22">
        <v>6</v>
      </c>
      <c r="X637" s="23"/>
    </row>
    <row r="638" spans="1:24" s="1" customFormat="1" ht="11" customHeight="1" x14ac:dyDescent="0.3">
      <c r="A638" s="15" t="s">
        <v>23</v>
      </c>
      <c r="B638" s="15" t="s">
        <v>834</v>
      </c>
      <c r="C638" s="12" t="s">
        <v>838</v>
      </c>
      <c r="D638" s="58"/>
      <c r="E638" s="43" t="str">
        <f t="shared" si="26"/>
        <v>Еще фото</v>
      </c>
      <c r="F638" s="26" t="s">
        <v>182</v>
      </c>
      <c r="G638" s="15" t="s">
        <v>237</v>
      </c>
      <c r="H638" s="15" t="s">
        <v>27</v>
      </c>
      <c r="I638" s="15" t="s">
        <v>237</v>
      </c>
      <c r="J638" s="15" t="s">
        <v>37</v>
      </c>
      <c r="K638" s="15" t="s">
        <v>29</v>
      </c>
      <c r="L638" s="61"/>
      <c r="M638" s="15"/>
      <c r="N638" s="15" t="s">
        <v>130</v>
      </c>
      <c r="O638" s="15"/>
      <c r="P638" s="15" t="s">
        <v>837</v>
      </c>
      <c r="Q638" s="27">
        <v>9899</v>
      </c>
      <c r="R638" s="28">
        <v>45</v>
      </c>
      <c r="S638" s="29">
        <v>6261.1174999999994</v>
      </c>
      <c r="T638" s="20" t="s">
        <v>75</v>
      </c>
      <c r="U638" s="21" t="s">
        <v>95</v>
      </c>
      <c r="V638" s="22">
        <v>50</v>
      </c>
      <c r="W638" s="22">
        <v>14</v>
      </c>
      <c r="X638" s="23"/>
    </row>
    <row r="639" spans="1:24" s="1" customFormat="1" ht="11" customHeight="1" x14ac:dyDescent="0.3">
      <c r="A639" s="15" t="s">
        <v>23</v>
      </c>
      <c r="B639" s="15" t="s">
        <v>834</v>
      </c>
      <c r="C639" s="12" t="s">
        <v>838</v>
      </c>
      <c r="D639" s="59"/>
      <c r="E639" s="43" t="str">
        <f t="shared" si="26"/>
        <v>Еще фото</v>
      </c>
      <c r="F639" s="26" t="s">
        <v>182</v>
      </c>
      <c r="G639" s="15" t="s">
        <v>237</v>
      </c>
      <c r="H639" s="15" t="s">
        <v>27</v>
      </c>
      <c r="I639" s="15" t="s">
        <v>237</v>
      </c>
      <c r="J639" s="15" t="s">
        <v>37</v>
      </c>
      <c r="K639" s="15" t="s">
        <v>29</v>
      </c>
      <c r="L639" s="62"/>
      <c r="M639" s="15"/>
      <c r="N639" s="15" t="s">
        <v>130</v>
      </c>
      <c r="O639" s="15"/>
      <c r="P639" s="15" t="s">
        <v>837</v>
      </c>
      <c r="Q639" s="27">
        <v>9899</v>
      </c>
      <c r="R639" s="28">
        <v>45</v>
      </c>
      <c r="S639" s="29">
        <v>6261.1174999999994</v>
      </c>
      <c r="T639" s="20" t="s">
        <v>75</v>
      </c>
      <c r="U639" s="21" t="s">
        <v>165</v>
      </c>
      <c r="V639" s="22">
        <v>50</v>
      </c>
      <c r="W639" s="22">
        <v>6</v>
      </c>
      <c r="X639" s="23"/>
    </row>
    <row r="640" spans="1:24" s="1" customFormat="1" ht="11" customHeight="1" x14ac:dyDescent="0.3">
      <c r="A640" s="11" t="s">
        <v>23</v>
      </c>
      <c r="B640" s="11" t="s">
        <v>834</v>
      </c>
      <c r="C640" s="12" t="s">
        <v>839</v>
      </c>
      <c r="D640" s="57"/>
      <c r="E640" s="43" t="str">
        <f t="shared" ref="E640:E651" si="27">HYPERLINK("https://www.google.ru/search?q=001PZ-0005&amp;newwindow=1&amp;tbm=isch","Еще фото")</f>
        <v>Еще фото</v>
      </c>
      <c r="F640" s="14"/>
      <c r="G640" s="11" t="s">
        <v>237</v>
      </c>
      <c r="H640" s="11" t="s">
        <v>27</v>
      </c>
      <c r="I640" s="15" t="s">
        <v>237</v>
      </c>
      <c r="J640" s="15" t="s">
        <v>37</v>
      </c>
      <c r="K640" s="16" t="s">
        <v>29</v>
      </c>
      <c r="L640" s="60" t="s">
        <v>836</v>
      </c>
      <c r="M640" s="15"/>
      <c r="N640" s="15" t="s">
        <v>39</v>
      </c>
      <c r="O640" s="15"/>
      <c r="P640" s="16" t="s">
        <v>707</v>
      </c>
      <c r="Q640" s="17">
        <v>14399</v>
      </c>
      <c r="R640" s="18">
        <v>45</v>
      </c>
      <c r="S640" s="19">
        <v>9107.3674999999985</v>
      </c>
      <c r="T640" s="20" t="s">
        <v>75</v>
      </c>
      <c r="U640" s="21" t="s">
        <v>46</v>
      </c>
      <c r="V640" s="22">
        <v>42</v>
      </c>
      <c r="W640" s="22">
        <v>6</v>
      </c>
      <c r="X640" s="23"/>
    </row>
    <row r="641" spans="1:24" s="1" customFormat="1" ht="11" customHeight="1" x14ac:dyDescent="0.3">
      <c r="A641" s="24" t="s">
        <v>23</v>
      </c>
      <c r="B641" s="24" t="s">
        <v>834</v>
      </c>
      <c r="C641" s="12" t="s">
        <v>839</v>
      </c>
      <c r="D641" s="58"/>
      <c r="E641" s="43" t="str">
        <f t="shared" si="27"/>
        <v>Еще фото</v>
      </c>
      <c r="F641" s="14"/>
      <c r="G641" s="24" t="s">
        <v>237</v>
      </c>
      <c r="H641" s="24" t="s">
        <v>27</v>
      </c>
      <c r="I641" s="24" t="s">
        <v>237</v>
      </c>
      <c r="J641" s="15" t="s">
        <v>37</v>
      </c>
      <c r="K641" s="16" t="s">
        <v>29</v>
      </c>
      <c r="L641" s="61"/>
      <c r="M641" s="15"/>
      <c r="N641" s="15" t="s">
        <v>39</v>
      </c>
      <c r="O641" s="15"/>
      <c r="P641" s="16" t="s">
        <v>707</v>
      </c>
      <c r="Q641" s="17">
        <v>14399</v>
      </c>
      <c r="R641" s="18">
        <v>45</v>
      </c>
      <c r="S641" s="19">
        <v>9107.3674999999985</v>
      </c>
      <c r="T641" s="20" t="s">
        <v>75</v>
      </c>
      <c r="U641" s="21" t="s">
        <v>47</v>
      </c>
      <c r="V641" s="25" t="s">
        <v>48</v>
      </c>
      <c r="W641" s="22">
        <v>12</v>
      </c>
      <c r="X641" s="23"/>
    </row>
    <row r="642" spans="1:24" s="1" customFormat="1" ht="11" customHeight="1" x14ac:dyDescent="0.3">
      <c r="A642" s="24" t="s">
        <v>23</v>
      </c>
      <c r="B642" s="24" t="s">
        <v>834</v>
      </c>
      <c r="C642" s="12" t="s">
        <v>839</v>
      </c>
      <c r="D642" s="58"/>
      <c r="E642" s="43" t="str">
        <f t="shared" si="27"/>
        <v>Еще фото</v>
      </c>
      <c r="F642" s="14"/>
      <c r="G642" s="24" t="s">
        <v>237</v>
      </c>
      <c r="H642" s="24" t="s">
        <v>27</v>
      </c>
      <c r="I642" s="24" t="s">
        <v>237</v>
      </c>
      <c r="J642" s="15" t="s">
        <v>37</v>
      </c>
      <c r="K642" s="16" t="s">
        <v>29</v>
      </c>
      <c r="L642" s="61"/>
      <c r="M642" s="15"/>
      <c r="N642" s="15" t="s">
        <v>39</v>
      </c>
      <c r="O642" s="15"/>
      <c r="P642" s="16" t="s">
        <v>707</v>
      </c>
      <c r="Q642" s="17">
        <v>14399</v>
      </c>
      <c r="R642" s="18">
        <v>45</v>
      </c>
      <c r="S642" s="19">
        <v>9107.3674999999985</v>
      </c>
      <c r="T642" s="20" t="s">
        <v>75</v>
      </c>
      <c r="U642" s="21" t="s">
        <v>50</v>
      </c>
      <c r="V642" s="22">
        <v>44</v>
      </c>
      <c r="W642" s="22">
        <v>14</v>
      </c>
      <c r="X642" s="23"/>
    </row>
    <row r="643" spans="1:24" s="1" customFormat="1" ht="11" customHeight="1" x14ac:dyDescent="0.3">
      <c r="A643" s="24" t="s">
        <v>23</v>
      </c>
      <c r="B643" s="24" t="s">
        <v>834</v>
      </c>
      <c r="C643" s="12" t="s">
        <v>839</v>
      </c>
      <c r="D643" s="58"/>
      <c r="E643" s="43" t="str">
        <f t="shared" si="27"/>
        <v>Еще фото</v>
      </c>
      <c r="F643" s="14"/>
      <c r="G643" s="24" t="s">
        <v>237</v>
      </c>
      <c r="H643" s="24" t="s">
        <v>27</v>
      </c>
      <c r="I643" s="24" t="s">
        <v>237</v>
      </c>
      <c r="J643" s="15" t="s">
        <v>37</v>
      </c>
      <c r="K643" s="16" t="s">
        <v>29</v>
      </c>
      <c r="L643" s="61"/>
      <c r="M643" s="15"/>
      <c r="N643" s="15" t="s">
        <v>39</v>
      </c>
      <c r="O643" s="15"/>
      <c r="P643" s="16" t="s">
        <v>707</v>
      </c>
      <c r="Q643" s="17">
        <v>14399</v>
      </c>
      <c r="R643" s="18">
        <v>45</v>
      </c>
      <c r="S643" s="19">
        <v>9107.3674999999985</v>
      </c>
      <c r="T643" s="20" t="s">
        <v>75</v>
      </c>
      <c r="U643" s="21" t="s">
        <v>51</v>
      </c>
      <c r="V643" s="22">
        <v>44</v>
      </c>
      <c r="W643" s="22">
        <v>6</v>
      </c>
      <c r="X643" s="23"/>
    </row>
    <row r="644" spans="1:24" s="1" customFormat="1" ht="11" customHeight="1" x14ac:dyDescent="0.3">
      <c r="A644" s="24" t="s">
        <v>23</v>
      </c>
      <c r="B644" s="24" t="s">
        <v>834</v>
      </c>
      <c r="C644" s="12" t="s">
        <v>839</v>
      </c>
      <c r="D644" s="58"/>
      <c r="E644" s="43" t="str">
        <f t="shared" si="27"/>
        <v>Еще фото</v>
      </c>
      <c r="F644" s="14"/>
      <c r="G644" s="24" t="s">
        <v>237</v>
      </c>
      <c r="H644" s="24" t="s">
        <v>27</v>
      </c>
      <c r="I644" s="24" t="s">
        <v>237</v>
      </c>
      <c r="J644" s="15" t="s">
        <v>37</v>
      </c>
      <c r="K644" s="16" t="s">
        <v>29</v>
      </c>
      <c r="L644" s="61"/>
      <c r="M644" s="15"/>
      <c r="N644" s="15" t="s">
        <v>39</v>
      </c>
      <c r="O644" s="15"/>
      <c r="P644" s="16" t="s">
        <v>707</v>
      </c>
      <c r="Q644" s="17">
        <v>14399</v>
      </c>
      <c r="R644" s="18">
        <v>45</v>
      </c>
      <c r="S644" s="19">
        <v>9107.3674999999985</v>
      </c>
      <c r="T644" s="20" t="s">
        <v>75</v>
      </c>
      <c r="U644" s="21" t="s">
        <v>230</v>
      </c>
      <c r="V644" s="22">
        <v>46</v>
      </c>
      <c r="W644" s="22">
        <v>20</v>
      </c>
      <c r="X644" s="23"/>
    </row>
    <row r="645" spans="1:24" s="1" customFormat="1" ht="11" customHeight="1" x14ac:dyDescent="0.3">
      <c r="A645" s="24" t="s">
        <v>23</v>
      </c>
      <c r="B645" s="24" t="s">
        <v>834</v>
      </c>
      <c r="C645" s="12" t="s">
        <v>839</v>
      </c>
      <c r="D645" s="58"/>
      <c r="E645" s="43" t="str">
        <f t="shared" si="27"/>
        <v>Еще фото</v>
      </c>
      <c r="F645" s="14"/>
      <c r="G645" s="24" t="s">
        <v>237</v>
      </c>
      <c r="H645" s="24" t="s">
        <v>27</v>
      </c>
      <c r="I645" s="24" t="s">
        <v>237</v>
      </c>
      <c r="J645" s="15" t="s">
        <v>37</v>
      </c>
      <c r="K645" s="16" t="s">
        <v>29</v>
      </c>
      <c r="L645" s="61"/>
      <c r="M645" s="15"/>
      <c r="N645" s="15" t="s">
        <v>39</v>
      </c>
      <c r="O645" s="15"/>
      <c r="P645" s="16" t="s">
        <v>707</v>
      </c>
      <c r="Q645" s="17">
        <v>14399</v>
      </c>
      <c r="R645" s="18">
        <v>45</v>
      </c>
      <c r="S645" s="19">
        <v>9107.3674999999985</v>
      </c>
      <c r="T645" s="20" t="s">
        <v>75</v>
      </c>
      <c r="U645" s="21" t="s">
        <v>173</v>
      </c>
      <c r="V645" s="22">
        <v>46</v>
      </c>
      <c r="W645" s="22">
        <v>6</v>
      </c>
      <c r="X645" s="23"/>
    </row>
    <row r="646" spans="1:24" s="1" customFormat="1" ht="11" customHeight="1" x14ac:dyDescent="0.3">
      <c r="A646" s="24" t="s">
        <v>23</v>
      </c>
      <c r="B646" s="24" t="s">
        <v>834</v>
      </c>
      <c r="C646" s="12" t="s">
        <v>839</v>
      </c>
      <c r="D646" s="58"/>
      <c r="E646" s="43" t="str">
        <f t="shared" si="27"/>
        <v>Еще фото</v>
      </c>
      <c r="F646" s="14"/>
      <c r="G646" s="24" t="s">
        <v>237</v>
      </c>
      <c r="H646" s="24" t="s">
        <v>27</v>
      </c>
      <c r="I646" s="24" t="s">
        <v>237</v>
      </c>
      <c r="J646" s="15" t="s">
        <v>37</v>
      </c>
      <c r="K646" s="16" t="s">
        <v>29</v>
      </c>
      <c r="L646" s="61"/>
      <c r="M646" s="15"/>
      <c r="N646" s="15" t="s">
        <v>39</v>
      </c>
      <c r="O646" s="15"/>
      <c r="P646" s="16" t="s">
        <v>707</v>
      </c>
      <c r="Q646" s="17">
        <v>14399</v>
      </c>
      <c r="R646" s="18">
        <v>45</v>
      </c>
      <c r="S646" s="19">
        <v>9107.3674999999985</v>
      </c>
      <c r="T646" s="20" t="s">
        <v>75</v>
      </c>
      <c r="U646" s="21" t="s">
        <v>52</v>
      </c>
      <c r="V646" s="22">
        <v>48</v>
      </c>
      <c r="W646" s="22">
        <v>16</v>
      </c>
      <c r="X646" s="23"/>
    </row>
    <row r="647" spans="1:24" s="1" customFormat="1" ht="11" customHeight="1" x14ac:dyDescent="0.3">
      <c r="A647" s="24" t="s">
        <v>23</v>
      </c>
      <c r="B647" s="24" t="s">
        <v>834</v>
      </c>
      <c r="C647" s="12" t="s">
        <v>839</v>
      </c>
      <c r="D647" s="58"/>
      <c r="E647" s="43" t="str">
        <f t="shared" si="27"/>
        <v>Еще фото</v>
      </c>
      <c r="F647" s="14"/>
      <c r="G647" s="24" t="s">
        <v>237</v>
      </c>
      <c r="H647" s="24" t="s">
        <v>27</v>
      </c>
      <c r="I647" s="24" t="s">
        <v>237</v>
      </c>
      <c r="J647" s="15" t="s">
        <v>37</v>
      </c>
      <c r="K647" s="16" t="s">
        <v>29</v>
      </c>
      <c r="L647" s="61"/>
      <c r="M647" s="15"/>
      <c r="N647" s="15" t="s">
        <v>39</v>
      </c>
      <c r="O647" s="15"/>
      <c r="P647" s="16" t="s">
        <v>707</v>
      </c>
      <c r="Q647" s="17">
        <v>14399</v>
      </c>
      <c r="R647" s="18">
        <v>45</v>
      </c>
      <c r="S647" s="19">
        <v>9107.3674999999985</v>
      </c>
      <c r="T647" s="20" t="s">
        <v>75</v>
      </c>
      <c r="U647" s="21" t="s">
        <v>53</v>
      </c>
      <c r="V647" s="22">
        <v>48</v>
      </c>
      <c r="W647" s="22">
        <v>6</v>
      </c>
      <c r="X647" s="23"/>
    </row>
    <row r="648" spans="1:24" s="1" customFormat="1" ht="11" customHeight="1" x14ac:dyDescent="0.3">
      <c r="A648" s="24" t="s">
        <v>23</v>
      </c>
      <c r="B648" s="24" t="s">
        <v>834</v>
      </c>
      <c r="C648" s="12" t="s">
        <v>839</v>
      </c>
      <c r="D648" s="58"/>
      <c r="E648" s="43" t="str">
        <f t="shared" si="27"/>
        <v>Еще фото</v>
      </c>
      <c r="F648" s="14"/>
      <c r="G648" s="24" t="s">
        <v>237</v>
      </c>
      <c r="H648" s="24" t="s">
        <v>27</v>
      </c>
      <c r="I648" s="24" t="s">
        <v>237</v>
      </c>
      <c r="J648" s="15" t="s">
        <v>37</v>
      </c>
      <c r="K648" s="16" t="s">
        <v>29</v>
      </c>
      <c r="L648" s="61"/>
      <c r="M648" s="15"/>
      <c r="N648" s="15" t="s">
        <v>39</v>
      </c>
      <c r="O648" s="15"/>
      <c r="P648" s="16" t="s">
        <v>707</v>
      </c>
      <c r="Q648" s="17">
        <v>14399</v>
      </c>
      <c r="R648" s="18">
        <v>45</v>
      </c>
      <c r="S648" s="19">
        <v>9107.3674999999985</v>
      </c>
      <c r="T648" s="20" t="s">
        <v>75</v>
      </c>
      <c r="U648" s="21" t="s">
        <v>188</v>
      </c>
      <c r="V648" s="25" t="s">
        <v>96</v>
      </c>
      <c r="W648" s="22">
        <v>14</v>
      </c>
      <c r="X648" s="23"/>
    </row>
    <row r="649" spans="1:24" s="1" customFormat="1" ht="11" customHeight="1" x14ac:dyDescent="0.3">
      <c r="A649" s="15" t="s">
        <v>23</v>
      </c>
      <c r="B649" s="15" t="s">
        <v>834</v>
      </c>
      <c r="C649" s="12" t="s">
        <v>839</v>
      </c>
      <c r="D649" s="58"/>
      <c r="E649" s="43" t="str">
        <f t="shared" si="27"/>
        <v>Еще фото</v>
      </c>
      <c r="F649" s="26"/>
      <c r="G649" s="15" t="s">
        <v>237</v>
      </c>
      <c r="H649" s="15" t="s">
        <v>27</v>
      </c>
      <c r="I649" s="15" t="s">
        <v>237</v>
      </c>
      <c r="J649" s="15" t="s">
        <v>37</v>
      </c>
      <c r="K649" s="15" t="s">
        <v>29</v>
      </c>
      <c r="L649" s="61"/>
      <c r="M649" s="15"/>
      <c r="N649" s="15" t="s">
        <v>39</v>
      </c>
      <c r="O649" s="15"/>
      <c r="P649" s="15" t="s">
        <v>707</v>
      </c>
      <c r="Q649" s="27">
        <v>14399</v>
      </c>
      <c r="R649" s="28">
        <v>45</v>
      </c>
      <c r="S649" s="29">
        <v>9107.3674999999985</v>
      </c>
      <c r="T649" s="20" t="s">
        <v>75</v>
      </c>
      <c r="U649" s="21" t="s">
        <v>109</v>
      </c>
      <c r="V649" s="25" t="s">
        <v>96</v>
      </c>
      <c r="W649" s="22">
        <v>6</v>
      </c>
      <c r="X649" s="23"/>
    </row>
    <row r="650" spans="1:24" s="1" customFormat="1" ht="11" customHeight="1" x14ac:dyDescent="0.3">
      <c r="A650" s="15" t="s">
        <v>23</v>
      </c>
      <c r="B650" s="15" t="s">
        <v>834</v>
      </c>
      <c r="C650" s="12" t="s">
        <v>839</v>
      </c>
      <c r="D650" s="58"/>
      <c r="E650" s="43" t="str">
        <f t="shared" si="27"/>
        <v>Еще фото</v>
      </c>
      <c r="F650" s="26"/>
      <c r="G650" s="15" t="s">
        <v>237</v>
      </c>
      <c r="H650" s="15" t="s">
        <v>27</v>
      </c>
      <c r="I650" s="15" t="s">
        <v>237</v>
      </c>
      <c r="J650" s="15" t="s">
        <v>37</v>
      </c>
      <c r="K650" s="15" t="s">
        <v>29</v>
      </c>
      <c r="L650" s="61"/>
      <c r="M650" s="15"/>
      <c r="N650" s="15" t="s">
        <v>39</v>
      </c>
      <c r="O650" s="15"/>
      <c r="P650" s="15" t="s">
        <v>707</v>
      </c>
      <c r="Q650" s="27">
        <v>14399</v>
      </c>
      <c r="R650" s="28">
        <v>45</v>
      </c>
      <c r="S650" s="29">
        <v>9107.3674999999985</v>
      </c>
      <c r="T650" s="20" t="s">
        <v>75</v>
      </c>
      <c r="U650" s="21" t="s">
        <v>95</v>
      </c>
      <c r="V650" s="22">
        <v>50</v>
      </c>
      <c r="W650" s="22">
        <v>14</v>
      </c>
      <c r="X650" s="23"/>
    </row>
    <row r="651" spans="1:24" s="1" customFormat="1" ht="11" customHeight="1" x14ac:dyDescent="0.3">
      <c r="A651" s="15" t="s">
        <v>23</v>
      </c>
      <c r="B651" s="15" t="s">
        <v>834</v>
      </c>
      <c r="C651" s="12" t="s">
        <v>839</v>
      </c>
      <c r="D651" s="59"/>
      <c r="E651" s="43" t="str">
        <f t="shared" si="27"/>
        <v>Еще фото</v>
      </c>
      <c r="F651" s="26"/>
      <c r="G651" s="15" t="s">
        <v>237</v>
      </c>
      <c r="H651" s="15" t="s">
        <v>27</v>
      </c>
      <c r="I651" s="15" t="s">
        <v>237</v>
      </c>
      <c r="J651" s="15" t="s">
        <v>37</v>
      </c>
      <c r="K651" s="15" t="s">
        <v>29</v>
      </c>
      <c r="L651" s="62"/>
      <c r="M651" s="15"/>
      <c r="N651" s="15" t="s">
        <v>39</v>
      </c>
      <c r="O651" s="15"/>
      <c r="P651" s="15" t="s">
        <v>707</v>
      </c>
      <c r="Q651" s="27">
        <v>14399</v>
      </c>
      <c r="R651" s="28">
        <v>45</v>
      </c>
      <c r="S651" s="29">
        <v>9107.3674999999985</v>
      </c>
      <c r="T651" s="20" t="s">
        <v>75</v>
      </c>
      <c r="U651" s="21" t="s">
        <v>165</v>
      </c>
      <c r="V651" s="22">
        <v>50</v>
      </c>
      <c r="W651" s="22">
        <v>6</v>
      </c>
      <c r="X651" s="23"/>
    </row>
    <row r="652" spans="1:24" s="1" customFormat="1" ht="11" customHeight="1" x14ac:dyDescent="0.3">
      <c r="A652" s="11" t="s">
        <v>23</v>
      </c>
      <c r="B652" s="11" t="s">
        <v>834</v>
      </c>
      <c r="C652" s="12" t="s">
        <v>840</v>
      </c>
      <c r="D652" s="57"/>
      <c r="E652" s="43" t="str">
        <f t="shared" ref="E652:E664" si="28">HYPERLINK("https://www.google.ru/search?q=001PZ-0009&amp;newwindow=1&amp;tbm=isch","Еще фото")</f>
        <v>Еще фото</v>
      </c>
      <c r="F652" s="14" t="s">
        <v>182</v>
      </c>
      <c r="G652" s="11" t="s">
        <v>237</v>
      </c>
      <c r="H652" s="11" t="s">
        <v>27</v>
      </c>
      <c r="I652" s="15" t="s">
        <v>237</v>
      </c>
      <c r="J652" s="15" t="s">
        <v>37</v>
      </c>
      <c r="K652" s="16" t="s">
        <v>29</v>
      </c>
      <c r="L652" s="60" t="s">
        <v>836</v>
      </c>
      <c r="M652" s="15"/>
      <c r="N652" s="15" t="s">
        <v>130</v>
      </c>
      <c r="O652" s="15"/>
      <c r="P652" s="16" t="s">
        <v>837</v>
      </c>
      <c r="Q652" s="17">
        <v>9899</v>
      </c>
      <c r="R652" s="18">
        <v>45</v>
      </c>
      <c r="S652" s="19">
        <v>6261.1174999999994</v>
      </c>
      <c r="T652" s="20" t="s">
        <v>75</v>
      </c>
      <c r="U652" s="21" t="s">
        <v>46</v>
      </c>
      <c r="V652" s="22">
        <v>42</v>
      </c>
      <c r="W652" s="22">
        <v>6</v>
      </c>
      <c r="X652" s="23"/>
    </row>
    <row r="653" spans="1:24" s="1" customFormat="1" ht="11" customHeight="1" x14ac:dyDescent="0.3">
      <c r="A653" s="24" t="s">
        <v>23</v>
      </c>
      <c r="B653" s="24" t="s">
        <v>834</v>
      </c>
      <c r="C653" s="12" t="s">
        <v>840</v>
      </c>
      <c r="D653" s="58"/>
      <c r="E653" s="43" t="str">
        <f t="shared" si="28"/>
        <v>Еще фото</v>
      </c>
      <c r="F653" s="14" t="s">
        <v>182</v>
      </c>
      <c r="G653" s="24" t="s">
        <v>237</v>
      </c>
      <c r="H653" s="24" t="s">
        <v>27</v>
      </c>
      <c r="I653" s="24" t="s">
        <v>237</v>
      </c>
      <c r="J653" s="15" t="s">
        <v>37</v>
      </c>
      <c r="K653" s="16" t="s">
        <v>29</v>
      </c>
      <c r="L653" s="61"/>
      <c r="M653" s="15"/>
      <c r="N653" s="15" t="s">
        <v>130</v>
      </c>
      <c r="O653" s="15"/>
      <c r="P653" s="16" t="s">
        <v>837</v>
      </c>
      <c r="Q653" s="17">
        <v>9899</v>
      </c>
      <c r="R653" s="18">
        <v>45</v>
      </c>
      <c r="S653" s="19">
        <v>6261.1174999999994</v>
      </c>
      <c r="T653" s="20" t="s">
        <v>75</v>
      </c>
      <c r="U653" s="21" t="s">
        <v>158</v>
      </c>
      <c r="V653" s="22">
        <v>42</v>
      </c>
      <c r="W653" s="22">
        <v>5</v>
      </c>
      <c r="X653" s="23"/>
    </row>
    <row r="654" spans="1:24" s="1" customFormat="1" ht="11" customHeight="1" x14ac:dyDescent="0.3">
      <c r="A654" s="24" t="s">
        <v>23</v>
      </c>
      <c r="B654" s="24" t="s">
        <v>834</v>
      </c>
      <c r="C654" s="12" t="s">
        <v>840</v>
      </c>
      <c r="D654" s="58"/>
      <c r="E654" s="43" t="str">
        <f t="shared" si="28"/>
        <v>Еще фото</v>
      </c>
      <c r="F654" s="14" t="s">
        <v>182</v>
      </c>
      <c r="G654" s="24" t="s">
        <v>237</v>
      </c>
      <c r="H654" s="24" t="s">
        <v>27</v>
      </c>
      <c r="I654" s="24" t="s">
        <v>237</v>
      </c>
      <c r="J654" s="15" t="s">
        <v>37</v>
      </c>
      <c r="K654" s="16" t="s">
        <v>29</v>
      </c>
      <c r="L654" s="61"/>
      <c r="M654" s="15"/>
      <c r="N654" s="15" t="s">
        <v>130</v>
      </c>
      <c r="O654" s="15"/>
      <c r="P654" s="16" t="s">
        <v>837</v>
      </c>
      <c r="Q654" s="17">
        <v>9899</v>
      </c>
      <c r="R654" s="18">
        <v>45</v>
      </c>
      <c r="S654" s="19">
        <v>6261.1174999999994</v>
      </c>
      <c r="T654" s="20" t="s">
        <v>75</v>
      </c>
      <c r="U654" s="21" t="s">
        <v>47</v>
      </c>
      <c r="V654" s="25" t="s">
        <v>48</v>
      </c>
      <c r="W654" s="22">
        <v>11</v>
      </c>
      <c r="X654" s="23"/>
    </row>
    <row r="655" spans="1:24" s="1" customFormat="1" ht="11" customHeight="1" x14ac:dyDescent="0.3">
      <c r="A655" s="24" t="s">
        <v>23</v>
      </c>
      <c r="B655" s="24" t="s">
        <v>834</v>
      </c>
      <c r="C655" s="12" t="s">
        <v>840</v>
      </c>
      <c r="D655" s="58"/>
      <c r="E655" s="43" t="str">
        <f t="shared" si="28"/>
        <v>Еще фото</v>
      </c>
      <c r="F655" s="14" t="s">
        <v>182</v>
      </c>
      <c r="G655" s="24" t="s">
        <v>237</v>
      </c>
      <c r="H655" s="24" t="s">
        <v>27</v>
      </c>
      <c r="I655" s="24" t="s">
        <v>237</v>
      </c>
      <c r="J655" s="15" t="s">
        <v>37</v>
      </c>
      <c r="K655" s="16" t="s">
        <v>29</v>
      </c>
      <c r="L655" s="61"/>
      <c r="M655" s="15"/>
      <c r="N655" s="15" t="s">
        <v>130</v>
      </c>
      <c r="O655" s="15"/>
      <c r="P655" s="16" t="s">
        <v>837</v>
      </c>
      <c r="Q655" s="17">
        <v>9899</v>
      </c>
      <c r="R655" s="18">
        <v>45</v>
      </c>
      <c r="S655" s="19">
        <v>6261.1174999999994</v>
      </c>
      <c r="T655" s="20" t="s">
        <v>75</v>
      </c>
      <c r="U655" s="21" t="s">
        <v>50</v>
      </c>
      <c r="V655" s="22">
        <v>44</v>
      </c>
      <c r="W655" s="22">
        <v>13</v>
      </c>
      <c r="X655" s="23"/>
    </row>
    <row r="656" spans="1:24" s="1" customFormat="1" ht="11" customHeight="1" x14ac:dyDescent="0.3">
      <c r="A656" s="24" t="s">
        <v>23</v>
      </c>
      <c r="B656" s="24" t="s">
        <v>834</v>
      </c>
      <c r="C656" s="12" t="s">
        <v>840</v>
      </c>
      <c r="D656" s="58"/>
      <c r="E656" s="43" t="str">
        <f t="shared" si="28"/>
        <v>Еще фото</v>
      </c>
      <c r="F656" s="14" t="s">
        <v>182</v>
      </c>
      <c r="G656" s="24" t="s">
        <v>237</v>
      </c>
      <c r="H656" s="24" t="s">
        <v>27</v>
      </c>
      <c r="I656" s="24" t="s">
        <v>237</v>
      </c>
      <c r="J656" s="15" t="s">
        <v>37</v>
      </c>
      <c r="K656" s="16" t="s">
        <v>29</v>
      </c>
      <c r="L656" s="61"/>
      <c r="M656" s="15"/>
      <c r="N656" s="15" t="s">
        <v>130</v>
      </c>
      <c r="O656" s="15"/>
      <c r="P656" s="16" t="s">
        <v>837</v>
      </c>
      <c r="Q656" s="17">
        <v>9899</v>
      </c>
      <c r="R656" s="18">
        <v>45</v>
      </c>
      <c r="S656" s="19">
        <v>6261.1174999999994</v>
      </c>
      <c r="T656" s="20" t="s">
        <v>75</v>
      </c>
      <c r="U656" s="21" t="s">
        <v>51</v>
      </c>
      <c r="V656" s="22">
        <v>44</v>
      </c>
      <c r="W656" s="22">
        <v>5</v>
      </c>
      <c r="X656" s="23"/>
    </row>
    <row r="657" spans="1:24" s="1" customFormat="1" ht="11" customHeight="1" x14ac:dyDescent="0.3">
      <c r="A657" s="24" t="s">
        <v>23</v>
      </c>
      <c r="B657" s="24" t="s">
        <v>834</v>
      </c>
      <c r="C657" s="12" t="s">
        <v>840</v>
      </c>
      <c r="D657" s="58"/>
      <c r="E657" s="43" t="str">
        <f t="shared" si="28"/>
        <v>Еще фото</v>
      </c>
      <c r="F657" s="14" t="s">
        <v>182</v>
      </c>
      <c r="G657" s="24" t="s">
        <v>237</v>
      </c>
      <c r="H657" s="24" t="s">
        <v>27</v>
      </c>
      <c r="I657" s="24" t="s">
        <v>237</v>
      </c>
      <c r="J657" s="15" t="s">
        <v>37</v>
      </c>
      <c r="K657" s="16" t="s">
        <v>29</v>
      </c>
      <c r="L657" s="61"/>
      <c r="M657" s="15"/>
      <c r="N657" s="15" t="s">
        <v>130</v>
      </c>
      <c r="O657" s="15"/>
      <c r="P657" s="16" t="s">
        <v>837</v>
      </c>
      <c r="Q657" s="17">
        <v>9899</v>
      </c>
      <c r="R657" s="18">
        <v>45</v>
      </c>
      <c r="S657" s="19">
        <v>6261.1174999999994</v>
      </c>
      <c r="T657" s="20" t="s">
        <v>75</v>
      </c>
      <c r="U657" s="21" t="s">
        <v>230</v>
      </c>
      <c r="V657" s="22">
        <v>46</v>
      </c>
      <c r="W657" s="22">
        <v>19</v>
      </c>
      <c r="X657" s="23"/>
    </row>
    <row r="658" spans="1:24" s="1" customFormat="1" ht="11" customHeight="1" x14ac:dyDescent="0.3">
      <c r="A658" s="24" t="s">
        <v>23</v>
      </c>
      <c r="B658" s="24" t="s">
        <v>834</v>
      </c>
      <c r="C658" s="12" t="s">
        <v>840</v>
      </c>
      <c r="D658" s="58"/>
      <c r="E658" s="43" t="str">
        <f t="shared" si="28"/>
        <v>Еще фото</v>
      </c>
      <c r="F658" s="14" t="s">
        <v>182</v>
      </c>
      <c r="G658" s="24" t="s">
        <v>237</v>
      </c>
      <c r="H658" s="24" t="s">
        <v>27</v>
      </c>
      <c r="I658" s="24" t="s">
        <v>237</v>
      </c>
      <c r="J658" s="15" t="s">
        <v>37</v>
      </c>
      <c r="K658" s="16" t="s">
        <v>29</v>
      </c>
      <c r="L658" s="61"/>
      <c r="M658" s="15"/>
      <c r="N658" s="15" t="s">
        <v>130</v>
      </c>
      <c r="O658" s="15"/>
      <c r="P658" s="16" t="s">
        <v>837</v>
      </c>
      <c r="Q658" s="17">
        <v>9899</v>
      </c>
      <c r="R658" s="18">
        <v>45</v>
      </c>
      <c r="S658" s="19">
        <v>6261.1174999999994</v>
      </c>
      <c r="T658" s="20" t="s">
        <v>75</v>
      </c>
      <c r="U658" s="21" t="s">
        <v>173</v>
      </c>
      <c r="V658" s="22">
        <v>46</v>
      </c>
      <c r="W658" s="22">
        <v>5</v>
      </c>
      <c r="X658" s="23"/>
    </row>
    <row r="659" spans="1:24" s="1" customFormat="1" ht="11" customHeight="1" x14ac:dyDescent="0.3">
      <c r="A659" s="24" t="s">
        <v>23</v>
      </c>
      <c r="B659" s="24" t="s">
        <v>834</v>
      </c>
      <c r="C659" s="12" t="s">
        <v>840</v>
      </c>
      <c r="D659" s="58"/>
      <c r="E659" s="43" t="str">
        <f t="shared" si="28"/>
        <v>Еще фото</v>
      </c>
      <c r="F659" s="14" t="s">
        <v>182</v>
      </c>
      <c r="G659" s="24" t="s">
        <v>237</v>
      </c>
      <c r="H659" s="24" t="s">
        <v>27</v>
      </c>
      <c r="I659" s="24" t="s">
        <v>237</v>
      </c>
      <c r="J659" s="15" t="s">
        <v>37</v>
      </c>
      <c r="K659" s="16" t="s">
        <v>29</v>
      </c>
      <c r="L659" s="61"/>
      <c r="M659" s="15"/>
      <c r="N659" s="15" t="s">
        <v>130</v>
      </c>
      <c r="O659" s="15"/>
      <c r="P659" s="16" t="s">
        <v>837</v>
      </c>
      <c r="Q659" s="17">
        <v>9899</v>
      </c>
      <c r="R659" s="18">
        <v>45</v>
      </c>
      <c r="S659" s="19">
        <v>6261.1174999999994</v>
      </c>
      <c r="T659" s="20" t="s">
        <v>75</v>
      </c>
      <c r="U659" s="21" t="s">
        <v>52</v>
      </c>
      <c r="V659" s="22">
        <v>48</v>
      </c>
      <c r="W659" s="22">
        <v>15</v>
      </c>
      <c r="X659" s="23"/>
    </row>
    <row r="660" spans="1:24" s="1" customFormat="1" ht="11" customHeight="1" x14ac:dyDescent="0.3">
      <c r="A660" s="24" t="s">
        <v>23</v>
      </c>
      <c r="B660" s="24" t="s">
        <v>834</v>
      </c>
      <c r="C660" s="12" t="s">
        <v>840</v>
      </c>
      <c r="D660" s="58"/>
      <c r="E660" s="43" t="str">
        <f t="shared" si="28"/>
        <v>Еще фото</v>
      </c>
      <c r="F660" s="14" t="s">
        <v>182</v>
      </c>
      <c r="G660" s="24" t="s">
        <v>237</v>
      </c>
      <c r="H660" s="24" t="s">
        <v>27</v>
      </c>
      <c r="I660" s="24" t="s">
        <v>237</v>
      </c>
      <c r="J660" s="15" t="s">
        <v>37</v>
      </c>
      <c r="K660" s="16" t="s">
        <v>29</v>
      </c>
      <c r="L660" s="61"/>
      <c r="M660" s="15"/>
      <c r="N660" s="15" t="s">
        <v>130</v>
      </c>
      <c r="O660" s="15"/>
      <c r="P660" s="16" t="s">
        <v>837</v>
      </c>
      <c r="Q660" s="17">
        <v>9899</v>
      </c>
      <c r="R660" s="18">
        <v>45</v>
      </c>
      <c r="S660" s="19">
        <v>6261.1174999999994</v>
      </c>
      <c r="T660" s="20" t="s">
        <v>75</v>
      </c>
      <c r="U660" s="21" t="s">
        <v>53</v>
      </c>
      <c r="V660" s="22">
        <v>48</v>
      </c>
      <c r="W660" s="22">
        <v>5</v>
      </c>
      <c r="X660" s="23"/>
    </row>
    <row r="661" spans="1:24" s="1" customFormat="1" ht="11" customHeight="1" x14ac:dyDescent="0.3">
      <c r="A661" s="15" t="s">
        <v>23</v>
      </c>
      <c r="B661" s="15" t="s">
        <v>834</v>
      </c>
      <c r="C661" s="12" t="s">
        <v>840</v>
      </c>
      <c r="D661" s="58"/>
      <c r="E661" s="43" t="str">
        <f t="shared" si="28"/>
        <v>Еще фото</v>
      </c>
      <c r="F661" s="26" t="s">
        <v>182</v>
      </c>
      <c r="G661" s="15" t="s">
        <v>237</v>
      </c>
      <c r="H661" s="15" t="s">
        <v>27</v>
      </c>
      <c r="I661" s="15" t="s">
        <v>237</v>
      </c>
      <c r="J661" s="15" t="s">
        <v>37</v>
      </c>
      <c r="K661" s="15" t="s">
        <v>29</v>
      </c>
      <c r="L661" s="61"/>
      <c r="M661" s="15"/>
      <c r="N661" s="15" t="s">
        <v>130</v>
      </c>
      <c r="O661" s="15"/>
      <c r="P661" s="15" t="s">
        <v>837</v>
      </c>
      <c r="Q661" s="27">
        <v>9899</v>
      </c>
      <c r="R661" s="28">
        <v>45</v>
      </c>
      <c r="S661" s="29">
        <v>6261.1174999999994</v>
      </c>
      <c r="T661" s="20" t="s">
        <v>75</v>
      </c>
      <c r="U661" s="21" t="s">
        <v>188</v>
      </c>
      <c r="V661" s="25" t="s">
        <v>96</v>
      </c>
      <c r="W661" s="22">
        <v>13</v>
      </c>
      <c r="X661" s="23"/>
    </row>
    <row r="662" spans="1:24" s="1" customFormat="1" ht="11" customHeight="1" x14ac:dyDescent="0.3">
      <c r="A662" s="15" t="s">
        <v>23</v>
      </c>
      <c r="B662" s="15" t="s">
        <v>834</v>
      </c>
      <c r="C662" s="12" t="s">
        <v>840</v>
      </c>
      <c r="D662" s="58"/>
      <c r="E662" s="43" t="str">
        <f t="shared" si="28"/>
        <v>Еще фото</v>
      </c>
      <c r="F662" s="26" t="s">
        <v>182</v>
      </c>
      <c r="G662" s="15" t="s">
        <v>237</v>
      </c>
      <c r="H662" s="15" t="s">
        <v>27</v>
      </c>
      <c r="I662" s="15" t="s">
        <v>237</v>
      </c>
      <c r="J662" s="15" t="s">
        <v>37</v>
      </c>
      <c r="K662" s="15" t="s">
        <v>29</v>
      </c>
      <c r="L662" s="61"/>
      <c r="M662" s="15"/>
      <c r="N662" s="15" t="s">
        <v>130</v>
      </c>
      <c r="O662" s="15"/>
      <c r="P662" s="15" t="s">
        <v>837</v>
      </c>
      <c r="Q662" s="27">
        <v>9899</v>
      </c>
      <c r="R662" s="28">
        <v>45</v>
      </c>
      <c r="S662" s="29">
        <v>6261.1174999999994</v>
      </c>
      <c r="T662" s="20" t="s">
        <v>75</v>
      </c>
      <c r="U662" s="21" t="s">
        <v>109</v>
      </c>
      <c r="V662" s="25" t="s">
        <v>96</v>
      </c>
      <c r="W662" s="22">
        <v>4</v>
      </c>
      <c r="X662" s="23"/>
    </row>
    <row r="663" spans="1:24" s="1" customFormat="1" ht="11" customHeight="1" x14ac:dyDescent="0.3">
      <c r="A663" s="15" t="s">
        <v>23</v>
      </c>
      <c r="B663" s="15" t="s">
        <v>834</v>
      </c>
      <c r="C663" s="12" t="s">
        <v>840</v>
      </c>
      <c r="D663" s="58"/>
      <c r="E663" s="43" t="str">
        <f t="shared" si="28"/>
        <v>Еще фото</v>
      </c>
      <c r="F663" s="26" t="s">
        <v>182</v>
      </c>
      <c r="G663" s="15" t="s">
        <v>237</v>
      </c>
      <c r="H663" s="15" t="s">
        <v>27</v>
      </c>
      <c r="I663" s="15" t="s">
        <v>237</v>
      </c>
      <c r="J663" s="15" t="s">
        <v>37</v>
      </c>
      <c r="K663" s="15" t="s">
        <v>29</v>
      </c>
      <c r="L663" s="61"/>
      <c r="M663" s="15"/>
      <c r="N663" s="15" t="s">
        <v>130</v>
      </c>
      <c r="O663" s="15"/>
      <c r="P663" s="15" t="s">
        <v>837</v>
      </c>
      <c r="Q663" s="27">
        <v>9899</v>
      </c>
      <c r="R663" s="28">
        <v>45</v>
      </c>
      <c r="S663" s="29">
        <v>6261.1174999999994</v>
      </c>
      <c r="T663" s="20" t="s">
        <v>75</v>
      </c>
      <c r="U663" s="21" t="s">
        <v>95</v>
      </c>
      <c r="V663" s="22">
        <v>50</v>
      </c>
      <c r="W663" s="22">
        <v>13</v>
      </c>
      <c r="X663" s="23"/>
    </row>
    <row r="664" spans="1:24" s="1" customFormat="1" ht="11" customHeight="1" x14ac:dyDescent="0.3">
      <c r="A664" s="15" t="s">
        <v>23</v>
      </c>
      <c r="B664" s="15" t="s">
        <v>834</v>
      </c>
      <c r="C664" s="12" t="s">
        <v>840</v>
      </c>
      <c r="D664" s="59"/>
      <c r="E664" s="43" t="str">
        <f t="shared" si="28"/>
        <v>Еще фото</v>
      </c>
      <c r="F664" s="26" t="s">
        <v>182</v>
      </c>
      <c r="G664" s="15" t="s">
        <v>237</v>
      </c>
      <c r="H664" s="15" t="s">
        <v>27</v>
      </c>
      <c r="I664" s="15" t="s">
        <v>237</v>
      </c>
      <c r="J664" s="15" t="s">
        <v>37</v>
      </c>
      <c r="K664" s="15" t="s">
        <v>29</v>
      </c>
      <c r="L664" s="62"/>
      <c r="M664" s="15"/>
      <c r="N664" s="15" t="s">
        <v>130</v>
      </c>
      <c r="O664" s="15"/>
      <c r="P664" s="15" t="s">
        <v>837</v>
      </c>
      <c r="Q664" s="27">
        <v>9899</v>
      </c>
      <c r="R664" s="28">
        <v>45</v>
      </c>
      <c r="S664" s="29">
        <v>6261.1174999999994</v>
      </c>
      <c r="T664" s="20" t="s">
        <v>75</v>
      </c>
      <c r="U664" s="21" t="s">
        <v>165</v>
      </c>
      <c r="V664" s="22">
        <v>50</v>
      </c>
      <c r="W664" s="22">
        <v>5</v>
      </c>
      <c r="X664" s="23"/>
    </row>
    <row r="665" spans="1:24" s="1" customFormat="1" ht="11" customHeight="1" x14ac:dyDescent="0.3">
      <c r="A665" s="11" t="s">
        <v>23</v>
      </c>
      <c r="B665" s="11" t="s">
        <v>841</v>
      </c>
      <c r="C665" s="12" t="s">
        <v>842</v>
      </c>
      <c r="D665" s="57"/>
      <c r="E665" s="43" t="str">
        <f t="shared" ref="E665:E676" si="29">HYPERLINK("https://www.google.ru/search?q=001PZ-0012&amp;newwindow=1&amp;tbm=isch","Еще фото")</f>
        <v>Еще фото</v>
      </c>
      <c r="F665" s="14"/>
      <c r="G665" s="11" t="s">
        <v>237</v>
      </c>
      <c r="H665" s="11" t="s">
        <v>27</v>
      </c>
      <c r="I665" s="15" t="s">
        <v>237</v>
      </c>
      <c r="J665" s="15" t="s">
        <v>28</v>
      </c>
      <c r="K665" s="16" t="s">
        <v>29</v>
      </c>
      <c r="L665" s="60" t="s">
        <v>836</v>
      </c>
      <c r="M665" s="15"/>
      <c r="N665" s="15" t="s">
        <v>130</v>
      </c>
      <c r="O665" s="15"/>
      <c r="P665" s="16" t="s">
        <v>837</v>
      </c>
      <c r="Q665" s="17">
        <v>14399</v>
      </c>
      <c r="R665" s="18">
        <v>45</v>
      </c>
      <c r="S665" s="19">
        <v>9107.3674999999985</v>
      </c>
      <c r="T665" s="20" t="s">
        <v>75</v>
      </c>
      <c r="U665" s="21" t="s">
        <v>46</v>
      </c>
      <c r="V665" s="22">
        <v>42</v>
      </c>
      <c r="W665" s="22">
        <v>6</v>
      </c>
      <c r="X665" s="23"/>
    </row>
    <row r="666" spans="1:24" s="1" customFormat="1" ht="11" customHeight="1" x14ac:dyDescent="0.3">
      <c r="A666" s="24" t="s">
        <v>23</v>
      </c>
      <c r="B666" s="24" t="s">
        <v>841</v>
      </c>
      <c r="C666" s="12" t="s">
        <v>842</v>
      </c>
      <c r="D666" s="58"/>
      <c r="E666" s="43" t="str">
        <f t="shared" si="29"/>
        <v>Еще фото</v>
      </c>
      <c r="F666" s="14"/>
      <c r="G666" s="24" t="s">
        <v>237</v>
      </c>
      <c r="H666" s="24" t="s">
        <v>27</v>
      </c>
      <c r="I666" s="24" t="s">
        <v>237</v>
      </c>
      <c r="J666" s="15" t="s">
        <v>28</v>
      </c>
      <c r="K666" s="16" t="s">
        <v>29</v>
      </c>
      <c r="L666" s="61"/>
      <c r="M666" s="15"/>
      <c r="N666" s="15" t="s">
        <v>130</v>
      </c>
      <c r="O666" s="15"/>
      <c r="P666" s="16" t="s">
        <v>837</v>
      </c>
      <c r="Q666" s="17">
        <v>14399</v>
      </c>
      <c r="R666" s="18">
        <v>45</v>
      </c>
      <c r="S666" s="19">
        <v>9107.3674999999985</v>
      </c>
      <c r="T666" s="20" t="s">
        <v>75</v>
      </c>
      <c r="U666" s="21" t="s">
        <v>158</v>
      </c>
      <c r="V666" s="22">
        <v>42</v>
      </c>
      <c r="W666" s="22">
        <v>5</v>
      </c>
      <c r="X666" s="23"/>
    </row>
    <row r="667" spans="1:24" s="1" customFormat="1" ht="11" customHeight="1" x14ac:dyDescent="0.3">
      <c r="A667" s="24" t="s">
        <v>23</v>
      </c>
      <c r="B667" s="24" t="s">
        <v>841</v>
      </c>
      <c r="C667" s="12" t="s">
        <v>842</v>
      </c>
      <c r="D667" s="58"/>
      <c r="E667" s="43" t="str">
        <f t="shared" si="29"/>
        <v>Еще фото</v>
      </c>
      <c r="F667" s="14"/>
      <c r="G667" s="24" t="s">
        <v>237</v>
      </c>
      <c r="H667" s="24" t="s">
        <v>27</v>
      </c>
      <c r="I667" s="24" t="s">
        <v>237</v>
      </c>
      <c r="J667" s="15" t="s">
        <v>28</v>
      </c>
      <c r="K667" s="16" t="s">
        <v>29</v>
      </c>
      <c r="L667" s="61"/>
      <c r="M667" s="15"/>
      <c r="N667" s="15" t="s">
        <v>130</v>
      </c>
      <c r="O667" s="15"/>
      <c r="P667" s="16" t="s">
        <v>837</v>
      </c>
      <c r="Q667" s="17">
        <v>14399</v>
      </c>
      <c r="R667" s="18">
        <v>45</v>
      </c>
      <c r="S667" s="19">
        <v>9107.3674999999985</v>
      </c>
      <c r="T667" s="20" t="s">
        <v>75</v>
      </c>
      <c r="U667" s="21" t="s">
        <v>47</v>
      </c>
      <c r="V667" s="25" t="s">
        <v>48</v>
      </c>
      <c r="W667" s="22">
        <v>11</v>
      </c>
      <c r="X667" s="23"/>
    </row>
    <row r="668" spans="1:24" s="1" customFormat="1" ht="11" customHeight="1" x14ac:dyDescent="0.3">
      <c r="A668" s="24" t="s">
        <v>23</v>
      </c>
      <c r="B668" s="24" t="s">
        <v>841</v>
      </c>
      <c r="C668" s="12" t="s">
        <v>842</v>
      </c>
      <c r="D668" s="58"/>
      <c r="E668" s="43" t="str">
        <f t="shared" si="29"/>
        <v>Еще фото</v>
      </c>
      <c r="F668" s="14"/>
      <c r="G668" s="24" t="s">
        <v>237</v>
      </c>
      <c r="H668" s="24" t="s">
        <v>27</v>
      </c>
      <c r="I668" s="24" t="s">
        <v>237</v>
      </c>
      <c r="J668" s="15" t="s">
        <v>28</v>
      </c>
      <c r="K668" s="16" t="s">
        <v>29</v>
      </c>
      <c r="L668" s="61"/>
      <c r="M668" s="15"/>
      <c r="N668" s="15" t="s">
        <v>130</v>
      </c>
      <c r="O668" s="15"/>
      <c r="P668" s="16" t="s">
        <v>837</v>
      </c>
      <c r="Q668" s="17">
        <v>14399</v>
      </c>
      <c r="R668" s="18">
        <v>45</v>
      </c>
      <c r="S668" s="19">
        <v>9107.3674999999985</v>
      </c>
      <c r="T668" s="20" t="s">
        <v>75</v>
      </c>
      <c r="U668" s="21" t="s">
        <v>50</v>
      </c>
      <c r="V668" s="22">
        <v>44</v>
      </c>
      <c r="W668" s="22">
        <v>13</v>
      </c>
      <c r="X668" s="23"/>
    </row>
    <row r="669" spans="1:24" s="1" customFormat="1" ht="11" customHeight="1" x14ac:dyDescent="0.3">
      <c r="A669" s="24" t="s">
        <v>23</v>
      </c>
      <c r="B669" s="24" t="s">
        <v>841</v>
      </c>
      <c r="C669" s="12" t="s">
        <v>842</v>
      </c>
      <c r="D669" s="58"/>
      <c r="E669" s="43" t="str">
        <f t="shared" si="29"/>
        <v>Еще фото</v>
      </c>
      <c r="F669" s="14"/>
      <c r="G669" s="24" t="s">
        <v>237</v>
      </c>
      <c r="H669" s="24" t="s">
        <v>27</v>
      </c>
      <c r="I669" s="24" t="s">
        <v>237</v>
      </c>
      <c r="J669" s="15" t="s">
        <v>28</v>
      </c>
      <c r="K669" s="16" t="s">
        <v>29</v>
      </c>
      <c r="L669" s="61"/>
      <c r="M669" s="15"/>
      <c r="N669" s="15" t="s">
        <v>130</v>
      </c>
      <c r="O669" s="15"/>
      <c r="P669" s="16" t="s">
        <v>837</v>
      </c>
      <c r="Q669" s="17">
        <v>14399</v>
      </c>
      <c r="R669" s="18">
        <v>45</v>
      </c>
      <c r="S669" s="19">
        <v>9107.3674999999985</v>
      </c>
      <c r="T669" s="20" t="s">
        <v>75</v>
      </c>
      <c r="U669" s="21" t="s">
        <v>51</v>
      </c>
      <c r="V669" s="22">
        <v>44</v>
      </c>
      <c r="W669" s="22">
        <v>5</v>
      </c>
      <c r="X669" s="23"/>
    </row>
    <row r="670" spans="1:24" s="1" customFormat="1" ht="11" customHeight="1" x14ac:dyDescent="0.3">
      <c r="A670" s="24" t="s">
        <v>23</v>
      </c>
      <c r="B670" s="24" t="s">
        <v>841</v>
      </c>
      <c r="C670" s="12" t="s">
        <v>842</v>
      </c>
      <c r="D670" s="58"/>
      <c r="E670" s="43" t="str">
        <f t="shared" si="29"/>
        <v>Еще фото</v>
      </c>
      <c r="F670" s="14"/>
      <c r="G670" s="24" t="s">
        <v>237</v>
      </c>
      <c r="H670" s="24" t="s">
        <v>27</v>
      </c>
      <c r="I670" s="24" t="s">
        <v>237</v>
      </c>
      <c r="J670" s="15" t="s">
        <v>28</v>
      </c>
      <c r="K670" s="16" t="s">
        <v>29</v>
      </c>
      <c r="L670" s="61"/>
      <c r="M670" s="15"/>
      <c r="N670" s="15" t="s">
        <v>130</v>
      </c>
      <c r="O670" s="15"/>
      <c r="P670" s="16" t="s">
        <v>837</v>
      </c>
      <c r="Q670" s="17">
        <v>14399</v>
      </c>
      <c r="R670" s="18">
        <v>45</v>
      </c>
      <c r="S670" s="19">
        <v>9107.3674999999985</v>
      </c>
      <c r="T670" s="20" t="s">
        <v>75</v>
      </c>
      <c r="U670" s="21" t="s">
        <v>230</v>
      </c>
      <c r="V670" s="22">
        <v>46</v>
      </c>
      <c r="W670" s="22">
        <v>14</v>
      </c>
      <c r="X670" s="23"/>
    </row>
    <row r="671" spans="1:24" s="1" customFormat="1" ht="11" customHeight="1" x14ac:dyDescent="0.3">
      <c r="A671" s="24" t="s">
        <v>23</v>
      </c>
      <c r="B671" s="24" t="s">
        <v>841</v>
      </c>
      <c r="C671" s="12" t="s">
        <v>842</v>
      </c>
      <c r="D671" s="58"/>
      <c r="E671" s="43" t="str">
        <f t="shared" si="29"/>
        <v>Еще фото</v>
      </c>
      <c r="F671" s="14"/>
      <c r="G671" s="24" t="s">
        <v>237</v>
      </c>
      <c r="H671" s="24" t="s">
        <v>27</v>
      </c>
      <c r="I671" s="24" t="s">
        <v>237</v>
      </c>
      <c r="J671" s="15" t="s">
        <v>28</v>
      </c>
      <c r="K671" s="16" t="s">
        <v>29</v>
      </c>
      <c r="L671" s="61"/>
      <c r="M671" s="15"/>
      <c r="N671" s="15" t="s">
        <v>130</v>
      </c>
      <c r="O671" s="15"/>
      <c r="P671" s="16" t="s">
        <v>837</v>
      </c>
      <c r="Q671" s="17">
        <v>14399</v>
      </c>
      <c r="R671" s="18">
        <v>45</v>
      </c>
      <c r="S671" s="19">
        <v>9107.3674999999985</v>
      </c>
      <c r="T671" s="20" t="s">
        <v>75</v>
      </c>
      <c r="U671" s="21" t="s">
        <v>173</v>
      </c>
      <c r="V671" s="22">
        <v>46</v>
      </c>
      <c r="W671" s="22">
        <v>5</v>
      </c>
      <c r="X671" s="23"/>
    </row>
    <row r="672" spans="1:24" s="1" customFormat="1" ht="11" customHeight="1" x14ac:dyDescent="0.3">
      <c r="A672" s="24" t="s">
        <v>23</v>
      </c>
      <c r="B672" s="24" t="s">
        <v>841</v>
      </c>
      <c r="C672" s="12" t="s">
        <v>842</v>
      </c>
      <c r="D672" s="58"/>
      <c r="E672" s="43" t="str">
        <f t="shared" si="29"/>
        <v>Еще фото</v>
      </c>
      <c r="F672" s="14"/>
      <c r="G672" s="24" t="s">
        <v>237</v>
      </c>
      <c r="H672" s="24" t="s">
        <v>27</v>
      </c>
      <c r="I672" s="24" t="s">
        <v>237</v>
      </c>
      <c r="J672" s="15" t="s">
        <v>28</v>
      </c>
      <c r="K672" s="16" t="s">
        <v>29</v>
      </c>
      <c r="L672" s="61"/>
      <c r="M672" s="15"/>
      <c r="N672" s="15" t="s">
        <v>130</v>
      </c>
      <c r="O672" s="15"/>
      <c r="P672" s="16" t="s">
        <v>837</v>
      </c>
      <c r="Q672" s="17">
        <v>14399</v>
      </c>
      <c r="R672" s="18">
        <v>45</v>
      </c>
      <c r="S672" s="19">
        <v>9107.3674999999985</v>
      </c>
      <c r="T672" s="20" t="s">
        <v>75</v>
      </c>
      <c r="U672" s="21" t="s">
        <v>52</v>
      </c>
      <c r="V672" s="22">
        <v>48</v>
      </c>
      <c r="W672" s="22">
        <v>8</v>
      </c>
      <c r="X672" s="23"/>
    </row>
    <row r="673" spans="1:24" s="1" customFormat="1" ht="11" customHeight="1" x14ac:dyDescent="0.3">
      <c r="A673" s="24" t="s">
        <v>23</v>
      </c>
      <c r="B673" s="24" t="s">
        <v>841</v>
      </c>
      <c r="C673" s="12" t="s">
        <v>842</v>
      </c>
      <c r="D673" s="58"/>
      <c r="E673" s="43" t="str">
        <f t="shared" si="29"/>
        <v>Еще фото</v>
      </c>
      <c r="F673" s="14"/>
      <c r="G673" s="24" t="s">
        <v>237</v>
      </c>
      <c r="H673" s="24" t="s">
        <v>27</v>
      </c>
      <c r="I673" s="24" t="s">
        <v>237</v>
      </c>
      <c r="J673" s="15" t="s">
        <v>28</v>
      </c>
      <c r="K673" s="16" t="s">
        <v>29</v>
      </c>
      <c r="L673" s="61"/>
      <c r="M673" s="15"/>
      <c r="N673" s="15" t="s">
        <v>130</v>
      </c>
      <c r="O673" s="15"/>
      <c r="P673" s="16" t="s">
        <v>837</v>
      </c>
      <c r="Q673" s="17">
        <v>14399</v>
      </c>
      <c r="R673" s="18">
        <v>45</v>
      </c>
      <c r="S673" s="19">
        <v>9107.3674999999985</v>
      </c>
      <c r="T673" s="20" t="s">
        <v>75</v>
      </c>
      <c r="U673" s="21" t="s">
        <v>53</v>
      </c>
      <c r="V673" s="22">
        <v>48</v>
      </c>
      <c r="W673" s="22">
        <v>5</v>
      </c>
      <c r="X673" s="23"/>
    </row>
    <row r="674" spans="1:24" s="1" customFormat="1" ht="11" customHeight="1" x14ac:dyDescent="0.3">
      <c r="A674" s="15" t="s">
        <v>23</v>
      </c>
      <c r="B674" s="15" t="s">
        <v>841</v>
      </c>
      <c r="C674" s="12" t="s">
        <v>842</v>
      </c>
      <c r="D674" s="58"/>
      <c r="E674" s="43" t="str">
        <f t="shared" si="29"/>
        <v>Еще фото</v>
      </c>
      <c r="F674" s="26"/>
      <c r="G674" s="15" t="s">
        <v>237</v>
      </c>
      <c r="H674" s="15" t="s">
        <v>27</v>
      </c>
      <c r="I674" s="15" t="s">
        <v>237</v>
      </c>
      <c r="J674" s="15" t="s">
        <v>28</v>
      </c>
      <c r="K674" s="15" t="s">
        <v>29</v>
      </c>
      <c r="L674" s="61"/>
      <c r="M674" s="15"/>
      <c r="N674" s="15" t="s">
        <v>130</v>
      </c>
      <c r="O674" s="15"/>
      <c r="P674" s="15" t="s">
        <v>837</v>
      </c>
      <c r="Q674" s="27">
        <v>14399</v>
      </c>
      <c r="R674" s="28">
        <v>45</v>
      </c>
      <c r="S674" s="29">
        <v>9107.3674999999985</v>
      </c>
      <c r="T674" s="20" t="s">
        <v>75</v>
      </c>
      <c r="U674" s="21" t="s">
        <v>188</v>
      </c>
      <c r="V674" s="25" t="s">
        <v>96</v>
      </c>
      <c r="W674" s="22">
        <v>13</v>
      </c>
      <c r="X674" s="23"/>
    </row>
    <row r="675" spans="1:24" s="1" customFormat="1" ht="11" customHeight="1" x14ac:dyDescent="0.3">
      <c r="A675" s="15" t="s">
        <v>23</v>
      </c>
      <c r="B675" s="15" t="s">
        <v>841</v>
      </c>
      <c r="C675" s="12" t="s">
        <v>842</v>
      </c>
      <c r="D675" s="58"/>
      <c r="E675" s="43" t="str">
        <f t="shared" si="29"/>
        <v>Еще фото</v>
      </c>
      <c r="F675" s="26"/>
      <c r="G675" s="15" t="s">
        <v>237</v>
      </c>
      <c r="H675" s="15" t="s">
        <v>27</v>
      </c>
      <c r="I675" s="15" t="s">
        <v>237</v>
      </c>
      <c r="J675" s="15" t="s">
        <v>28</v>
      </c>
      <c r="K675" s="15" t="s">
        <v>29</v>
      </c>
      <c r="L675" s="61"/>
      <c r="M675" s="15"/>
      <c r="N675" s="15" t="s">
        <v>130</v>
      </c>
      <c r="O675" s="15"/>
      <c r="P675" s="15" t="s">
        <v>837</v>
      </c>
      <c r="Q675" s="27">
        <v>14399</v>
      </c>
      <c r="R675" s="28">
        <v>45</v>
      </c>
      <c r="S675" s="29">
        <v>9107.3674999999985</v>
      </c>
      <c r="T675" s="20" t="s">
        <v>75</v>
      </c>
      <c r="U675" s="21" t="s">
        <v>95</v>
      </c>
      <c r="V675" s="22">
        <v>50</v>
      </c>
      <c r="W675" s="22">
        <v>11</v>
      </c>
      <c r="X675" s="23"/>
    </row>
    <row r="676" spans="1:24" s="1" customFormat="1" ht="11" customHeight="1" x14ac:dyDescent="0.3">
      <c r="A676" s="15" t="s">
        <v>23</v>
      </c>
      <c r="B676" s="15" t="s">
        <v>841</v>
      </c>
      <c r="C676" s="12" t="s">
        <v>842</v>
      </c>
      <c r="D676" s="59"/>
      <c r="E676" s="43" t="str">
        <f t="shared" si="29"/>
        <v>Еще фото</v>
      </c>
      <c r="F676" s="26"/>
      <c r="G676" s="15" t="s">
        <v>237</v>
      </c>
      <c r="H676" s="15" t="s">
        <v>27</v>
      </c>
      <c r="I676" s="15" t="s">
        <v>237</v>
      </c>
      <c r="J676" s="15" t="s">
        <v>28</v>
      </c>
      <c r="K676" s="15" t="s">
        <v>29</v>
      </c>
      <c r="L676" s="62"/>
      <c r="M676" s="15"/>
      <c r="N676" s="15" t="s">
        <v>130</v>
      </c>
      <c r="O676" s="15"/>
      <c r="P676" s="15" t="s">
        <v>837</v>
      </c>
      <c r="Q676" s="27">
        <v>14399</v>
      </c>
      <c r="R676" s="28">
        <v>45</v>
      </c>
      <c r="S676" s="29">
        <v>9107.3674999999985</v>
      </c>
      <c r="T676" s="20" t="s">
        <v>75</v>
      </c>
      <c r="U676" s="21" t="s">
        <v>165</v>
      </c>
      <c r="V676" s="22">
        <v>50</v>
      </c>
      <c r="W676" s="22">
        <v>5</v>
      </c>
      <c r="X676" s="23"/>
    </row>
    <row r="677" spans="1:24" s="1" customFormat="1" ht="108" customHeight="1" x14ac:dyDescent="0.3">
      <c r="A677" s="11" t="s">
        <v>23</v>
      </c>
      <c r="B677" s="11" t="s">
        <v>843</v>
      </c>
      <c r="C677" s="12" t="s">
        <v>844</v>
      </c>
      <c r="D677" s="13"/>
      <c r="E677" s="43" t="str">
        <f>HYPERLINK("https://www.google.ru/search?q=0036A-0005&amp;newwindow=1&amp;tbm=isch","Еще фото")</f>
        <v>Еще фото</v>
      </c>
      <c r="F677" s="14" t="s">
        <v>182</v>
      </c>
      <c r="G677" s="11" t="s">
        <v>237</v>
      </c>
      <c r="H677" s="11" t="s">
        <v>27</v>
      </c>
      <c r="I677" s="15" t="s">
        <v>237</v>
      </c>
      <c r="J677" s="15" t="s">
        <v>28</v>
      </c>
      <c r="K677" s="16" t="s">
        <v>29</v>
      </c>
      <c r="L677" s="15" t="s">
        <v>845</v>
      </c>
      <c r="M677" s="15"/>
      <c r="N677" s="15" t="s">
        <v>130</v>
      </c>
      <c r="O677" s="15"/>
      <c r="P677" s="16" t="s">
        <v>254</v>
      </c>
      <c r="Q677" s="17">
        <v>19499</v>
      </c>
      <c r="R677" s="18">
        <v>45</v>
      </c>
      <c r="S677" s="19">
        <v>12333.1175</v>
      </c>
      <c r="T677" s="20" t="s">
        <v>75</v>
      </c>
      <c r="U677" s="21" t="s">
        <v>51</v>
      </c>
      <c r="V677" s="22">
        <v>44</v>
      </c>
      <c r="W677" s="22">
        <v>1</v>
      </c>
      <c r="X677" s="23"/>
    </row>
    <row r="678" spans="1:24" s="1" customFormat="1" ht="11" customHeight="1" x14ac:dyDescent="0.3">
      <c r="A678" s="11" t="s">
        <v>23</v>
      </c>
      <c r="B678" s="11" t="s">
        <v>846</v>
      </c>
      <c r="C678" s="12" t="s">
        <v>847</v>
      </c>
      <c r="D678" s="57"/>
      <c r="E678" s="43" t="str">
        <f t="shared" ref="E678:E689" si="30">HYPERLINK("https://www.google.ru/search?q=0039B-0000&amp;newwindow=1&amp;tbm=isch","Еще фото")</f>
        <v>Еще фото</v>
      </c>
      <c r="F678" s="14" t="s">
        <v>182</v>
      </c>
      <c r="G678" s="11" t="s">
        <v>237</v>
      </c>
      <c r="H678" s="11" t="s">
        <v>27</v>
      </c>
      <c r="I678" s="15" t="s">
        <v>237</v>
      </c>
      <c r="J678" s="15" t="s">
        <v>28</v>
      </c>
      <c r="K678" s="16" t="s">
        <v>29</v>
      </c>
      <c r="L678" s="60"/>
      <c r="M678" s="15"/>
      <c r="N678" s="15" t="s">
        <v>39</v>
      </c>
      <c r="O678" s="15"/>
      <c r="P678" s="16" t="s">
        <v>187</v>
      </c>
      <c r="Q678" s="17">
        <v>18899</v>
      </c>
      <c r="R678" s="18">
        <v>45</v>
      </c>
      <c r="S678" s="19">
        <v>11953.6175</v>
      </c>
      <c r="T678" s="20" t="s">
        <v>75</v>
      </c>
      <c r="U678" s="21" t="s">
        <v>43</v>
      </c>
      <c r="V678" s="25" t="s">
        <v>44</v>
      </c>
      <c r="W678" s="22">
        <v>1</v>
      </c>
      <c r="X678" s="23"/>
    </row>
    <row r="679" spans="1:24" s="1" customFormat="1" ht="11" customHeight="1" x14ac:dyDescent="0.3">
      <c r="A679" s="24" t="s">
        <v>23</v>
      </c>
      <c r="B679" s="24" t="s">
        <v>846</v>
      </c>
      <c r="C679" s="12" t="s">
        <v>847</v>
      </c>
      <c r="D679" s="58"/>
      <c r="E679" s="43" t="str">
        <f t="shared" si="30"/>
        <v>Еще фото</v>
      </c>
      <c r="F679" s="14" t="s">
        <v>182</v>
      </c>
      <c r="G679" s="24" t="s">
        <v>237</v>
      </c>
      <c r="H679" s="24" t="s">
        <v>27</v>
      </c>
      <c r="I679" s="24" t="s">
        <v>237</v>
      </c>
      <c r="J679" s="15" t="s">
        <v>28</v>
      </c>
      <c r="K679" s="16" t="s">
        <v>29</v>
      </c>
      <c r="L679" s="61"/>
      <c r="M679" s="15"/>
      <c r="N679" s="15" t="s">
        <v>39</v>
      </c>
      <c r="O679" s="15"/>
      <c r="P679" s="16" t="s">
        <v>187</v>
      </c>
      <c r="Q679" s="17">
        <v>18899</v>
      </c>
      <c r="R679" s="18">
        <v>45</v>
      </c>
      <c r="S679" s="19">
        <v>11953.6175</v>
      </c>
      <c r="T679" s="20" t="s">
        <v>75</v>
      </c>
      <c r="U679" s="21" t="s">
        <v>45</v>
      </c>
      <c r="V679" s="25" t="s">
        <v>44</v>
      </c>
      <c r="W679" s="22">
        <v>2</v>
      </c>
      <c r="X679" s="23"/>
    </row>
    <row r="680" spans="1:24" s="1" customFormat="1" ht="11" customHeight="1" x14ac:dyDescent="0.3">
      <c r="A680" s="24" t="s">
        <v>23</v>
      </c>
      <c r="B680" s="24" t="s">
        <v>846</v>
      </c>
      <c r="C680" s="12" t="s">
        <v>847</v>
      </c>
      <c r="D680" s="58"/>
      <c r="E680" s="43" t="str">
        <f t="shared" si="30"/>
        <v>Еще фото</v>
      </c>
      <c r="F680" s="14" t="s">
        <v>182</v>
      </c>
      <c r="G680" s="24" t="s">
        <v>237</v>
      </c>
      <c r="H680" s="24" t="s">
        <v>27</v>
      </c>
      <c r="I680" s="24" t="s">
        <v>237</v>
      </c>
      <c r="J680" s="15" t="s">
        <v>28</v>
      </c>
      <c r="K680" s="16" t="s">
        <v>29</v>
      </c>
      <c r="L680" s="61"/>
      <c r="M680" s="15"/>
      <c r="N680" s="15" t="s">
        <v>39</v>
      </c>
      <c r="O680" s="15"/>
      <c r="P680" s="16" t="s">
        <v>187</v>
      </c>
      <c r="Q680" s="17">
        <v>18899</v>
      </c>
      <c r="R680" s="18">
        <v>45</v>
      </c>
      <c r="S680" s="19">
        <v>11953.6175</v>
      </c>
      <c r="T680" s="20" t="s">
        <v>75</v>
      </c>
      <c r="U680" s="21" t="s">
        <v>46</v>
      </c>
      <c r="V680" s="22">
        <v>42</v>
      </c>
      <c r="W680" s="22">
        <v>1</v>
      </c>
      <c r="X680" s="23"/>
    </row>
    <row r="681" spans="1:24" s="1" customFormat="1" ht="11" customHeight="1" x14ac:dyDescent="0.3">
      <c r="A681" s="24" t="s">
        <v>23</v>
      </c>
      <c r="B681" s="24" t="s">
        <v>846</v>
      </c>
      <c r="C681" s="12" t="s">
        <v>847</v>
      </c>
      <c r="D681" s="58"/>
      <c r="E681" s="43" t="str">
        <f t="shared" si="30"/>
        <v>Еще фото</v>
      </c>
      <c r="F681" s="14" t="s">
        <v>182</v>
      </c>
      <c r="G681" s="24" t="s">
        <v>237</v>
      </c>
      <c r="H681" s="24" t="s">
        <v>27</v>
      </c>
      <c r="I681" s="24" t="s">
        <v>237</v>
      </c>
      <c r="J681" s="15" t="s">
        <v>28</v>
      </c>
      <c r="K681" s="16" t="s">
        <v>29</v>
      </c>
      <c r="L681" s="61"/>
      <c r="M681" s="15"/>
      <c r="N681" s="15" t="s">
        <v>39</v>
      </c>
      <c r="O681" s="15"/>
      <c r="P681" s="16" t="s">
        <v>187</v>
      </c>
      <c r="Q681" s="17">
        <v>18899</v>
      </c>
      <c r="R681" s="18">
        <v>45</v>
      </c>
      <c r="S681" s="19">
        <v>11953.6175</v>
      </c>
      <c r="T681" s="20" t="s">
        <v>75</v>
      </c>
      <c r="U681" s="21" t="s">
        <v>158</v>
      </c>
      <c r="V681" s="22">
        <v>42</v>
      </c>
      <c r="W681" s="22">
        <v>1</v>
      </c>
      <c r="X681" s="23"/>
    </row>
    <row r="682" spans="1:24" s="1" customFormat="1" ht="11" customHeight="1" x14ac:dyDescent="0.3">
      <c r="A682" s="24" t="s">
        <v>23</v>
      </c>
      <c r="B682" s="24" t="s">
        <v>846</v>
      </c>
      <c r="C682" s="12" t="s">
        <v>847</v>
      </c>
      <c r="D682" s="58"/>
      <c r="E682" s="43" t="str">
        <f t="shared" si="30"/>
        <v>Еще фото</v>
      </c>
      <c r="F682" s="14" t="s">
        <v>182</v>
      </c>
      <c r="G682" s="24" t="s">
        <v>237</v>
      </c>
      <c r="H682" s="24" t="s">
        <v>27</v>
      </c>
      <c r="I682" s="24" t="s">
        <v>237</v>
      </c>
      <c r="J682" s="15" t="s">
        <v>28</v>
      </c>
      <c r="K682" s="16" t="s">
        <v>29</v>
      </c>
      <c r="L682" s="61"/>
      <c r="M682" s="15"/>
      <c r="N682" s="15" t="s">
        <v>39</v>
      </c>
      <c r="O682" s="15"/>
      <c r="P682" s="16" t="s">
        <v>187</v>
      </c>
      <c r="Q682" s="17">
        <v>18899</v>
      </c>
      <c r="R682" s="18">
        <v>45</v>
      </c>
      <c r="S682" s="19">
        <v>11953.6175</v>
      </c>
      <c r="T682" s="20" t="s">
        <v>75</v>
      </c>
      <c r="U682" s="21" t="s">
        <v>47</v>
      </c>
      <c r="V682" s="25" t="s">
        <v>48</v>
      </c>
      <c r="W682" s="22">
        <v>1</v>
      </c>
      <c r="X682" s="23"/>
    </row>
    <row r="683" spans="1:24" s="1" customFormat="1" ht="11" customHeight="1" x14ac:dyDescent="0.3">
      <c r="A683" s="24" t="s">
        <v>23</v>
      </c>
      <c r="B683" s="24" t="s">
        <v>846</v>
      </c>
      <c r="C683" s="12" t="s">
        <v>847</v>
      </c>
      <c r="D683" s="58"/>
      <c r="E683" s="43" t="str">
        <f t="shared" si="30"/>
        <v>Еще фото</v>
      </c>
      <c r="F683" s="14" t="s">
        <v>182</v>
      </c>
      <c r="G683" s="24" t="s">
        <v>237</v>
      </c>
      <c r="H683" s="24" t="s">
        <v>27</v>
      </c>
      <c r="I683" s="24" t="s">
        <v>237</v>
      </c>
      <c r="J683" s="15" t="s">
        <v>28</v>
      </c>
      <c r="K683" s="16" t="s">
        <v>29</v>
      </c>
      <c r="L683" s="61"/>
      <c r="M683" s="15"/>
      <c r="N683" s="15" t="s">
        <v>39</v>
      </c>
      <c r="O683" s="15"/>
      <c r="P683" s="16" t="s">
        <v>187</v>
      </c>
      <c r="Q683" s="17">
        <v>18899</v>
      </c>
      <c r="R683" s="18">
        <v>45</v>
      </c>
      <c r="S683" s="19">
        <v>11953.6175</v>
      </c>
      <c r="T683" s="20" t="s">
        <v>75</v>
      </c>
      <c r="U683" s="21" t="s">
        <v>49</v>
      </c>
      <c r="V683" s="25" t="s">
        <v>48</v>
      </c>
      <c r="W683" s="22">
        <v>1</v>
      </c>
      <c r="X683" s="23"/>
    </row>
    <row r="684" spans="1:24" s="1" customFormat="1" ht="11" customHeight="1" x14ac:dyDescent="0.3">
      <c r="A684" s="24" t="s">
        <v>23</v>
      </c>
      <c r="B684" s="24" t="s">
        <v>846</v>
      </c>
      <c r="C684" s="12" t="s">
        <v>847</v>
      </c>
      <c r="D684" s="58"/>
      <c r="E684" s="43" t="str">
        <f t="shared" si="30"/>
        <v>Еще фото</v>
      </c>
      <c r="F684" s="14" t="s">
        <v>182</v>
      </c>
      <c r="G684" s="24" t="s">
        <v>237</v>
      </c>
      <c r="H684" s="24" t="s">
        <v>27</v>
      </c>
      <c r="I684" s="24" t="s">
        <v>237</v>
      </c>
      <c r="J684" s="15" t="s">
        <v>28</v>
      </c>
      <c r="K684" s="16" t="s">
        <v>29</v>
      </c>
      <c r="L684" s="61"/>
      <c r="M684" s="15"/>
      <c r="N684" s="15" t="s">
        <v>39</v>
      </c>
      <c r="O684" s="15"/>
      <c r="P684" s="16" t="s">
        <v>187</v>
      </c>
      <c r="Q684" s="17">
        <v>18899</v>
      </c>
      <c r="R684" s="18">
        <v>45</v>
      </c>
      <c r="S684" s="19">
        <v>11953.6175</v>
      </c>
      <c r="T684" s="20" t="s">
        <v>75</v>
      </c>
      <c r="U684" s="21" t="s">
        <v>337</v>
      </c>
      <c r="V684" s="25" t="s">
        <v>48</v>
      </c>
      <c r="W684" s="22">
        <v>1</v>
      </c>
      <c r="X684" s="23"/>
    </row>
    <row r="685" spans="1:24" s="1" customFormat="1" ht="11" customHeight="1" x14ac:dyDescent="0.3">
      <c r="A685" s="24" t="s">
        <v>23</v>
      </c>
      <c r="B685" s="24" t="s">
        <v>846</v>
      </c>
      <c r="C685" s="12" t="s">
        <v>847</v>
      </c>
      <c r="D685" s="58"/>
      <c r="E685" s="43" t="str">
        <f t="shared" si="30"/>
        <v>Еще фото</v>
      </c>
      <c r="F685" s="14" t="s">
        <v>182</v>
      </c>
      <c r="G685" s="24" t="s">
        <v>237</v>
      </c>
      <c r="H685" s="24" t="s">
        <v>27</v>
      </c>
      <c r="I685" s="24" t="s">
        <v>237</v>
      </c>
      <c r="J685" s="15" t="s">
        <v>28</v>
      </c>
      <c r="K685" s="16" t="s">
        <v>29</v>
      </c>
      <c r="L685" s="61"/>
      <c r="M685" s="15"/>
      <c r="N685" s="15" t="s">
        <v>39</v>
      </c>
      <c r="O685" s="15"/>
      <c r="P685" s="16" t="s">
        <v>187</v>
      </c>
      <c r="Q685" s="17">
        <v>18899</v>
      </c>
      <c r="R685" s="18">
        <v>45</v>
      </c>
      <c r="S685" s="19">
        <v>11953.6175</v>
      </c>
      <c r="T685" s="20" t="s">
        <v>75</v>
      </c>
      <c r="U685" s="21" t="s">
        <v>50</v>
      </c>
      <c r="V685" s="22">
        <v>44</v>
      </c>
      <c r="W685" s="22">
        <v>1</v>
      </c>
      <c r="X685" s="23"/>
    </row>
    <row r="686" spans="1:24" s="1" customFormat="1" ht="11" customHeight="1" x14ac:dyDescent="0.3">
      <c r="A686" s="24" t="s">
        <v>23</v>
      </c>
      <c r="B686" s="24" t="s">
        <v>846</v>
      </c>
      <c r="C686" s="12" t="s">
        <v>847</v>
      </c>
      <c r="D686" s="58"/>
      <c r="E686" s="43" t="str">
        <f t="shared" si="30"/>
        <v>Еще фото</v>
      </c>
      <c r="F686" s="14" t="s">
        <v>182</v>
      </c>
      <c r="G686" s="24" t="s">
        <v>237</v>
      </c>
      <c r="H686" s="24" t="s">
        <v>27</v>
      </c>
      <c r="I686" s="24" t="s">
        <v>237</v>
      </c>
      <c r="J686" s="15" t="s">
        <v>28</v>
      </c>
      <c r="K686" s="16" t="s">
        <v>29</v>
      </c>
      <c r="L686" s="61"/>
      <c r="M686" s="15"/>
      <c r="N686" s="15" t="s">
        <v>39</v>
      </c>
      <c r="O686" s="15"/>
      <c r="P686" s="16" t="s">
        <v>187</v>
      </c>
      <c r="Q686" s="17">
        <v>18899</v>
      </c>
      <c r="R686" s="18">
        <v>45</v>
      </c>
      <c r="S686" s="19">
        <v>11953.6175</v>
      </c>
      <c r="T686" s="20" t="s">
        <v>75</v>
      </c>
      <c r="U686" s="21" t="s">
        <v>173</v>
      </c>
      <c r="V686" s="22">
        <v>46</v>
      </c>
      <c r="W686" s="22">
        <v>1</v>
      </c>
      <c r="X686" s="23"/>
    </row>
    <row r="687" spans="1:24" s="1" customFormat="1" ht="11" customHeight="1" x14ac:dyDescent="0.3">
      <c r="A687" s="15" t="s">
        <v>23</v>
      </c>
      <c r="B687" s="15" t="s">
        <v>846</v>
      </c>
      <c r="C687" s="12" t="s">
        <v>847</v>
      </c>
      <c r="D687" s="58"/>
      <c r="E687" s="43" t="str">
        <f t="shared" si="30"/>
        <v>Еще фото</v>
      </c>
      <c r="F687" s="26" t="s">
        <v>182</v>
      </c>
      <c r="G687" s="15" t="s">
        <v>237</v>
      </c>
      <c r="H687" s="15" t="s">
        <v>27</v>
      </c>
      <c r="I687" s="15" t="s">
        <v>237</v>
      </c>
      <c r="J687" s="15" t="s">
        <v>28</v>
      </c>
      <c r="K687" s="15" t="s">
        <v>29</v>
      </c>
      <c r="L687" s="61"/>
      <c r="M687" s="15"/>
      <c r="N687" s="15" t="s">
        <v>39</v>
      </c>
      <c r="O687" s="15"/>
      <c r="P687" s="15" t="s">
        <v>187</v>
      </c>
      <c r="Q687" s="27">
        <v>18899</v>
      </c>
      <c r="R687" s="28">
        <v>45</v>
      </c>
      <c r="S687" s="29">
        <v>11953.6175</v>
      </c>
      <c r="T687" s="20" t="s">
        <v>75</v>
      </c>
      <c r="U687" s="21" t="s">
        <v>53</v>
      </c>
      <c r="V687" s="22">
        <v>48</v>
      </c>
      <c r="W687" s="22">
        <v>1</v>
      </c>
      <c r="X687" s="23"/>
    </row>
    <row r="688" spans="1:24" s="1" customFormat="1" ht="11" customHeight="1" x14ac:dyDescent="0.3">
      <c r="A688" s="15" t="s">
        <v>23</v>
      </c>
      <c r="B688" s="15" t="s">
        <v>846</v>
      </c>
      <c r="C688" s="12" t="s">
        <v>847</v>
      </c>
      <c r="D688" s="58"/>
      <c r="E688" s="43" t="str">
        <f t="shared" si="30"/>
        <v>Еще фото</v>
      </c>
      <c r="F688" s="26" t="s">
        <v>182</v>
      </c>
      <c r="G688" s="15" t="s">
        <v>237</v>
      </c>
      <c r="H688" s="15" t="s">
        <v>27</v>
      </c>
      <c r="I688" s="15" t="s">
        <v>237</v>
      </c>
      <c r="J688" s="15" t="s">
        <v>28</v>
      </c>
      <c r="K688" s="15" t="s">
        <v>29</v>
      </c>
      <c r="L688" s="61"/>
      <c r="M688" s="15"/>
      <c r="N688" s="15" t="s">
        <v>39</v>
      </c>
      <c r="O688" s="15"/>
      <c r="P688" s="15" t="s">
        <v>187</v>
      </c>
      <c r="Q688" s="27">
        <v>18899</v>
      </c>
      <c r="R688" s="28">
        <v>45</v>
      </c>
      <c r="S688" s="29">
        <v>11953.6175</v>
      </c>
      <c r="T688" s="20" t="s">
        <v>75</v>
      </c>
      <c r="U688" s="21" t="s">
        <v>109</v>
      </c>
      <c r="V688" s="25" t="s">
        <v>96</v>
      </c>
      <c r="W688" s="22">
        <v>1</v>
      </c>
      <c r="X688" s="23"/>
    </row>
    <row r="689" spans="1:24" s="1" customFormat="1" ht="11" customHeight="1" x14ac:dyDescent="0.3">
      <c r="A689" s="15" t="s">
        <v>23</v>
      </c>
      <c r="B689" s="15" t="s">
        <v>846</v>
      </c>
      <c r="C689" s="12" t="s">
        <v>847</v>
      </c>
      <c r="D689" s="59"/>
      <c r="E689" s="43" t="str">
        <f t="shared" si="30"/>
        <v>Еще фото</v>
      </c>
      <c r="F689" s="26" t="s">
        <v>182</v>
      </c>
      <c r="G689" s="15" t="s">
        <v>237</v>
      </c>
      <c r="H689" s="15" t="s">
        <v>27</v>
      </c>
      <c r="I689" s="15" t="s">
        <v>237</v>
      </c>
      <c r="J689" s="15" t="s">
        <v>28</v>
      </c>
      <c r="K689" s="15" t="s">
        <v>29</v>
      </c>
      <c r="L689" s="62"/>
      <c r="M689" s="15"/>
      <c r="N689" s="15" t="s">
        <v>39</v>
      </c>
      <c r="O689" s="15"/>
      <c r="P689" s="15" t="s">
        <v>187</v>
      </c>
      <c r="Q689" s="27">
        <v>18899</v>
      </c>
      <c r="R689" s="28">
        <v>45</v>
      </c>
      <c r="S689" s="29">
        <v>11953.6175</v>
      </c>
      <c r="T689" s="20" t="s">
        <v>75</v>
      </c>
      <c r="U689" s="21" t="s">
        <v>165</v>
      </c>
      <c r="V689" s="22">
        <v>50</v>
      </c>
      <c r="W689" s="22">
        <v>1</v>
      </c>
      <c r="X689" s="23"/>
    </row>
    <row r="690" spans="1:24" s="1" customFormat="1" ht="108" customHeight="1" x14ac:dyDescent="0.3">
      <c r="A690" s="11" t="s">
        <v>23</v>
      </c>
      <c r="B690" s="11" t="s">
        <v>848</v>
      </c>
      <c r="C690" s="12" t="s">
        <v>849</v>
      </c>
      <c r="D690" s="13"/>
      <c r="E690" s="43" t="str">
        <f>HYPERLINK("https://www.google.ru/search?q=0039B-0002&amp;newwindow=1&amp;tbm=isch","Еще фото")</f>
        <v>Еще фото</v>
      </c>
      <c r="F690" s="14" t="s">
        <v>182</v>
      </c>
      <c r="G690" s="11" t="s">
        <v>237</v>
      </c>
      <c r="H690" s="11" t="s">
        <v>27</v>
      </c>
      <c r="I690" s="15" t="s">
        <v>237</v>
      </c>
      <c r="J690" s="15" t="s">
        <v>37</v>
      </c>
      <c r="K690" s="16" t="s">
        <v>29</v>
      </c>
      <c r="L690" s="15" t="s">
        <v>850</v>
      </c>
      <c r="M690" s="15"/>
      <c r="N690" s="15" t="s">
        <v>130</v>
      </c>
      <c r="O690" s="15"/>
      <c r="P690" s="16" t="s">
        <v>88</v>
      </c>
      <c r="Q690" s="17">
        <v>19899</v>
      </c>
      <c r="R690" s="18">
        <v>45</v>
      </c>
      <c r="S690" s="19">
        <v>12586.1175</v>
      </c>
      <c r="T690" s="20" t="s">
        <v>75</v>
      </c>
      <c r="U690" s="21" t="s">
        <v>46</v>
      </c>
      <c r="V690" s="22">
        <v>42</v>
      </c>
      <c r="W690" s="22">
        <v>1</v>
      </c>
      <c r="X690" s="23"/>
    </row>
    <row r="691" spans="1:24" s="1" customFormat="1" ht="11" customHeight="1" x14ac:dyDescent="0.3">
      <c r="A691" s="11" t="s">
        <v>23</v>
      </c>
      <c r="B691" s="11" t="s">
        <v>848</v>
      </c>
      <c r="C691" s="12" t="s">
        <v>851</v>
      </c>
      <c r="D691" s="57"/>
      <c r="E691" s="43" t="str">
        <f t="shared" ref="E691:E700" si="31">HYPERLINK("https://www.google.ru/search?q=0039B-0004&amp;newwindow=1&amp;tbm=isch","Еще фото")</f>
        <v>Еще фото</v>
      </c>
      <c r="F691" s="14" t="s">
        <v>182</v>
      </c>
      <c r="G691" s="11" t="s">
        <v>237</v>
      </c>
      <c r="H691" s="11" t="s">
        <v>27</v>
      </c>
      <c r="I691" s="15" t="s">
        <v>237</v>
      </c>
      <c r="J691" s="15" t="s">
        <v>37</v>
      </c>
      <c r="K691" s="16" t="s">
        <v>29</v>
      </c>
      <c r="L691" s="60" t="s">
        <v>850</v>
      </c>
      <c r="M691" s="15"/>
      <c r="N691" s="15" t="s">
        <v>130</v>
      </c>
      <c r="O691" s="15"/>
      <c r="P691" s="16" t="s">
        <v>187</v>
      </c>
      <c r="Q691" s="17">
        <v>18899</v>
      </c>
      <c r="R691" s="18">
        <v>45</v>
      </c>
      <c r="S691" s="19">
        <v>11953.6175</v>
      </c>
      <c r="T691" s="20" t="s">
        <v>75</v>
      </c>
      <c r="U691" s="21" t="s">
        <v>45</v>
      </c>
      <c r="V691" s="25" t="s">
        <v>44</v>
      </c>
      <c r="W691" s="22">
        <v>2</v>
      </c>
      <c r="X691" s="23"/>
    </row>
    <row r="692" spans="1:24" s="1" customFormat="1" ht="11" customHeight="1" x14ac:dyDescent="0.3">
      <c r="A692" s="24" t="s">
        <v>23</v>
      </c>
      <c r="B692" s="24" t="s">
        <v>848</v>
      </c>
      <c r="C692" s="12" t="s">
        <v>851</v>
      </c>
      <c r="D692" s="58"/>
      <c r="E692" s="43" t="str">
        <f t="shared" si="31"/>
        <v>Еще фото</v>
      </c>
      <c r="F692" s="14" t="s">
        <v>182</v>
      </c>
      <c r="G692" s="24" t="s">
        <v>237</v>
      </c>
      <c r="H692" s="24" t="s">
        <v>27</v>
      </c>
      <c r="I692" s="24" t="s">
        <v>237</v>
      </c>
      <c r="J692" s="15" t="s">
        <v>37</v>
      </c>
      <c r="K692" s="16" t="s">
        <v>29</v>
      </c>
      <c r="L692" s="61"/>
      <c r="M692" s="15"/>
      <c r="N692" s="15" t="s">
        <v>130</v>
      </c>
      <c r="O692" s="15"/>
      <c r="P692" s="16" t="s">
        <v>187</v>
      </c>
      <c r="Q692" s="17">
        <v>18899</v>
      </c>
      <c r="R692" s="18">
        <v>45</v>
      </c>
      <c r="S692" s="19">
        <v>11953.6175</v>
      </c>
      <c r="T692" s="20" t="s">
        <v>75</v>
      </c>
      <c r="U692" s="21" t="s">
        <v>46</v>
      </c>
      <c r="V692" s="22">
        <v>42</v>
      </c>
      <c r="W692" s="22">
        <v>2</v>
      </c>
      <c r="X692" s="23"/>
    </row>
    <row r="693" spans="1:24" s="1" customFormat="1" ht="11" customHeight="1" x14ac:dyDescent="0.3">
      <c r="A693" s="24" t="s">
        <v>23</v>
      </c>
      <c r="B693" s="24" t="s">
        <v>848</v>
      </c>
      <c r="C693" s="12" t="s">
        <v>851</v>
      </c>
      <c r="D693" s="58"/>
      <c r="E693" s="43" t="str">
        <f t="shared" si="31"/>
        <v>Еще фото</v>
      </c>
      <c r="F693" s="14" t="s">
        <v>182</v>
      </c>
      <c r="G693" s="24" t="s">
        <v>237</v>
      </c>
      <c r="H693" s="24" t="s">
        <v>27</v>
      </c>
      <c r="I693" s="24" t="s">
        <v>237</v>
      </c>
      <c r="J693" s="15" t="s">
        <v>37</v>
      </c>
      <c r="K693" s="16" t="s">
        <v>29</v>
      </c>
      <c r="L693" s="61"/>
      <c r="M693" s="15"/>
      <c r="N693" s="15" t="s">
        <v>130</v>
      </c>
      <c r="O693" s="15"/>
      <c r="P693" s="16" t="s">
        <v>187</v>
      </c>
      <c r="Q693" s="17">
        <v>18899</v>
      </c>
      <c r="R693" s="18">
        <v>45</v>
      </c>
      <c r="S693" s="19">
        <v>11953.6175</v>
      </c>
      <c r="T693" s="20" t="s">
        <v>75</v>
      </c>
      <c r="U693" s="21" t="s">
        <v>158</v>
      </c>
      <c r="V693" s="22">
        <v>42</v>
      </c>
      <c r="W693" s="22">
        <v>1</v>
      </c>
      <c r="X693" s="23"/>
    </row>
    <row r="694" spans="1:24" s="1" customFormat="1" ht="11" customHeight="1" x14ac:dyDescent="0.3">
      <c r="A694" s="24" t="s">
        <v>23</v>
      </c>
      <c r="B694" s="24" t="s">
        <v>848</v>
      </c>
      <c r="C694" s="12" t="s">
        <v>851</v>
      </c>
      <c r="D694" s="58"/>
      <c r="E694" s="43" t="str">
        <f t="shared" si="31"/>
        <v>Еще фото</v>
      </c>
      <c r="F694" s="14" t="s">
        <v>182</v>
      </c>
      <c r="G694" s="24" t="s">
        <v>237</v>
      </c>
      <c r="H694" s="24" t="s">
        <v>27</v>
      </c>
      <c r="I694" s="24" t="s">
        <v>237</v>
      </c>
      <c r="J694" s="15" t="s">
        <v>37</v>
      </c>
      <c r="K694" s="16" t="s">
        <v>29</v>
      </c>
      <c r="L694" s="61"/>
      <c r="M694" s="15"/>
      <c r="N694" s="15" t="s">
        <v>130</v>
      </c>
      <c r="O694" s="15"/>
      <c r="P694" s="16" t="s">
        <v>187</v>
      </c>
      <c r="Q694" s="17">
        <v>18899</v>
      </c>
      <c r="R694" s="18">
        <v>45</v>
      </c>
      <c r="S694" s="19">
        <v>11953.6175</v>
      </c>
      <c r="T694" s="20" t="s">
        <v>75</v>
      </c>
      <c r="U694" s="21" t="s">
        <v>49</v>
      </c>
      <c r="V694" s="25" t="s">
        <v>48</v>
      </c>
      <c r="W694" s="22">
        <v>2</v>
      </c>
      <c r="X694" s="23"/>
    </row>
    <row r="695" spans="1:24" s="1" customFormat="1" ht="11" customHeight="1" x14ac:dyDescent="0.3">
      <c r="A695" s="24" t="s">
        <v>23</v>
      </c>
      <c r="B695" s="24" t="s">
        <v>848</v>
      </c>
      <c r="C695" s="12" t="s">
        <v>851</v>
      </c>
      <c r="D695" s="58"/>
      <c r="E695" s="43" t="str">
        <f t="shared" si="31"/>
        <v>Еще фото</v>
      </c>
      <c r="F695" s="14" t="s">
        <v>182</v>
      </c>
      <c r="G695" s="24" t="s">
        <v>237</v>
      </c>
      <c r="H695" s="24" t="s">
        <v>27</v>
      </c>
      <c r="I695" s="24" t="s">
        <v>237</v>
      </c>
      <c r="J695" s="15" t="s">
        <v>37</v>
      </c>
      <c r="K695" s="16" t="s">
        <v>29</v>
      </c>
      <c r="L695" s="61"/>
      <c r="M695" s="15"/>
      <c r="N695" s="15" t="s">
        <v>130</v>
      </c>
      <c r="O695" s="15"/>
      <c r="P695" s="16" t="s">
        <v>187</v>
      </c>
      <c r="Q695" s="17">
        <v>18899</v>
      </c>
      <c r="R695" s="18">
        <v>45</v>
      </c>
      <c r="S695" s="19">
        <v>11953.6175</v>
      </c>
      <c r="T695" s="20" t="s">
        <v>75</v>
      </c>
      <c r="U695" s="21" t="s">
        <v>337</v>
      </c>
      <c r="V695" s="25" t="s">
        <v>48</v>
      </c>
      <c r="W695" s="22">
        <v>2</v>
      </c>
      <c r="X695" s="23"/>
    </row>
    <row r="696" spans="1:24" s="1" customFormat="1" ht="11" customHeight="1" x14ac:dyDescent="0.3">
      <c r="A696" s="24" t="s">
        <v>23</v>
      </c>
      <c r="B696" s="24" t="s">
        <v>848</v>
      </c>
      <c r="C696" s="12" t="s">
        <v>851</v>
      </c>
      <c r="D696" s="58"/>
      <c r="E696" s="43" t="str">
        <f t="shared" si="31"/>
        <v>Еще фото</v>
      </c>
      <c r="F696" s="14" t="s">
        <v>182</v>
      </c>
      <c r="G696" s="24" t="s">
        <v>237</v>
      </c>
      <c r="H696" s="24" t="s">
        <v>27</v>
      </c>
      <c r="I696" s="24" t="s">
        <v>237</v>
      </c>
      <c r="J696" s="15" t="s">
        <v>37</v>
      </c>
      <c r="K696" s="16" t="s">
        <v>29</v>
      </c>
      <c r="L696" s="61"/>
      <c r="M696" s="15"/>
      <c r="N696" s="15" t="s">
        <v>130</v>
      </c>
      <c r="O696" s="15"/>
      <c r="P696" s="16" t="s">
        <v>187</v>
      </c>
      <c r="Q696" s="17">
        <v>18899</v>
      </c>
      <c r="R696" s="18">
        <v>45</v>
      </c>
      <c r="S696" s="19">
        <v>11953.6175</v>
      </c>
      <c r="T696" s="20" t="s">
        <v>75</v>
      </c>
      <c r="U696" s="21" t="s">
        <v>51</v>
      </c>
      <c r="V696" s="22">
        <v>44</v>
      </c>
      <c r="W696" s="22">
        <v>2</v>
      </c>
      <c r="X696" s="23"/>
    </row>
    <row r="697" spans="1:24" s="1" customFormat="1" ht="11" customHeight="1" x14ac:dyDescent="0.3">
      <c r="A697" s="24" t="s">
        <v>23</v>
      </c>
      <c r="B697" s="24" t="s">
        <v>848</v>
      </c>
      <c r="C697" s="12" t="s">
        <v>851</v>
      </c>
      <c r="D697" s="58"/>
      <c r="E697" s="43" t="str">
        <f t="shared" si="31"/>
        <v>Еще фото</v>
      </c>
      <c r="F697" s="14" t="s">
        <v>182</v>
      </c>
      <c r="G697" s="24" t="s">
        <v>237</v>
      </c>
      <c r="H697" s="24" t="s">
        <v>27</v>
      </c>
      <c r="I697" s="24" t="s">
        <v>237</v>
      </c>
      <c r="J697" s="15" t="s">
        <v>37</v>
      </c>
      <c r="K697" s="16" t="s">
        <v>29</v>
      </c>
      <c r="L697" s="61"/>
      <c r="M697" s="15"/>
      <c r="N697" s="15" t="s">
        <v>130</v>
      </c>
      <c r="O697" s="15"/>
      <c r="P697" s="16" t="s">
        <v>187</v>
      </c>
      <c r="Q697" s="17">
        <v>18899</v>
      </c>
      <c r="R697" s="18">
        <v>45</v>
      </c>
      <c r="S697" s="19">
        <v>11953.6175</v>
      </c>
      <c r="T697" s="20" t="s">
        <v>75</v>
      </c>
      <c r="U697" s="21" t="s">
        <v>173</v>
      </c>
      <c r="V697" s="22">
        <v>46</v>
      </c>
      <c r="W697" s="22">
        <v>2</v>
      </c>
      <c r="X697" s="23"/>
    </row>
    <row r="698" spans="1:24" s="1" customFormat="1" ht="11" customHeight="1" x14ac:dyDescent="0.3">
      <c r="A698" s="24" t="s">
        <v>23</v>
      </c>
      <c r="B698" s="24" t="s">
        <v>848</v>
      </c>
      <c r="C698" s="12" t="s">
        <v>851</v>
      </c>
      <c r="D698" s="58"/>
      <c r="E698" s="43" t="str">
        <f t="shared" si="31"/>
        <v>Еще фото</v>
      </c>
      <c r="F698" s="14" t="s">
        <v>182</v>
      </c>
      <c r="G698" s="24" t="s">
        <v>237</v>
      </c>
      <c r="H698" s="24" t="s">
        <v>27</v>
      </c>
      <c r="I698" s="24" t="s">
        <v>237</v>
      </c>
      <c r="J698" s="15" t="s">
        <v>37</v>
      </c>
      <c r="K698" s="16" t="s">
        <v>29</v>
      </c>
      <c r="L698" s="61"/>
      <c r="M698" s="15"/>
      <c r="N698" s="15" t="s">
        <v>130</v>
      </c>
      <c r="O698" s="15"/>
      <c r="P698" s="16" t="s">
        <v>187</v>
      </c>
      <c r="Q698" s="17">
        <v>18899</v>
      </c>
      <c r="R698" s="18">
        <v>45</v>
      </c>
      <c r="S698" s="19">
        <v>11953.6175</v>
      </c>
      <c r="T698" s="20" t="s">
        <v>75</v>
      </c>
      <c r="U698" s="21" t="s">
        <v>314</v>
      </c>
      <c r="V698" s="22">
        <v>46</v>
      </c>
      <c r="W698" s="22">
        <v>1</v>
      </c>
      <c r="X698" s="23"/>
    </row>
    <row r="699" spans="1:24" s="1" customFormat="1" ht="11" customHeight="1" x14ac:dyDescent="0.3">
      <c r="A699" s="24" t="s">
        <v>23</v>
      </c>
      <c r="B699" s="24" t="s">
        <v>848</v>
      </c>
      <c r="C699" s="12" t="s">
        <v>851</v>
      </c>
      <c r="D699" s="58"/>
      <c r="E699" s="43" t="str">
        <f t="shared" si="31"/>
        <v>Еще фото</v>
      </c>
      <c r="F699" s="14" t="s">
        <v>182</v>
      </c>
      <c r="G699" s="24" t="s">
        <v>237</v>
      </c>
      <c r="H699" s="24" t="s">
        <v>27</v>
      </c>
      <c r="I699" s="24" t="s">
        <v>237</v>
      </c>
      <c r="J699" s="15" t="s">
        <v>37</v>
      </c>
      <c r="K699" s="16" t="s">
        <v>29</v>
      </c>
      <c r="L699" s="61"/>
      <c r="M699" s="15"/>
      <c r="N699" s="15" t="s">
        <v>130</v>
      </c>
      <c r="O699" s="15"/>
      <c r="P699" s="16" t="s">
        <v>187</v>
      </c>
      <c r="Q699" s="17">
        <v>18899</v>
      </c>
      <c r="R699" s="18">
        <v>45</v>
      </c>
      <c r="S699" s="19">
        <v>11953.6175</v>
      </c>
      <c r="T699" s="20" t="s">
        <v>75</v>
      </c>
      <c r="U699" s="21" t="s">
        <v>53</v>
      </c>
      <c r="V699" s="22">
        <v>48</v>
      </c>
      <c r="W699" s="22">
        <v>2</v>
      </c>
      <c r="X699" s="23"/>
    </row>
    <row r="700" spans="1:24" s="1" customFormat="1" ht="11" customHeight="1" x14ac:dyDescent="0.3">
      <c r="A700" s="15" t="s">
        <v>23</v>
      </c>
      <c r="B700" s="15" t="s">
        <v>848</v>
      </c>
      <c r="C700" s="12" t="s">
        <v>851</v>
      </c>
      <c r="D700" s="59"/>
      <c r="E700" s="43" t="str">
        <f t="shared" si="31"/>
        <v>Еще фото</v>
      </c>
      <c r="F700" s="26" t="s">
        <v>182</v>
      </c>
      <c r="G700" s="15" t="s">
        <v>237</v>
      </c>
      <c r="H700" s="15" t="s">
        <v>27</v>
      </c>
      <c r="I700" s="15" t="s">
        <v>237</v>
      </c>
      <c r="J700" s="15" t="s">
        <v>37</v>
      </c>
      <c r="K700" s="15" t="s">
        <v>29</v>
      </c>
      <c r="L700" s="62"/>
      <c r="M700" s="15"/>
      <c r="N700" s="15" t="s">
        <v>130</v>
      </c>
      <c r="O700" s="15"/>
      <c r="P700" s="15" t="s">
        <v>187</v>
      </c>
      <c r="Q700" s="27">
        <v>18899</v>
      </c>
      <c r="R700" s="28">
        <v>45</v>
      </c>
      <c r="S700" s="29">
        <v>11953.6175</v>
      </c>
      <c r="T700" s="20" t="s">
        <v>75</v>
      </c>
      <c r="U700" s="21" t="s">
        <v>109</v>
      </c>
      <c r="V700" s="25" t="s">
        <v>96</v>
      </c>
      <c r="W700" s="22">
        <v>2</v>
      </c>
      <c r="X700" s="23"/>
    </row>
    <row r="701" spans="1:24" s="1" customFormat="1" ht="17" customHeight="1" x14ac:dyDescent="0.3">
      <c r="A701" s="11" t="s">
        <v>23</v>
      </c>
      <c r="B701" s="11" t="s">
        <v>852</v>
      </c>
      <c r="C701" s="12" t="s">
        <v>853</v>
      </c>
      <c r="D701" s="57"/>
      <c r="E701" s="43" t="str">
        <f t="shared" ref="E701:E706" si="32">HYPERLINK("https://www.google.ru/search?q=00501-0101&amp;newwindow=1&amp;tbm=isch","Еще фото")</f>
        <v>Еще фото</v>
      </c>
      <c r="F701" s="14" t="s">
        <v>854</v>
      </c>
      <c r="G701" s="11" t="s">
        <v>237</v>
      </c>
      <c r="H701" s="11" t="s">
        <v>27</v>
      </c>
      <c r="I701" s="15" t="s">
        <v>237</v>
      </c>
      <c r="J701" s="15" t="s">
        <v>37</v>
      </c>
      <c r="K701" s="16" t="s">
        <v>57</v>
      </c>
      <c r="L701" s="60" t="s">
        <v>855</v>
      </c>
      <c r="M701" s="15" t="s">
        <v>72</v>
      </c>
      <c r="N701" s="15" t="s">
        <v>130</v>
      </c>
      <c r="O701" s="15" t="s">
        <v>121</v>
      </c>
      <c r="P701" s="16" t="s">
        <v>172</v>
      </c>
      <c r="Q701" s="17">
        <v>17399</v>
      </c>
      <c r="R701" s="18">
        <v>45</v>
      </c>
      <c r="S701" s="19">
        <v>11004.8675</v>
      </c>
      <c r="T701" s="20" t="s">
        <v>75</v>
      </c>
      <c r="U701" s="21" t="s">
        <v>51</v>
      </c>
      <c r="V701" s="22">
        <v>44</v>
      </c>
      <c r="W701" s="22">
        <v>2</v>
      </c>
      <c r="X701" s="23"/>
    </row>
    <row r="702" spans="1:24" s="1" customFormat="1" ht="17" customHeight="1" x14ac:dyDescent="0.3">
      <c r="A702" s="24" t="s">
        <v>23</v>
      </c>
      <c r="B702" s="24" t="s">
        <v>852</v>
      </c>
      <c r="C702" s="12" t="s">
        <v>853</v>
      </c>
      <c r="D702" s="58"/>
      <c r="E702" s="43" t="str">
        <f t="shared" si="32"/>
        <v>Еще фото</v>
      </c>
      <c r="F702" s="14" t="s">
        <v>854</v>
      </c>
      <c r="G702" s="24" t="s">
        <v>237</v>
      </c>
      <c r="H702" s="24" t="s">
        <v>27</v>
      </c>
      <c r="I702" s="24" t="s">
        <v>237</v>
      </c>
      <c r="J702" s="15" t="s">
        <v>37</v>
      </c>
      <c r="K702" s="16" t="s">
        <v>57</v>
      </c>
      <c r="L702" s="61"/>
      <c r="M702" s="15" t="s">
        <v>72</v>
      </c>
      <c r="N702" s="15" t="s">
        <v>130</v>
      </c>
      <c r="O702" s="15" t="s">
        <v>121</v>
      </c>
      <c r="P702" s="16" t="s">
        <v>172</v>
      </c>
      <c r="Q702" s="17">
        <v>17399</v>
      </c>
      <c r="R702" s="18">
        <v>45</v>
      </c>
      <c r="S702" s="19">
        <v>11004.8675</v>
      </c>
      <c r="T702" s="20" t="s">
        <v>75</v>
      </c>
      <c r="U702" s="21" t="s">
        <v>173</v>
      </c>
      <c r="V702" s="25" t="s">
        <v>63</v>
      </c>
      <c r="W702" s="22">
        <v>4</v>
      </c>
      <c r="X702" s="23"/>
    </row>
    <row r="703" spans="1:24" s="1" customFormat="1" ht="17" customHeight="1" x14ac:dyDescent="0.3">
      <c r="A703" s="24" t="s">
        <v>23</v>
      </c>
      <c r="B703" s="24" t="s">
        <v>852</v>
      </c>
      <c r="C703" s="12" t="s">
        <v>853</v>
      </c>
      <c r="D703" s="58"/>
      <c r="E703" s="43" t="str">
        <f t="shared" si="32"/>
        <v>Еще фото</v>
      </c>
      <c r="F703" s="14" t="s">
        <v>854</v>
      </c>
      <c r="G703" s="24" t="s">
        <v>237</v>
      </c>
      <c r="H703" s="24" t="s">
        <v>27</v>
      </c>
      <c r="I703" s="24" t="s">
        <v>237</v>
      </c>
      <c r="J703" s="15" t="s">
        <v>37</v>
      </c>
      <c r="K703" s="16" t="s">
        <v>57</v>
      </c>
      <c r="L703" s="61"/>
      <c r="M703" s="15" t="s">
        <v>72</v>
      </c>
      <c r="N703" s="15" t="s">
        <v>130</v>
      </c>
      <c r="O703" s="15" t="s">
        <v>121</v>
      </c>
      <c r="P703" s="16" t="s">
        <v>172</v>
      </c>
      <c r="Q703" s="17">
        <v>17399</v>
      </c>
      <c r="R703" s="18">
        <v>45</v>
      </c>
      <c r="S703" s="19">
        <v>11004.8675</v>
      </c>
      <c r="T703" s="20" t="s">
        <v>75</v>
      </c>
      <c r="U703" s="21" t="s">
        <v>53</v>
      </c>
      <c r="V703" s="22">
        <v>46</v>
      </c>
      <c r="W703" s="22">
        <v>8</v>
      </c>
      <c r="X703" s="23"/>
    </row>
    <row r="704" spans="1:24" s="1" customFormat="1" ht="17" customHeight="1" x14ac:dyDescent="0.3">
      <c r="A704" s="24" t="s">
        <v>23</v>
      </c>
      <c r="B704" s="24" t="s">
        <v>852</v>
      </c>
      <c r="C704" s="12" t="s">
        <v>853</v>
      </c>
      <c r="D704" s="58"/>
      <c r="E704" s="43" t="str">
        <f t="shared" si="32"/>
        <v>Еще фото</v>
      </c>
      <c r="F704" s="14" t="s">
        <v>854</v>
      </c>
      <c r="G704" s="24" t="s">
        <v>237</v>
      </c>
      <c r="H704" s="24" t="s">
        <v>27</v>
      </c>
      <c r="I704" s="24" t="s">
        <v>237</v>
      </c>
      <c r="J704" s="15" t="s">
        <v>37</v>
      </c>
      <c r="K704" s="16" t="s">
        <v>57</v>
      </c>
      <c r="L704" s="61"/>
      <c r="M704" s="15" t="s">
        <v>72</v>
      </c>
      <c r="N704" s="15" t="s">
        <v>130</v>
      </c>
      <c r="O704" s="15" t="s">
        <v>121</v>
      </c>
      <c r="P704" s="16" t="s">
        <v>172</v>
      </c>
      <c r="Q704" s="17">
        <v>17399</v>
      </c>
      <c r="R704" s="18">
        <v>45</v>
      </c>
      <c r="S704" s="19">
        <v>11004.8675</v>
      </c>
      <c r="T704" s="20" t="s">
        <v>75</v>
      </c>
      <c r="U704" s="21" t="s">
        <v>143</v>
      </c>
      <c r="V704" s="22">
        <v>46</v>
      </c>
      <c r="W704" s="22">
        <v>1</v>
      </c>
      <c r="X704" s="23"/>
    </row>
    <row r="705" spans="1:24" s="1" customFormat="1" ht="17" customHeight="1" x14ac:dyDescent="0.3">
      <c r="A705" s="24" t="s">
        <v>23</v>
      </c>
      <c r="B705" s="24" t="s">
        <v>852</v>
      </c>
      <c r="C705" s="12" t="s">
        <v>853</v>
      </c>
      <c r="D705" s="58"/>
      <c r="E705" s="43" t="str">
        <f t="shared" si="32"/>
        <v>Еще фото</v>
      </c>
      <c r="F705" s="14" t="s">
        <v>854</v>
      </c>
      <c r="G705" s="24" t="s">
        <v>237</v>
      </c>
      <c r="H705" s="24" t="s">
        <v>27</v>
      </c>
      <c r="I705" s="24" t="s">
        <v>237</v>
      </c>
      <c r="J705" s="15" t="s">
        <v>37</v>
      </c>
      <c r="K705" s="16" t="s">
        <v>57</v>
      </c>
      <c r="L705" s="61"/>
      <c r="M705" s="15" t="s">
        <v>72</v>
      </c>
      <c r="N705" s="15" t="s">
        <v>130</v>
      </c>
      <c r="O705" s="15" t="s">
        <v>121</v>
      </c>
      <c r="P705" s="16" t="s">
        <v>172</v>
      </c>
      <c r="Q705" s="17">
        <v>17399</v>
      </c>
      <c r="R705" s="18">
        <v>45</v>
      </c>
      <c r="S705" s="19">
        <v>11004.8675</v>
      </c>
      <c r="T705" s="20" t="s">
        <v>75</v>
      </c>
      <c r="U705" s="21" t="s">
        <v>109</v>
      </c>
      <c r="V705" s="25" t="s">
        <v>65</v>
      </c>
      <c r="W705" s="22">
        <v>6</v>
      </c>
      <c r="X705" s="23"/>
    </row>
    <row r="706" spans="1:24" s="1" customFormat="1" ht="22.05" customHeight="1" x14ac:dyDescent="0.3">
      <c r="A706" s="24" t="s">
        <v>23</v>
      </c>
      <c r="B706" s="24" t="s">
        <v>852</v>
      </c>
      <c r="C706" s="12" t="s">
        <v>853</v>
      </c>
      <c r="D706" s="59"/>
      <c r="E706" s="43" t="str">
        <f t="shared" si="32"/>
        <v>Еще фото</v>
      </c>
      <c r="F706" s="14" t="s">
        <v>854</v>
      </c>
      <c r="G706" s="24" t="s">
        <v>237</v>
      </c>
      <c r="H706" s="24" t="s">
        <v>27</v>
      </c>
      <c r="I706" s="24" t="s">
        <v>237</v>
      </c>
      <c r="J706" s="15" t="s">
        <v>37</v>
      </c>
      <c r="K706" s="16" t="s">
        <v>57</v>
      </c>
      <c r="L706" s="62"/>
      <c r="M706" s="15" t="s">
        <v>72</v>
      </c>
      <c r="N706" s="15" t="s">
        <v>130</v>
      </c>
      <c r="O706" s="15" t="s">
        <v>121</v>
      </c>
      <c r="P706" s="16" t="s">
        <v>172</v>
      </c>
      <c r="Q706" s="17">
        <v>17399</v>
      </c>
      <c r="R706" s="18">
        <v>45</v>
      </c>
      <c r="S706" s="19">
        <v>11004.8675</v>
      </c>
      <c r="T706" s="20" t="s">
        <v>75</v>
      </c>
      <c r="U706" s="21" t="s">
        <v>89</v>
      </c>
      <c r="V706" s="22">
        <v>50</v>
      </c>
      <c r="W706" s="22">
        <v>5</v>
      </c>
      <c r="X706" s="23"/>
    </row>
    <row r="707" spans="1:24" s="1" customFormat="1" ht="21" customHeight="1" x14ac:dyDescent="0.3">
      <c r="A707" s="11" t="s">
        <v>23</v>
      </c>
      <c r="B707" s="11" t="s">
        <v>856</v>
      </c>
      <c r="C707" s="30" t="s">
        <v>857</v>
      </c>
      <c r="D707" s="57"/>
      <c r="E707" s="43" t="str">
        <f>HYPERLINK("https://www.google.ru/search?q=00501-0114&amp;newwindow=1&amp;tbm=isch","Еще фото")</f>
        <v>Еще фото</v>
      </c>
      <c r="F707" s="14" t="s">
        <v>182</v>
      </c>
      <c r="G707" s="11" t="s">
        <v>237</v>
      </c>
      <c r="H707" s="11" t="s">
        <v>27</v>
      </c>
      <c r="I707" s="15" t="s">
        <v>237</v>
      </c>
      <c r="J707" s="15" t="s">
        <v>37</v>
      </c>
      <c r="K707" s="16" t="s">
        <v>57</v>
      </c>
      <c r="L707" s="60" t="s">
        <v>858</v>
      </c>
      <c r="M707" s="15" t="s">
        <v>72</v>
      </c>
      <c r="N707" s="15" t="s">
        <v>130</v>
      </c>
      <c r="O707" s="15" t="s">
        <v>121</v>
      </c>
      <c r="P707" s="16" t="s">
        <v>32</v>
      </c>
      <c r="Q707" s="17">
        <v>19199</v>
      </c>
      <c r="R707" s="18">
        <v>45</v>
      </c>
      <c r="S707" s="19">
        <v>12143.3675</v>
      </c>
      <c r="T707" s="20" t="s">
        <v>75</v>
      </c>
      <c r="U707" s="21" t="s">
        <v>109</v>
      </c>
      <c r="V707" s="25" t="s">
        <v>65</v>
      </c>
      <c r="W707" s="22">
        <v>1</v>
      </c>
      <c r="X707" s="23"/>
    </row>
    <row r="708" spans="1:24" s="1" customFormat="1" ht="21" customHeight="1" x14ac:dyDescent="0.3">
      <c r="A708" s="24" t="s">
        <v>23</v>
      </c>
      <c r="B708" s="24" t="s">
        <v>856</v>
      </c>
      <c r="C708" s="31" t="s">
        <v>857</v>
      </c>
      <c r="D708" s="58"/>
      <c r="E708" s="43" t="str">
        <f>HYPERLINK("https://www.google.ru/search?q=00501-0114&amp;newwindow=1&amp;tbm=isch","Еще фото")</f>
        <v>Еще фото</v>
      </c>
      <c r="F708" s="14" t="s">
        <v>182</v>
      </c>
      <c r="G708" s="24" t="s">
        <v>237</v>
      </c>
      <c r="H708" s="24" t="s">
        <v>27</v>
      </c>
      <c r="I708" s="24" t="s">
        <v>237</v>
      </c>
      <c r="J708" s="15" t="s">
        <v>37</v>
      </c>
      <c r="K708" s="16" t="s">
        <v>57</v>
      </c>
      <c r="L708" s="61"/>
      <c r="M708" s="15" t="s">
        <v>72</v>
      </c>
      <c r="N708" s="15" t="s">
        <v>130</v>
      </c>
      <c r="O708" s="15" t="s">
        <v>121</v>
      </c>
      <c r="P708" s="16" t="s">
        <v>32</v>
      </c>
      <c r="Q708" s="17">
        <v>19199</v>
      </c>
      <c r="R708" s="18">
        <v>45</v>
      </c>
      <c r="S708" s="19">
        <v>12143.3675</v>
      </c>
      <c r="T708" s="20" t="s">
        <v>75</v>
      </c>
      <c r="U708" s="21" t="s">
        <v>165</v>
      </c>
      <c r="V708" s="22">
        <v>48</v>
      </c>
      <c r="W708" s="22">
        <v>5</v>
      </c>
      <c r="X708" s="23"/>
    </row>
    <row r="709" spans="1:24" s="1" customFormat="1" ht="21" customHeight="1" x14ac:dyDescent="0.3">
      <c r="A709" s="24" t="s">
        <v>23</v>
      </c>
      <c r="B709" s="24" t="s">
        <v>856</v>
      </c>
      <c r="C709" s="31" t="s">
        <v>857</v>
      </c>
      <c r="D709" s="58"/>
      <c r="E709" s="43" t="str">
        <f>HYPERLINK("https://www.google.ru/search?q=00501-0114&amp;newwindow=1&amp;tbm=isch","Еще фото")</f>
        <v>Еще фото</v>
      </c>
      <c r="F709" s="14" t="s">
        <v>182</v>
      </c>
      <c r="G709" s="24" t="s">
        <v>237</v>
      </c>
      <c r="H709" s="24" t="s">
        <v>27</v>
      </c>
      <c r="I709" s="24" t="s">
        <v>237</v>
      </c>
      <c r="J709" s="15" t="s">
        <v>37</v>
      </c>
      <c r="K709" s="16" t="s">
        <v>57</v>
      </c>
      <c r="L709" s="61"/>
      <c r="M709" s="15" t="s">
        <v>72</v>
      </c>
      <c r="N709" s="15" t="s">
        <v>130</v>
      </c>
      <c r="O709" s="15" t="s">
        <v>121</v>
      </c>
      <c r="P709" s="16" t="s">
        <v>32</v>
      </c>
      <c r="Q709" s="17">
        <v>19199</v>
      </c>
      <c r="R709" s="18">
        <v>45</v>
      </c>
      <c r="S709" s="19">
        <v>12143.3675</v>
      </c>
      <c r="T709" s="20" t="s">
        <v>75</v>
      </c>
      <c r="U709" s="21" t="s">
        <v>104</v>
      </c>
      <c r="V709" s="22">
        <v>48</v>
      </c>
      <c r="W709" s="22">
        <v>1</v>
      </c>
      <c r="X709" s="23"/>
    </row>
    <row r="710" spans="1:24" s="1" customFormat="1" ht="21" customHeight="1" x14ac:dyDescent="0.3">
      <c r="A710" s="24" t="s">
        <v>23</v>
      </c>
      <c r="B710" s="24" t="s">
        <v>856</v>
      </c>
      <c r="C710" s="31" t="s">
        <v>857</v>
      </c>
      <c r="D710" s="58"/>
      <c r="E710" s="43" t="str">
        <f>HYPERLINK("https://www.google.ru/search?q=00501-0114&amp;newwindow=1&amp;tbm=isch","Еще фото")</f>
        <v>Еще фото</v>
      </c>
      <c r="F710" s="14" t="s">
        <v>182</v>
      </c>
      <c r="G710" s="24" t="s">
        <v>237</v>
      </c>
      <c r="H710" s="24" t="s">
        <v>27</v>
      </c>
      <c r="I710" s="24" t="s">
        <v>237</v>
      </c>
      <c r="J710" s="15" t="s">
        <v>37</v>
      </c>
      <c r="K710" s="16" t="s">
        <v>57</v>
      </c>
      <c r="L710" s="61"/>
      <c r="M710" s="15" t="s">
        <v>72</v>
      </c>
      <c r="N710" s="15" t="s">
        <v>130</v>
      </c>
      <c r="O710" s="15" t="s">
        <v>121</v>
      </c>
      <c r="P710" s="16" t="s">
        <v>32</v>
      </c>
      <c r="Q710" s="17">
        <v>19199</v>
      </c>
      <c r="R710" s="18">
        <v>45</v>
      </c>
      <c r="S710" s="19">
        <v>12143.3675</v>
      </c>
      <c r="T710" s="20" t="s">
        <v>75</v>
      </c>
      <c r="U710" s="21" t="s">
        <v>89</v>
      </c>
      <c r="V710" s="22">
        <v>50</v>
      </c>
      <c r="W710" s="22">
        <v>1</v>
      </c>
      <c r="X710" s="23"/>
    </row>
    <row r="711" spans="1:24" s="1" customFormat="1" ht="32" customHeight="1" x14ac:dyDescent="0.3">
      <c r="A711" s="24" t="s">
        <v>23</v>
      </c>
      <c r="B711" s="24" t="s">
        <v>856</v>
      </c>
      <c r="C711" s="31" t="s">
        <v>857</v>
      </c>
      <c r="D711" s="59"/>
      <c r="E711" s="43" t="str">
        <f>HYPERLINK("https://www.google.ru/search?q=00501-0114&amp;newwindow=1&amp;tbm=isch","Еще фото")</f>
        <v>Еще фото</v>
      </c>
      <c r="F711" s="14" t="s">
        <v>182</v>
      </c>
      <c r="G711" s="24" t="s">
        <v>237</v>
      </c>
      <c r="H711" s="24" t="s">
        <v>27</v>
      </c>
      <c r="I711" s="24" t="s">
        <v>237</v>
      </c>
      <c r="J711" s="15" t="s">
        <v>37</v>
      </c>
      <c r="K711" s="16" t="s">
        <v>57</v>
      </c>
      <c r="L711" s="62"/>
      <c r="M711" s="15" t="s">
        <v>72</v>
      </c>
      <c r="N711" s="15" t="s">
        <v>130</v>
      </c>
      <c r="O711" s="15" t="s">
        <v>121</v>
      </c>
      <c r="P711" s="16" t="s">
        <v>32</v>
      </c>
      <c r="Q711" s="17">
        <v>19199</v>
      </c>
      <c r="R711" s="18">
        <v>45</v>
      </c>
      <c r="S711" s="19">
        <v>12143.3675</v>
      </c>
      <c r="T711" s="20" t="s">
        <v>75</v>
      </c>
      <c r="U711" s="21" t="s">
        <v>859</v>
      </c>
      <c r="V711" s="25" t="s">
        <v>538</v>
      </c>
      <c r="W711" s="22">
        <v>1</v>
      </c>
      <c r="X711" s="23"/>
    </row>
    <row r="712" spans="1:24" s="1" customFormat="1" ht="108" customHeight="1" x14ac:dyDescent="0.3">
      <c r="A712" s="11" t="s">
        <v>23</v>
      </c>
      <c r="B712" s="11" t="s">
        <v>860</v>
      </c>
      <c r="C712" s="12" t="s">
        <v>861</v>
      </c>
      <c r="D712" s="13"/>
      <c r="E712" s="43" t="str">
        <f>HYPERLINK("https://www.google.ru/search?q=00501-0193&amp;newwindow=1&amp;tbm=isch","Еще фото")</f>
        <v>Еще фото</v>
      </c>
      <c r="F712" s="14" t="s">
        <v>182</v>
      </c>
      <c r="G712" s="11" t="s">
        <v>237</v>
      </c>
      <c r="H712" s="11" t="s">
        <v>27</v>
      </c>
      <c r="I712" s="15" t="s">
        <v>237</v>
      </c>
      <c r="J712" s="15" t="s">
        <v>37</v>
      </c>
      <c r="K712" s="16" t="s">
        <v>57</v>
      </c>
      <c r="L712" s="15" t="s">
        <v>858</v>
      </c>
      <c r="M712" s="15" t="s">
        <v>72</v>
      </c>
      <c r="N712" s="15" t="s">
        <v>130</v>
      </c>
      <c r="O712" s="15" t="s">
        <v>121</v>
      </c>
      <c r="P712" s="16" t="s">
        <v>32</v>
      </c>
      <c r="Q712" s="17">
        <v>9899</v>
      </c>
      <c r="R712" s="18">
        <v>45</v>
      </c>
      <c r="S712" s="19">
        <v>6261.1174999999994</v>
      </c>
      <c r="T712" s="20" t="s">
        <v>75</v>
      </c>
      <c r="U712" s="21" t="s">
        <v>165</v>
      </c>
      <c r="V712" s="22">
        <v>48</v>
      </c>
      <c r="W712" s="22">
        <v>1</v>
      </c>
      <c r="X712" s="23"/>
    </row>
    <row r="713" spans="1:24" s="1" customFormat="1" ht="108" customHeight="1" x14ac:dyDescent="0.3">
      <c r="A713" s="11" t="s">
        <v>23</v>
      </c>
      <c r="B713" s="11" t="s">
        <v>862</v>
      </c>
      <c r="C713" s="12" t="s">
        <v>863</v>
      </c>
      <c r="D713" s="13"/>
      <c r="E713" s="43" t="str">
        <f>HYPERLINK("https://www.google.ru/search?q=00501-2370&amp;newwindow=1&amp;tbm=isch","Еще фото")</f>
        <v>Еще фото</v>
      </c>
      <c r="F713" s="14" t="s">
        <v>182</v>
      </c>
      <c r="G713" s="11" t="s">
        <v>237</v>
      </c>
      <c r="H713" s="11" t="s">
        <v>27</v>
      </c>
      <c r="I713" s="15" t="s">
        <v>237</v>
      </c>
      <c r="J713" s="15" t="s">
        <v>37</v>
      </c>
      <c r="K713" s="16" t="s">
        <v>57</v>
      </c>
      <c r="L713" s="15" t="s">
        <v>858</v>
      </c>
      <c r="M713" s="15"/>
      <c r="N713" s="15" t="s">
        <v>87</v>
      </c>
      <c r="O713" s="15"/>
      <c r="P713" s="16" t="s">
        <v>254</v>
      </c>
      <c r="Q713" s="17">
        <v>9199</v>
      </c>
      <c r="R713" s="18">
        <v>45</v>
      </c>
      <c r="S713" s="19">
        <v>5818.3674999999994</v>
      </c>
      <c r="T713" s="20" t="s">
        <v>75</v>
      </c>
      <c r="U713" s="21" t="s">
        <v>109</v>
      </c>
      <c r="V713" s="25" t="s">
        <v>65</v>
      </c>
      <c r="W713" s="22">
        <v>1</v>
      </c>
      <c r="X713" s="23"/>
    </row>
    <row r="714" spans="1:24" s="1" customFormat="1" ht="11" customHeight="1" x14ac:dyDescent="0.3">
      <c r="A714" s="11" t="s">
        <v>23</v>
      </c>
      <c r="B714" s="11" t="s">
        <v>411</v>
      </c>
      <c r="C714" s="12" t="s">
        <v>864</v>
      </c>
      <c r="D714" s="57"/>
      <c r="E714" s="43" t="str">
        <f t="shared" ref="E714:E725" si="33">HYPERLINK("https://www.google.ru/search?q=00501-3383&amp;newwindow=1&amp;tbm=isch","Еще фото")</f>
        <v>Еще фото</v>
      </c>
      <c r="F714" s="14"/>
      <c r="G714" s="11" t="s">
        <v>237</v>
      </c>
      <c r="H714" s="11" t="s">
        <v>27</v>
      </c>
      <c r="I714" s="15" t="s">
        <v>237</v>
      </c>
      <c r="J714" s="15" t="s">
        <v>37</v>
      </c>
      <c r="K714" s="16" t="s">
        <v>57</v>
      </c>
      <c r="L714" s="60" t="s">
        <v>413</v>
      </c>
      <c r="M714" s="15"/>
      <c r="N714" s="15" t="s">
        <v>130</v>
      </c>
      <c r="O714" s="15"/>
      <c r="P714" s="16" t="s">
        <v>32</v>
      </c>
      <c r="Q714" s="17">
        <v>21999</v>
      </c>
      <c r="R714" s="18">
        <v>45</v>
      </c>
      <c r="S714" s="19">
        <v>13914.3675</v>
      </c>
      <c r="T714" s="20" t="s">
        <v>75</v>
      </c>
      <c r="U714" s="21" t="s">
        <v>53</v>
      </c>
      <c r="V714" s="22">
        <v>46</v>
      </c>
      <c r="W714" s="22">
        <v>5</v>
      </c>
      <c r="X714" s="23"/>
    </row>
    <row r="715" spans="1:24" s="1" customFormat="1" ht="11" customHeight="1" x14ac:dyDescent="0.3">
      <c r="A715" s="24" t="s">
        <v>23</v>
      </c>
      <c r="B715" s="24" t="s">
        <v>411</v>
      </c>
      <c r="C715" s="12" t="s">
        <v>864</v>
      </c>
      <c r="D715" s="58"/>
      <c r="E715" s="43" t="str">
        <f t="shared" si="33"/>
        <v>Еще фото</v>
      </c>
      <c r="F715" s="14"/>
      <c r="G715" s="24" t="s">
        <v>237</v>
      </c>
      <c r="H715" s="24" t="s">
        <v>27</v>
      </c>
      <c r="I715" s="24" t="s">
        <v>237</v>
      </c>
      <c r="J715" s="15" t="s">
        <v>37</v>
      </c>
      <c r="K715" s="16" t="s">
        <v>57</v>
      </c>
      <c r="L715" s="61"/>
      <c r="M715" s="15"/>
      <c r="N715" s="15" t="s">
        <v>130</v>
      </c>
      <c r="O715" s="15"/>
      <c r="P715" s="16" t="s">
        <v>32</v>
      </c>
      <c r="Q715" s="17">
        <v>21999</v>
      </c>
      <c r="R715" s="18">
        <v>45</v>
      </c>
      <c r="S715" s="19">
        <v>13914.3675</v>
      </c>
      <c r="T715" s="20" t="s">
        <v>75</v>
      </c>
      <c r="U715" s="21" t="s">
        <v>188</v>
      </c>
      <c r="V715" s="25" t="s">
        <v>65</v>
      </c>
      <c r="W715" s="22">
        <v>1</v>
      </c>
      <c r="X715" s="23"/>
    </row>
    <row r="716" spans="1:24" s="1" customFormat="1" ht="11" customHeight="1" x14ac:dyDescent="0.3">
      <c r="A716" s="24" t="s">
        <v>23</v>
      </c>
      <c r="B716" s="24" t="s">
        <v>411</v>
      </c>
      <c r="C716" s="12" t="s">
        <v>864</v>
      </c>
      <c r="D716" s="58"/>
      <c r="E716" s="43" t="str">
        <f t="shared" si="33"/>
        <v>Еще фото</v>
      </c>
      <c r="F716" s="14"/>
      <c r="G716" s="24" t="s">
        <v>237</v>
      </c>
      <c r="H716" s="24" t="s">
        <v>27</v>
      </c>
      <c r="I716" s="24" t="s">
        <v>237</v>
      </c>
      <c r="J716" s="15" t="s">
        <v>37</v>
      </c>
      <c r="K716" s="16" t="s">
        <v>57</v>
      </c>
      <c r="L716" s="61"/>
      <c r="M716" s="15"/>
      <c r="N716" s="15" t="s">
        <v>130</v>
      </c>
      <c r="O716" s="15"/>
      <c r="P716" s="16" t="s">
        <v>32</v>
      </c>
      <c r="Q716" s="17">
        <v>21999</v>
      </c>
      <c r="R716" s="18">
        <v>45</v>
      </c>
      <c r="S716" s="19">
        <v>13914.3675</v>
      </c>
      <c r="T716" s="20" t="s">
        <v>75</v>
      </c>
      <c r="U716" s="21" t="s">
        <v>109</v>
      </c>
      <c r="V716" s="25" t="s">
        <v>65</v>
      </c>
      <c r="W716" s="22">
        <v>5</v>
      </c>
      <c r="X716" s="23"/>
    </row>
    <row r="717" spans="1:24" s="1" customFormat="1" ht="11" customHeight="1" x14ac:dyDescent="0.3">
      <c r="A717" s="24" t="s">
        <v>23</v>
      </c>
      <c r="B717" s="24" t="s">
        <v>411</v>
      </c>
      <c r="C717" s="12" t="s">
        <v>864</v>
      </c>
      <c r="D717" s="58"/>
      <c r="E717" s="43" t="str">
        <f t="shared" si="33"/>
        <v>Еще фото</v>
      </c>
      <c r="F717" s="14"/>
      <c r="G717" s="24" t="s">
        <v>237</v>
      </c>
      <c r="H717" s="24" t="s">
        <v>27</v>
      </c>
      <c r="I717" s="24" t="s">
        <v>237</v>
      </c>
      <c r="J717" s="15" t="s">
        <v>37</v>
      </c>
      <c r="K717" s="16" t="s">
        <v>57</v>
      </c>
      <c r="L717" s="61"/>
      <c r="M717" s="15"/>
      <c r="N717" s="15" t="s">
        <v>130</v>
      </c>
      <c r="O717" s="15"/>
      <c r="P717" s="16" t="s">
        <v>32</v>
      </c>
      <c r="Q717" s="17">
        <v>21999</v>
      </c>
      <c r="R717" s="18">
        <v>45</v>
      </c>
      <c r="S717" s="19">
        <v>13914.3675</v>
      </c>
      <c r="T717" s="20" t="s">
        <v>75</v>
      </c>
      <c r="U717" s="21" t="s">
        <v>165</v>
      </c>
      <c r="V717" s="22">
        <v>48</v>
      </c>
      <c r="W717" s="22">
        <v>14</v>
      </c>
      <c r="X717" s="23"/>
    </row>
    <row r="718" spans="1:24" s="1" customFormat="1" ht="11" customHeight="1" x14ac:dyDescent="0.3">
      <c r="A718" s="24" t="s">
        <v>23</v>
      </c>
      <c r="B718" s="24" t="s">
        <v>411</v>
      </c>
      <c r="C718" s="12" t="s">
        <v>864</v>
      </c>
      <c r="D718" s="58"/>
      <c r="E718" s="43" t="str">
        <f t="shared" si="33"/>
        <v>Еще фото</v>
      </c>
      <c r="F718" s="14"/>
      <c r="G718" s="24" t="s">
        <v>237</v>
      </c>
      <c r="H718" s="24" t="s">
        <v>27</v>
      </c>
      <c r="I718" s="24" t="s">
        <v>237</v>
      </c>
      <c r="J718" s="15" t="s">
        <v>37</v>
      </c>
      <c r="K718" s="16" t="s">
        <v>57</v>
      </c>
      <c r="L718" s="61"/>
      <c r="M718" s="15"/>
      <c r="N718" s="15" t="s">
        <v>130</v>
      </c>
      <c r="O718" s="15"/>
      <c r="P718" s="16" t="s">
        <v>32</v>
      </c>
      <c r="Q718" s="17">
        <v>21999</v>
      </c>
      <c r="R718" s="18">
        <v>45</v>
      </c>
      <c r="S718" s="19">
        <v>13914.3675</v>
      </c>
      <c r="T718" s="20" t="s">
        <v>75</v>
      </c>
      <c r="U718" s="21" t="s">
        <v>104</v>
      </c>
      <c r="V718" s="22">
        <v>48</v>
      </c>
      <c r="W718" s="22">
        <v>8</v>
      </c>
      <c r="X718" s="23"/>
    </row>
    <row r="719" spans="1:24" s="1" customFormat="1" ht="11" customHeight="1" x14ac:dyDescent="0.3">
      <c r="A719" s="24" t="s">
        <v>23</v>
      </c>
      <c r="B719" s="24" t="s">
        <v>411</v>
      </c>
      <c r="C719" s="12" t="s">
        <v>864</v>
      </c>
      <c r="D719" s="58"/>
      <c r="E719" s="43" t="str">
        <f t="shared" si="33"/>
        <v>Еще фото</v>
      </c>
      <c r="F719" s="14"/>
      <c r="G719" s="24" t="s">
        <v>237</v>
      </c>
      <c r="H719" s="24" t="s">
        <v>27</v>
      </c>
      <c r="I719" s="24" t="s">
        <v>237</v>
      </c>
      <c r="J719" s="15" t="s">
        <v>37</v>
      </c>
      <c r="K719" s="16" t="s">
        <v>57</v>
      </c>
      <c r="L719" s="61"/>
      <c r="M719" s="15"/>
      <c r="N719" s="15" t="s">
        <v>130</v>
      </c>
      <c r="O719" s="15"/>
      <c r="P719" s="16" t="s">
        <v>32</v>
      </c>
      <c r="Q719" s="17">
        <v>21999</v>
      </c>
      <c r="R719" s="18">
        <v>45</v>
      </c>
      <c r="S719" s="19">
        <v>13914.3675</v>
      </c>
      <c r="T719" s="20" t="s">
        <v>75</v>
      </c>
      <c r="U719" s="21" t="s">
        <v>166</v>
      </c>
      <c r="V719" s="25" t="s">
        <v>96</v>
      </c>
      <c r="W719" s="22">
        <v>9</v>
      </c>
      <c r="X719" s="23"/>
    </row>
    <row r="720" spans="1:24" s="1" customFormat="1" ht="11" customHeight="1" x14ac:dyDescent="0.3">
      <c r="A720" s="24" t="s">
        <v>23</v>
      </c>
      <c r="B720" s="24" t="s">
        <v>411</v>
      </c>
      <c r="C720" s="12" t="s">
        <v>864</v>
      </c>
      <c r="D720" s="58"/>
      <c r="E720" s="43" t="str">
        <f t="shared" si="33"/>
        <v>Еще фото</v>
      </c>
      <c r="F720" s="14"/>
      <c r="G720" s="24" t="s">
        <v>237</v>
      </c>
      <c r="H720" s="24" t="s">
        <v>27</v>
      </c>
      <c r="I720" s="24" t="s">
        <v>237</v>
      </c>
      <c r="J720" s="15" t="s">
        <v>37</v>
      </c>
      <c r="K720" s="16" t="s">
        <v>57</v>
      </c>
      <c r="L720" s="61"/>
      <c r="M720" s="15"/>
      <c r="N720" s="15" t="s">
        <v>130</v>
      </c>
      <c r="O720" s="15"/>
      <c r="P720" s="16" t="s">
        <v>32</v>
      </c>
      <c r="Q720" s="17">
        <v>21999</v>
      </c>
      <c r="R720" s="18">
        <v>45</v>
      </c>
      <c r="S720" s="19">
        <v>13914.3675</v>
      </c>
      <c r="T720" s="20" t="s">
        <v>75</v>
      </c>
      <c r="U720" s="21" t="s">
        <v>359</v>
      </c>
      <c r="V720" s="25" t="s">
        <v>96</v>
      </c>
      <c r="W720" s="22">
        <v>1</v>
      </c>
      <c r="X720" s="23"/>
    </row>
    <row r="721" spans="1:24" s="1" customFormat="1" ht="11" customHeight="1" x14ac:dyDescent="0.3">
      <c r="A721" s="24" t="s">
        <v>23</v>
      </c>
      <c r="B721" s="24" t="s">
        <v>411</v>
      </c>
      <c r="C721" s="12" t="s">
        <v>864</v>
      </c>
      <c r="D721" s="58"/>
      <c r="E721" s="43" t="str">
        <f t="shared" si="33"/>
        <v>Еще фото</v>
      </c>
      <c r="F721" s="14"/>
      <c r="G721" s="24" t="s">
        <v>237</v>
      </c>
      <c r="H721" s="24" t="s">
        <v>27</v>
      </c>
      <c r="I721" s="24" t="s">
        <v>237</v>
      </c>
      <c r="J721" s="15" t="s">
        <v>37</v>
      </c>
      <c r="K721" s="16" t="s">
        <v>57</v>
      </c>
      <c r="L721" s="61"/>
      <c r="M721" s="15"/>
      <c r="N721" s="15" t="s">
        <v>130</v>
      </c>
      <c r="O721" s="15"/>
      <c r="P721" s="16" t="s">
        <v>32</v>
      </c>
      <c r="Q721" s="17">
        <v>21999</v>
      </c>
      <c r="R721" s="18">
        <v>45</v>
      </c>
      <c r="S721" s="19">
        <v>13914.3675</v>
      </c>
      <c r="T721" s="20" t="s">
        <v>75</v>
      </c>
      <c r="U721" s="21" t="s">
        <v>89</v>
      </c>
      <c r="V721" s="22">
        <v>50</v>
      </c>
      <c r="W721" s="22">
        <v>4</v>
      </c>
      <c r="X721" s="23"/>
    </row>
    <row r="722" spans="1:24" s="1" customFormat="1" ht="11" customHeight="1" x14ac:dyDescent="0.3">
      <c r="A722" s="24" t="s">
        <v>23</v>
      </c>
      <c r="B722" s="24" t="s">
        <v>411</v>
      </c>
      <c r="C722" s="12" t="s">
        <v>864</v>
      </c>
      <c r="D722" s="58"/>
      <c r="E722" s="43" t="str">
        <f t="shared" si="33"/>
        <v>Еще фото</v>
      </c>
      <c r="F722" s="14"/>
      <c r="G722" s="24" t="s">
        <v>237</v>
      </c>
      <c r="H722" s="24" t="s">
        <v>27</v>
      </c>
      <c r="I722" s="24" t="s">
        <v>237</v>
      </c>
      <c r="J722" s="15" t="s">
        <v>37</v>
      </c>
      <c r="K722" s="16" t="s">
        <v>57</v>
      </c>
      <c r="L722" s="61"/>
      <c r="M722" s="15"/>
      <c r="N722" s="15" t="s">
        <v>130</v>
      </c>
      <c r="O722" s="15"/>
      <c r="P722" s="16" t="s">
        <v>32</v>
      </c>
      <c r="Q722" s="17">
        <v>21999</v>
      </c>
      <c r="R722" s="18">
        <v>45</v>
      </c>
      <c r="S722" s="19">
        <v>13914.3675</v>
      </c>
      <c r="T722" s="20" t="s">
        <v>75</v>
      </c>
      <c r="U722" s="21" t="s">
        <v>100</v>
      </c>
      <c r="V722" s="22">
        <v>50</v>
      </c>
      <c r="W722" s="22">
        <v>3</v>
      </c>
      <c r="X722" s="23"/>
    </row>
    <row r="723" spans="1:24" s="1" customFormat="1" ht="11" customHeight="1" x14ac:dyDescent="0.3">
      <c r="A723" s="15" t="s">
        <v>23</v>
      </c>
      <c r="B723" s="15" t="s">
        <v>411</v>
      </c>
      <c r="C723" s="12" t="s">
        <v>864</v>
      </c>
      <c r="D723" s="58"/>
      <c r="E723" s="43" t="str">
        <f t="shared" si="33"/>
        <v>Еще фото</v>
      </c>
      <c r="F723" s="26"/>
      <c r="G723" s="15" t="s">
        <v>237</v>
      </c>
      <c r="H723" s="15" t="s">
        <v>27</v>
      </c>
      <c r="I723" s="15" t="s">
        <v>237</v>
      </c>
      <c r="J723" s="15" t="s">
        <v>37</v>
      </c>
      <c r="K723" s="15" t="s">
        <v>57</v>
      </c>
      <c r="L723" s="61"/>
      <c r="M723" s="15"/>
      <c r="N723" s="15" t="s">
        <v>130</v>
      </c>
      <c r="O723" s="15"/>
      <c r="P723" s="15" t="s">
        <v>32</v>
      </c>
      <c r="Q723" s="27">
        <v>21999</v>
      </c>
      <c r="R723" s="28">
        <v>45</v>
      </c>
      <c r="S723" s="29">
        <v>13914.3675</v>
      </c>
      <c r="T723" s="20" t="s">
        <v>75</v>
      </c>
      <c r="U723" s="21" t="s">
        <v>865</v>
      </c>
      <c r="V723" s="22">
        <v>52</v>
      </c>
      <c r="W723" s="22">
        <v>1</v>
      </c>
      <c r="X723" s="23"/>
    </row>
    <row r="724" spans="1:24" s="1" customFormat="1" ht="11" customHeight="1" x14ac:dyDescent="0.3">
      <c r="A724" s="15" t="s">
        <v>23</v>
      </c>
      <c r="B724" s="15" t="s">
        <v>411</v>
      </c>
      <c r="C724" s="12" t="s">
        <v>864</v>
      </c>
      <c r="D724" s="58"/>
      <c r="E724" s="43" t="str">
        <f t="shared" si="33"/>
        <v>Еще фото</v>
      </c>
      <c r="F724" s="26"/>
      <c r="G724" s="15" t="s">
        <v>237</v>
      </c>
      <c r="H724" s="15" t="s">
        <v>27</v>
      </c>
      <c r="I724" s="15" t="s">
        <v>237</v>
      </c>
      <c r="J724" s="15" t="s">
        <v>37</v>
      </c>
      <c r="K724" s="15" t="s">
        <v>57</v>
      </c>
      <c r="L724" s="61"/>
      <c r="M724" s="15"/>
      <c r="N724" s="15" t="s">
        <v>130</v>
      </c>
      <c r="O724" s="15"/>
      <c r="P724" s="15" t="s">
        <v>32</v>
      </c>
      <c r="Q724" s="27">
        <v>21999</v>
      </c>
      <c r="R724" s="28">
        <v>45</v>
      </c>
      <c r="S724" s="29">
        <v>13914.3675</v>
      </c>
      <c r="T724" s="20" t="s">
        <v>75</v>
      </c>
      <c r="U724" s="21" t="s">
        <v>167</v>
      </c>
      <c r="V724" s="22">
        <v>52</v>
      </c>
      <c r="W724" s="22">
        <v>5</v>
      </c>
      <c r="X724" s="23"/>
    </row>
    <row r="725" spans="1:24" s="1" customFormat="1" ht="11" customHeight="1" x14ac:dyDescent="0.3">
      <c r="A725" s="15" t="s">
        <v>23</v>
      </c>
      <c r="B725" s="15" t="s">
        <v>411</v>
      </c>
      <c r="C725" s="12" t="s">
        <v>864</v>
      </c>
      <c r="D725" s="59"/>
      <c r="E725" s="43" t="str">
        <f t="shared" si="33"/>
        <v>Еще фото</v>
      </c>
      <c r="F725" s="26"/>
      <c r="G725" s="15" t="s">
        <v>237</v>
      </c>
      <c r="H725" s="15" t="s">
        <v>27</v>
      </c>
      <c r="I725" s="15" t="s">
        <v>237</v>
      </c>
      <c r="J725" s="15" t="s">
        <v>37</v>
      </c>
      <c r="K725" s="15" t="s">
        <v>57</v>
      </c>
      <c r="L725" s="62"/>
      <c r="M725" s="15"/>
      <c r="N725" s="15" t="s">
        <v>130</v>
      </c>
      <c r="O725" s="15"/>
      <c r="P725" s="15" t="s">
        <v>32</v>
      </c>
      <c r="Q725" s="27">
        <v>21999</v>
      </c>
      <c r="R725" s="28">
        <v>45</v>
      </c>
      <c r="S725" s="29">
        <v>13914.3675</v>
      </c>
      <c r="T725" s="20" t="s">
        <v>75</v>
      </c>
      <c r="U725" s="21" t="s">
        <v>196</v>
      </c>
      <c r="V725" s="22">
        <v>54</v>
      </c>
      <c r="W725" s="22">
        <v>2</v>
      </c>
      <c r="X725" s="23"/>
    </row>
    <row r="726" spans="1:24" s="1" customFormat="1" ht="11" customHeight="1" x14ac:dyDescent="0.3">
      <c r="A726" s="11" t="s">
        <v>23</v>
      </c>
      <c r="B726" s="11" t="s">
        <v>866</v>
      </c>
      <c r="C726" s="12" t="s">
        <v>867</v>
      </c>
      <c r="D726" s="57"/>
      <c r="E726" s="43" t="str">
        <f t="shared" ref="E726:E737" si="34">HYPERLINK("https://www.google.ru/search?q=00501-3385&amp;newwindow=1&amp;tbm=isch","Еще фото")</f>
        <v>Еще фото</v>
      </c>
      <c r="F726" s="14"/>
      <c r="G726" s="11" t="s">
        <v>237</v>
      </c>
      <c r="H726" s="11" t="s">
        <v>27</v>
      </c>
      <c r="I726" s="15" t="s">
        <v>237</v>
      </c>
      <c r="J726" s="15" t="s">
        <v>37</v>
      </c>
      <c r="K726" s="16" t="s">
        <v>57</v>
      </c>
      <c r="L726" s="60" t="s">
        <v>445</v>
      </c>
      <c r="M726" s="15"/>
      <c r="N726" s="15" t="s">
        <v>138</v>
      </c>
      <c r="O726" s="15"/>
      <c r="P726" s="16" t="s">
        <v>32</v>
      </c>
      <c r="Q726" s="17">
        <v>23099</v>
      </c>
      <c r="R726" s="18">
        <v>45</v>
      </c>
      <c r="S726" s="19">
        <v>14610.1175</v>
      </c>
      <c r="T726" s="20" t="s">
        <v>75</v>
      </c>
      <c r="U726" s="21" t="s">
        <v>173</v>
      </c>
      <c r="V726" s="25" t="s">
        <v>63</v>
      </c>
      <c r="W726" s="22">
        <v>1</v>
      </c>
      <c r="X726" s="23"/>
    </row>
    <row r="727" spans="1:24" s="1" customFormat="1" ht="11" customHeight="1" x14ac:dyDescent="0.3">
      <c r="A727" s="24" t="s">
        <v>23</v>
      </c>
      <c r="B727" s="24" t="s">
        <v>866</v>
      </c>
      <c r="C727" s="12" t="s">
        <v>867</v>
      </c>
      <c r="D727" s="58"/>
      <c r="E727" s="43" t="str">
        <f t="shared" si="34"/>
        <v>Еще фото</v>
      </c>
      <c r="F727" s="14"/>
      <c r="G727" s="24" t="s">
        <v>237</v>
      </c>
      <c r="H727" s="24" t="s">
        <v>27</v>
      </c>
      <c r="I727" s="24" t="s">
        <v>237</v>
      </c>
      <c r="J727" s="15" t="s">
        <v>37</v>
      </c>
      <c r="K727" s="16" t="s">
        <v>57</v>
      </c>
      <c r="L727" s="61"/>
      <c r="M727" s="15"/>
      <c r="N727" s="15" t="s">
        <v>138</v>
      </c>
      <c r="O727" s="15"/>
      <c r="P727" s="16" t="s">
        <v>32</v>
      </c>
      <c r="Q727" s="17">
        <v>23099</v>
      </c>
      <c r="R727" s="18">
        <v>45</v>
      </c>
      <c r="S727" s="19">
        <v>14610.1175</v>
      </c>
      <c r="T727" s="20" t="s">
        <v>75</v>
      </c>
      <c r="U727" s="21" t="s">
        <v>52</v>
      </c>
      <c r="V727" s="22">
        <v>46</v>
      </c>
      <c r="W727" s="22">
        <v>2</v>
      </c>
      <c r="X727" s="23"/>
    </row>
    <row r="728" spans="1:24" s="1" customFormat="1" ht="11" customHeight="1" x14ac:dyDescent="0.3">
      <c r="A728" s="24" t="s">
        <v>23</v>
      </c>
      <c r="B728" s="24" t="s">
        <v>866</v>
      </c>
      <c r="C728" s="12" t="s">
        <v>867</v>
      </c>
      <c r="D728" s="58"/>
      <c r="E728" s="43" t="str">
        <f t="shared" si="34"/>
        <v>Еще фото</v>
      </c>
      <c r="F728" s="14"/>
      <c r="G728" s="24" t="s">
        <v>237</v>
      </c>
      <c r="H728" s="24" t="s">
        <v>27</v>
      </c>
      <c r="I728" s="24" t="s">
        <v>237</v>
      </c>
      <c r="J728" s="15" t="s">
        <v>37</v>
      </c>
      <c r="K728" s="16" t="s">
        <v>57</v>
      </c>
      <c r="L728" s="61"/>
      <c r="M728" s="15"/>
      <c r="N728" s="15" t="s">
        <v>138</v>
      </c>
      <c r="O728" s="15"/>
      <c r="P728" s="16" t="s">
        <v>32</v>
      </c>
      <c r="Q728" s="17">
        <v>23099</v>
      </c>
      <c r="R728" s="18">
        <v>45</v>
      </c>
      <c r="S728" s="19">
        <v>14610.1175</v>
      </c>
      <c r="T728" s="20" t="s">
        <v>75</v>
      </c>
      <c r="U728" s="21" t="s">
        <v>53</v>
      </c>
      <c r="V728" s="22">
        <v>46</v>
      </c>
      <c r="W728" s="22">
        <v>4</v>
      </c>
      <c r="X728" s="23"/>
    </row>
    <row r="729" spans="1:24" s="1" customFormat="1" ht="11" customHeight="1" x14ac:dyDescent="0.3">
      <c r="A729" s="24" t="s">
        <v>23</v>
      </c>
      <c r="B729" s="24" t="s">
        <v>866</v>
      </c>
      <c r="C729" s="12" t="s">
        <v>867</v>
      </c>
      <c r="D729" s="58"/>
      <c r="E729" s="43" t="str">
        <f t="shared" si="34"/>
        <v>Еще фото</v>
      </c>
      <c r="F729" s="14"/>
      <c r="G729" s="24" t="s">
        <v>237</v>
      </c>
      <c r="H729" s="24" t="s">
        <v>27</v>
      </c>
      <c r="I729" s="24" t="s">
        <v>237</v>
      </c>
      <c r="J729" s="15" t="s">
        <v>37</v>
      </c>
      <c r="K729" s="16" t="s">
        <v>57</v>
      </c>
      <c r="L729" s="61"/>
      <c r="M729" s="15"/>
      <c r="N729" s="15" t="s">
        <v>138</v>
      </c>
      <c r="O729" s="15"/>
      <c r="P729" s="16" t="s">
        <v>32</v>
      </c>
      <c r="Q729" s="17">
        <v>23099</v>
      </c>
      <c r="R729" s="18">
        <v>45</v>
      </c>
      <c r="S729" s="19">
        <v>14610.1175</v>
      </c>
      <c r="T729" s="20" t="s">
        <v>75</v>
      </c>
      <c r="U729" s="21" t="s">
        <v>109</v>
      </c>
      <c r="V729" s="25" t="s">
        <v>65</v>
      </c>
      <c r="W729" s="22">
        <v>7</v>
      </c>
      <c r="X729" s="23"/>
    </row>
    <row r="730" spans="1:24" s="1" customFormat="1" ht="11" customHeight="1" x14ac:dyDescent="0.3">
      <c r="A730" s="24" t="s">
        <v>23</v>
      </c>
      <c r="B730" s="24" t="s">
        <v>866</v>
      </c>
      <c r="C730" s="12" t="s">
        <v>867</v>
      </c>
      <c r="D730" s="58"/>
      <c r="E730" s="43" t="str">
        <f t="shared" si="34"/>
        <v>Еще фото</v>
      </c>
      <c r="F730" s="14"/>
      <c r="G730" s="24" t="s">
        <v>237</v>
      </c>
      <c r="H730" s="24" t="s">
        <v>27</v>
      </c>
      <c r="I730" s="24" t="s">
        <v>237</v>
      </c>
      <c r="J730" s="15" t="s">
        <v>37</v>
      </c>
      <c r="K730" s="16" t="s">
        <v>57</v>
      </c>
      <c r="L730" s="61"/>
      <c r="M730" s="15"/>
      <c r="N730" s="15" t="s">
        <v>138</v>
      </c>
      <c r="O730" s="15"/>
      <c r="P730" s="16" t="s">
        <v>32</v>
      </c>
      <c r="Q730" s="17">
        <v>23099</v>
      </c>
      <c r="R730" s="18">
        <v>45</v>
      </c>
      <c r="S730" s="19">
        <v>14610.1175</v>
      </c>
      <c r="T730" s="20" t="s">
        <v>75</v>
      </c>
      <c r="U730" s="21" t="s">
        <v>95</v>
      </c>
      <c r="V730" s="22">
        <v>48</v>
      </c>
      <c r="W730" s="22">
        <v>2</v>
      </c>
      <c r="X730" s="23"/>
    </row>
    <row r="731" spans="1:24" s="1" customFormat="1" ht="11" customHeight="1" x14ac:dyDescent="0.3">
      <c r="A731" s="24" t="s">
        <v>23</v>
      </c>
      <c r="B731" s="24" t="s">
        <v>866</v>
      </c>
      <c r="C731" s="12" t="s">
        <v>867</v>
      </c>
      <c r="D731" s="58"/>
      <c r="E731" s="43" t="str">
        <f t="shared" si="34"/>
        <v>Еще фото</v>
      </c>
      <c r="F731" s="14"/>
      <c r="G731" s="24" t="s">
        <v>237</v>
      </c>
      <c r="H731" s="24" t="s">
        <v>27</v>
      </c>
      <c r="I731" s="24" t="s">
        <v>237</v>
      </c>
      <c r="J731" s="15" t="s">
        <v>37</v>
      </c>
      <c r="K731" s="16" t="s">
        <v>57</v>
      </c>
      <c r="L731" s="61"/>
      <c r="M731" s="15"/>
      <c r="N731" s="15" t="s">
        <v>138</v>
      </c>
      <c r="O731" s="15"/>
      <c r="P731" s="16" t="s">
        <v>32</v>
      </c>
      <c r="Q731" s="17">
        <v>23099</v>
      </c>
      <c r="R731" s="18">
        <v>45</v>
      </c>
      <c r="S731" s="19">
        <v>14610.1175</v>
      </c>
      <c r="T731" s="20" t="s">
        <v>75</v>
      </c>
      <c r="U731" s="21" t="s">
        <v>165</v>
      </c>
      <c r="V731" s="22">
        <v>48</v>
      </c>
      <c r="W731" s="22">
        <v>5</v>
      </c>
      <c r="X731" s="23"/>
    </row>
    <row r="732" spans="1:24" s="1" customFormat="1" ht="11" customHeight="1" x14ac:dyDescent="0.3">
      <c r="A732" s="24" t="s">
        <v>23</v>
      </c>
      <c r="B732" s="24" t="s">
        <v>866</v>
      </c>
      <c r="C732" s="12" t="s">
        <v>867</v>
      </c>
      <c r="D732" s="58"/>
      <c r="E732" s="43" t="str">
        <f t="shared" si="34"/>
        <v>Еще фото</v>
      </c>
      <c r="F732" s="14"/>
      <c r="G732" s="24" t="s">
        <v>237</v>
      </c>
      <c r="H732" s="24" t="s">
        <v>27</v>
      </c>
      <c r="I732" s="24" t="s">
        <v>237</v>
      </c>
      <c r="J732" s="15" t="s">
        <v>37</v>
      </c>
      <c r="K732" s="16" t="s">
        <v>57</v>
      </c>
      <c r="L732" s="61"/>
      <c r="M732" s="15"/>
      <c r="N732" s="15" t="s">
        <v>138</v>
      </c>
      <c r="O732" s="15"/>
      <c r="P732" s="16" t="s">
        <v>32</v>
      </c>
      <c r="Q732" s="17">
        <v>23099</v>
      </c>
      <c r="R732" s="18">
        <v>45</v>
      </c>
      <c r="S732" s="19">
        <v>14610.1175</v>
      </c>
      <c r="T732" s="20" t="s">
        <v>75</v>
      </c>
      <c r="U732" s="21" t="s">
        <v>104</v>
      </c>
      <c r="V732" s="22">
        <v>48</v>
      </c>
      <c r="W732" s="22">
        <v>2</v>
      </c>
      <c r="X732" s="23"/>
    </row>
    <row r="733" spans="1:24" s="1" customFormat="1" ht="11" customHeight="1" x14ac:dyDescent="0.3">
      <c r="A733" s="24" t="s">
        <v>23</v>
      </c>
      <c r="B733" s="24" t="s">
        <v>866</v>
      </c>
      <c r="C733" s="12" t="s">
        <v>867</v>
      </c>
      <c r="D733" s="58"/>
      <c r="E733" s="43" t="str">
        <f t="shared" si="34"/>
        <v>Еще фото</v>
      </c>
      <c r="F733" s="14"/>
      <c r="G733" s="24" t="s">
        <v>237</v>
      </c>
      <c r="H733" s="24" t="s">
        <v>27</v>
      </c>
      <c r="I733" s="24" t="s">
        <v>237</v>
      </c>
      <c r="J733" s="15" t="s">
        <v>37</v>
      </c>
      <c r="K733" s="16" t="s">
        <v>57</v>
      </c>
      <c r="L733" s="61"/>
      <c r="M733" s="15"/>
      <c r="N733" s="15" t="s">
        <v>138</v>
      </c>
      <c r="O733" s="15"/>
      <c r="P733" s="16" t="s">
        <v>32</v>
      </c>
      <c r="Q733" s="17">
        <v>23099</v>
      </c>
      <c r="R733" s="18">
        <v>45</v>
      </c>
      <c r="S733" s="19">
        <v>14610.1175</v>
      </c>
      <c r="T733" s="20" t="s">
        <v>75</v>
      </c>
      <c r="U733" s="21" t="s">
        <v>166</v>
      </c>
      <c r="V733" s="25" t="s">
        <v>96</v>
      </c>
      <c r="W733" s="22">
        <v>3</v>
      </c>
      <c r="X733" s="23"/>
    </row>
    <row r="734" spans="1:24" s="1" customFormat="1" ht="11" customHeight="1" x14ac:dyDescent="0.3">
      <c r="A734" s="24" t="s">
        <v>23</v>
      </c>
      <c r="B734" s="24" t="s">
        <v>866</v>
      </c>
      <c r="C734" s="12" t="s">
        <v>867</v>
      </c>
      <c r="D734" s="58"/>
      <c r="E734" s="43" t="str">
        <f t="shared" si="34"/>
        <v>Еще фото</v>
      </c>
      <c r="F734" s="14"/>
      <c r="G734" s="24" t="s">
        <v>237</v>
      </c>
      <c r="H734" s="24" t="s">
        <v>27</v>
      </c>
      <c r="I734" s="24" t="s">
        <v>237</v>
      </c>
      <c r="J734" s="15" t="s">
        <v>37</v>
      </c>
      <c r="K734" s="16" t="s">
        <v>57</v>
      </c>
      <c r="L734" s="61"/>
      <c r="M734" s="15"/>
      <c r="N734" s="15" t="s">
        <v>138</v>
      </c>
      <c r="O734" s="15"/>
      <c r="P734" s="16" t="s">
        <v>32</v>
      </c>
      <c r="Q734" s="17">
        <v>23099</v>
      </c>
      <c r="R734" s="18">
        <v>45</v>
      </c>
      <c r="S734" s="19">
        <v>14610.1175</v>
      </c>
      <c r="T734" s="20" t="s">
        <v>75</v>
      </c>
      <c r="U734" s="21" t="s">
        <v>359</v>
      </c>
      <c r="V734" s="25" t="s">
        <v>96</v>
      </c>
      <c r="W734" s="22">
        <v>1</v>
      </c>
      <c r="X734" s="23"/>
    </row>
    <row r="735" spans="1:24" s="1" customFormat="1" ht="11" customHeight="1" x14ac:dyDescent="0.3">
      <c r="A735" s="15" t="s">
        <v>23</v>
      </c>
      <c r="B735" s="15" t="s">
        <v>866</v>
      </c>
      <c r="C735" s="12" t="s">
        <v>867</v>
      </c>
      <c r="D735" s="58"/>
      <c r="E735" s="43" t="str">
        <f t="shared" si="34"/>
        <v>Еще фото</v>
      </c>
      <c r="F735" s="26"/>
      <c r="G735" s="15" t="s">
        <v>237</v>
      </c>
      <c r="H735" s="15" t="s">
        <v>27</v>
      </c>
      <c r="I735" s="15" t="s">
        <v>237</v>
      </c>
      <c r="J735" s="15" t="s">
        <v>37</v>
      </c>
      <c r="K735" s="15" t="s">
        <v>57</v>
      </c>
      <c r="L735" s="61"/>
      <c r="M735" s="15"/>
      <c r="N735" s="15" t="s">
        <v>138</v>
      </c>
      <c r="O735" s="15"/>
      <c r="P735" s="15" t="s">
        <v>32</v>
      </c>
      <c r="Q735" s="27">
        <v>23099</v>
      </c>
      <c r="R735" s="28">
        <v>45</v>
      </c>
      <c r="S735" s="29">
        <v>14610.1175</v>
      </c>
      <c r="T735" s="20" t="s">
        <v>75</v>
      </c>
      <c r="U735" s="21" t="s">
        <v>89</v>
      </c>
      <c r="V735" s="22">
        <v>50</v>
      </c>
      <c r="W735" s="22">
        <v>1</v>
      </c>
      <c r="X735" s="23"/>
    </row>
    <row r="736" spans="1:24" s="1" customFormat="1" ht="11" customHeight="1" x14ac:dyDescent="0.3">
      <c r="A736" s="15" t="s">
        <v>23</v>
      </c>
      <c r="B736" s="15" t="s">
        <v>866</v>
      </c>
      <c r="C736" s="12" t="s">
        <v>867</v>
      </c>
      <c r="D736" s="58"/>
      <c r="E736" s="43" t="str">
        <f t="shared" si="34"/>
        <v>Еще фото</v>
      </c>
      <c r="F736" s="26"/>
      <c r="G736" s="15" t="s">
        <v>237</v>
      </c>
      <c r="H736" s="15" t="s">
        <v>27</v>
      </c>
      <c r="I736" s="15" t="s">
        <v>237</v>
      </c>
      <c r="J736" s="15" t="s">
        <v>37</v>
      </c>
      <c r="K736" s="15" t="s">
        <v>57</v>
      </c>
      <c r="L736" s="61"/>
      <c r="M736" s="15"/>
      <c r="N736" s="15" t="s">
        <v>138</v>
      </c>
      <c r="O736" s="15"/>
      <c r="P736" s="15" t="s">
        <v>32</v>
      </c>
      <c r="Q736" s="27">
        <v>23099</v>
      </c>
      <c r="R736" s="28">
        <v>45</v>
      </c>
      <c r="S736" s="29">
        <v>14610.1175</v>
      </c>
      <c r="T736" s="20" t="s">
        <v>75</v>
      </c>
      <c r="U736" s="21" t="s">
        <v>167</v>
      </c>
      <c r="V736" s="22">
        <v>52</v>
      </c>
      <c r="W736" s="22">
        <v>2</v>
      </c>
      <c r="X736" s="23"/>
    </row>
    <row r="737" spans="1:24" s="1" customFormat="1" ht="11" customHeight="1" x14ac:dyDescent="0.3">
      <c r="A737" s="15" t="s">
        <v>23</v>
      </c>
      <c r="B737" s="15" t="s">
        <v>866</v>
      </c>
      <c r="C737" s="12" t="s">
        <v>867</v>
      </c>
      <c r="D737" s="59"/>
      <c r="E737" s="43" t="str">
        <f t="shared" si="34"/>
        <v>Еще фото</v>
      </c>
      <c r="F737" s="26"/>
      <c r="G737" s="15" t="s">
        <v>237</v>
      </c>
      <c r="H737" s="15" t="s">
        <v>27</v>
      </c>
      <c r="I737" s="15" t="s">
        <v>237</v>
      </c>
      <c r="J737" s="15" t="s">
        <v>37</v>
      </c>
      <c r="K737" s="15" t="s">
        <v>57</v>
      </c>
      <c r="L737" s="62"/>
      <c r="M737" s="15"/>
      <c r="N737" s="15" t="s">
        <v>138</v>
      </c>
      <c r="O737" s="15"/>
      <c r="P737" s="15" t="s">
        <v>32</v>
      </c>
      <c r="Q737" s="27">
        <v>23099</v>
      </c>
      <c r="R737" s="28">
        <v>45</v>
      </c>
      <c r="S737" s="29">
        <v>14610.1175</v>
      </c>
      <c r="T737" s="20" t="s">
        <v>75</v>
      </c>
      <c r="U737" s="21" t="s">
        <v>168</v>
      </c>
      <c r="V737" s="22">
        <v>52</v>
      </c>
      <c r="W737" s="22">
        <v>1</v>
      </c>
      <c r="X737" s="23"/>
    </row>
    <row r="738" spans="1:24" s="1" customFormat="1" ht="35" customHeight="1" x14ac:dyDescent="0.3">
      <c r="A738" s="11" t="s">
        <v>23</v>
      </c>
      <c r="B738" s="11" t="s">
        <v>868</v>
      </c>
      <c r="C738" s="12" t="s">
        <v>869</v>
      </c>
      <c r="D738" s="57"/>
      <c r="E738" s="43" t="str">
        <f>HYPERLINK("https://www.google.ru/search?q=00501-3418&amp;newwindow=1&amp;tbm=isch","Еще фото")</f>
        <v>Еще фото</v>
      </c>
      <c r="F738" s="14"/>
      <c r="G738" s="11" t="s">
        <v>237</v>
      </c>
      <c r="H738" s="11" t="s">
        <v>27</v>
      </c>
      <c r="I738" s="15" t="s">
        <v>237</v>
      </c>
      <c r="J738" s="15" t="s">
        <v>37</v>
      </c>
      <c r="K738" s="16" t="s">
        <v>57</v>
      </c>
      <c r="L738" s="60" t="s">
        <v>870</v>
      </c>
      <c r="M738" s="15"/>
      <c r="N738" s="15" t="s">
        <v>130</v>
      </c>
      <c r="O738" s="15"/>
      <c r="P738" s="16" t="s">
        <v>254</v>
      </c>
      <c r="Q738" s="17">
        <v>15699</v>
      </c>
      <c r="R738" s="18">
        <v>45</v>
      </c>
      <c r="S738" s="19">
        <v>9929.6175000000003</v>
      </c>
      <c r="T738" s="20" t="s">
        <v>75</v>
      </c>
      <c r="U738" s="21" t="s">
        <v>109</v>
      </c>
      <c r="V738" s="25" t="s">
        <v>65</v>
      </c>
      <c r="W738" s="22">
        <v>1</v>
      </c>
      <c r="X738" s="23"/>
    </row>
    <row r="739" spans="1:24" s="1" customFormat="1" ht="35" customHeight="1" x14ac:dyDescent="0.3">
      <c r="A739" s="24" t="s">
        <v>23</v>
      </c>
      <c r="B739" s="24" t="s">
        <v>868</v>
      </c>
      <c r="C739" s="12" t="s">
        <v>869</v>
      </c>
      <c r="D739" s="58"/>
      <c r="E739" s="43" t="str">
        <f>HYPERLINK("https://www.google.ru/search?q=00501-3418&amp;newwindow=1&amp;tbm=isch","Еще фото")</f>
        <v>Еще фото</v>
      </c>
      <c r="F739" s="14"/>
      <c r="G739" s="24" t="s">
        <v>237</v>
      </c>
      <c r="H739" s="24" t="s">
        <v>27</v>
      </c>
      <c r="I739" s="24" t="s">
        <v>237</v>
      </c>
      <c r="J739" s="15" t="s">
        <v>37</v>
      </c>
      <c r="K739" s="16" t="s">
        <v>57</v>
      </c>
      <c r="L739" s="61"/>
      <c r="M739" s="15"/>
      <c r="N739" s="15" t="s">
        <v>130</v>
      </c>
      <c r="O739" s="15"/>
      <c r="P739" s="16" t="s">
        <v>254</v>
      </c>
      <c r="Q739" s="17">
        <v>15699</v>
      </c>
      <c r="R739" s="18">
        <v>45</v>
      </c>
      <c r="S739" s="19">
        <v>9929.6175000000003</v>
      </c>
      <c r="T739" s="20" t="s">
        <v>75</v>
      </c>
      <c r="U739" s="21" t="s">
        <v>165</v>
      </c>
      <c r="V739" s="22">
        <v>48</v>
      </c>
      <c r="W739" s="22">
        <v>3</v>
      </c>
      <c r="X739" s="23"/>
    </row>
    <row r="740" spans="1:24" s="1" customFormat="1" ht="37.049999999999997" customHeight="1" x14ac:dyDescent="0.3">
      <c r="A740" s="24" t="s">
        <v>23</v>
      </c>
      <c r="B740" s="24" t="s">
        <v>868</v>
      </c>
      <c r="C740" s="12" t="s">
        <v>869</v>
      </c>
      <c r="D740" s="59"/>
      <c r="E740" s="43" t="str">
        <f>HYPERLINK("https://www.google.ru/search?q=00501-3418&amp;newwindow=1&amp;tbm=isch","Еще фото")</f>
        <v>Еще фото</v>
      </c>
      <c r="F740" s="14"/>
      <c r="G740" s="24" t="s">
        <v>237</v>
      </c>
      <c r="H740" s="24" t="s">
        <v>27</v>
      </c>
      <c r="I740" s="24" t="s">
        <v>237</v>
      </c>
      <c r="J740" s="15" t="s">
        <v>37</v>
      </c>
      <c r="K740" s="16" t="s">
        <v>57</v>
      </c>
      <c r="L740" s="62"/>
      <c r="M740" s="15"/>
      <c r="N740" s="15" t="s">
        <v>130</v>
      </c>
      <c r="O740" s="15"/>
      <c r="P740" s="16" t="s">
        <v>254</v>
      </c>
      <c r="Q740" s="17">
        <v>15699</v>
      </c>
      <c r="R740" s="18">
        <v>45</v>
      </c>
      <c r="S740" s="19">
        <v>9929.6175000000003</v>
      </c>
      <c r="T740" s="20" t="s">
        <v>75</v>
      </c>
      <c r="U740" s="21" t="s">
        <v>166</v>
      </c>
      <c r="V740" s="25" t="s">
        <v>96</v>
      </c>
      <c r="W740" s="22">
        <v>1</v>
      </c>
      <c r="X740" s="23"/>
    </row>
    <row r="741" spans="1:24" s="1" customFormat="1" ht="17" customHeight="1" x14ac:dyDescent="0.3">
      <c r="A741" s="11" t="s">
        <v>23</v>
      </c>
      <c r="B741" s="11" t="s">
        <v>871</v>
      </c>
      <c r="C741" s="12" t="s">
        <v>872</v>
      </c>
      <c r="D741" s="57"/>
      <c r="E741" s="43" t="str">
        <f t="shared" ref="E741:E746" si="35">HYPERLINK("https://www.google.ru/search?q=00501-3473&amp;newwindow=1&amp;tbm=isch","Еще фото")</f>
        <v>Еще фото</v>
      </c>
      <c r="F741" s="14" t="s">
        <v>182</v>
      </c>
      <c r="G741" s="11" t="s">
        <v>237</v>
      </c>
      <c r="H741" s="11" t="s">
        <v>27</v>
      </c>
      <c r="I741" s="15" t="s">
        <v>237</v>
      </c>
      <c r="J741" s="15" t="s">
        <v>37</v>
      </c>
      <c r="K741" s="16" t="s">
        <v>57</v>
      </c>
      <c r="L741" s="60" t="s">
        <v>858</v>
      </c>
      <c r="M741" s="15"/>
      <c r="N741" s="15" t="s">
        <v>130</v>
      </c>
      <c r="O741" s="15"/>
      <c r="P741" s="16" t="s">
        <v>254</v>
      </c>
      <c r="Q741" s="17">
        <v>18899</v>
      </c>
      <c r="R741" s="18">
        <v>45</v>
      </c>
      <c r="S741" s="19">
        <v>11953.6175</v>
      </c>
      <c r="T741" s="20" t="s">
        <v>75</v>
      </c>
      <c r="U741" s="21" t="s">
        <v>53</v>
      </c>
      <c r="V741" s="22">
        <v>46</v>
      </c>
      <c r="W741" s="22">
        <v>6</v>
      </c>
      <c r="X741" s="23"/>
    </row>
    <row r="742" spans="1:24" s="1" customFormat="1" ht="17" customHeight="1" x14ac:dyDescent="0.3">
      <c r="A742" s="24" t="s">
        <v>23</v>
      </c>
      <c r="B742" s="24" t="s">
        <v>871</v>
      </c>
      <c r="C742" s="12" t="s">
        <v>872</v>
      </c>
      <c r="D742" s="58"/>
      <c r="E742" s="43" t="str">
        <f t="shared" si="35"/>
        <v>Еще фото</v>
      </c>
      <c r="F742" s="14" t="s">
        <v>182</v>
      </c>
      <c r="G742" s="24" t="s">
        <v>237</v>
      </c>
      <c r="H742" s="24" t="s">
        <v>27</v>
      </c>
      <c r="I742" s="24" t="s">
        <v>237</v>
      </c>
      <c r="J742" s="15" t="s">
        <v>37</v>
      </c>
      <c r="K742" s="16" t="s">
        <v>57</v>
      </c>
      <c r="L742" s="61"/>
      <c r="M742" s="15"/>
      <c r="N742" s="15" t="s">
        <v>130</v>
      </c>
      <c r="O742" s="15"/>
      <c r="P742" s="16" t="s">
        <v>254</v>
      </c>
      <c r="Q742" s="17">
        <v>18899</v>
      </c>
      <c r="R742" s="18">
        <v>45</v>
      </c>
      <c r="S742" s="19">
        <v>11953.6175</v>
      </c>
      <c r="T742" s="20" t="s">
        <v>75</v>
      </c>
      <c r="U742" s="21" t="s">
        <v>143</v>
      </c>
      <c r="V742" s="22">
        <v>46</v>
      </c>
      <c r="W742" s="22">
        <v>3</v>
      </c>
      <c r="X742" s="23"/>
    </row>
    <row r="743" spans="1:24" s="1" customFormat="1" ht="17" customHeight="1" x14ac:dyDescent="0.3">
      <c r="A743" s="24" t="s">
        <v>23</v>
      </c>
      <c r="B743" s="24" t="s">
        <v>871</v>
      </c>
      <c r="C743" s="12" t="s">
        <v>872</v>
      </c>
      <c r="D743" s="58"/>
      <c r="E743" s="43" t="str">
        <f t="shared" si="35"/>
        <v>Еще фото</v>
      </c>
      <c r="F743" s="14" t="s">
        <v>182</v>
      </c>
      <c r="G743" s="24" t="s">
        <v>237</v>
      </c>
      <c r="H743" s="24" t="s">
        <v>27</v>
      </c>
      <c r="I743" s="24" t="s">
        <v>237</v>
      </c>
      <c r="J743" s="15" t="s">
        <v>37</v>
      </c>
      <c r="K743" s="16" t="s">
        <v>57</v>
      </c>
      <c r="L743" s="61"/>
      <c r="M743" s="15"/>
      <c r="N743" s="15" t="s">
        <v>130</v>
      </c>
      <c r="O743" s="15"/>
      <c r="P743" s="16" t="s">
        <v>254</v>
      </c>
      <c r="Q743" s="17">
        <v>18899</v>
      </c>
      <c r="R743" s="18">
        <v>45</v>
      </c>
      <c r="S743" s="19">
        <v>11953.6175</v>
      </c>
      <c r="T743" s="20" t="s">
        <v>75</v>
      </c>
      <c r="U743" s="21" t="s">
        <v>109</v>
      </c>
      <c r="V743" s="25" t="s">
        <v>65</v>
      </c>
      <c r="W743" s="22">
        <v>1</v>
      </c>
      <c r="X743" s="23"/>
    </row>
    <row r="744" spans="1:24" s="1" customFormat="1" ht="17" customHeight="1" x14ac:dyDescent="0.3">
      <c r="A744" s="24" t="s">
        <v>23</v>
      </c>
      <c r="B744" s="24" t="s">
        <v>871</v>
      </c>
      <c r="C744" s="12" t="s">
        <v>872</v>
      </c>
      <c r="D744" s="58"/>
      <c r="E744" s="43" t="str">
        <f t="shared" si="35"/>
        <v>Еще фото</v>
      </c>
      <c r="F744" s="14" t="s">
        <v>182</v>
      </c>
      <c r="G744" s="24" t="s">
        <v>237</v>
      </c>
      <c r="H744" s="24" t="s">
        <v>27</v>
      </c>
      <c r="I744" s="24" t="s">
        <v>237</v>
      </c>
      <c r="J744" s="15" t="s">
        <v>37</v>
      </c>
      <c r="K744" s="16" t="s">
        <v>57</v>
      </c>
      <c r="L744" s="61"/>
      <c r="M744" s="15"/>
      <c r="N744" s="15" t="s">
        <v>130</v>
      </c>
      <c r="O744" s="15"/>
      <c r="P744" s="16" t="s">
        <v>254</v>
      </c>
      <c r="Q744" s="17">
        <v>18899</v>
      </c>
      <c r="R744" s="18">
        <v>45</v>
      </c>
      <c r="S744" s="19">
        <v>11953.6175</v>
      </c>
      <c r="T744" s="20" t="s">
        <v>75</v>
      </c>
      <c r="U744" s="21" t="s">
        <v>165</v>
      </c>
      <c r="V744" s="22">
        <v>48</v>
      </c>
      <c r="W744" s="22">
        <v>4</v>
      </c>
      <c r="X744" s="23"/>
    </row>
    <row r="745" spans="1:24" s="1" customFormat="1" ht="17" customHeight="1" x14ac:dyDescent="0.3">
      <c r="A745" s="24" t="s">
        <v>23</v>
      </c>
      <c r="B745" s="24" t="s">
        <v>871</v>
      </c>
      <c r="C745" s="12" t="s">
        <v>872</v>
      </c>
      <c r="D745" s="58"/>
      <c r="E745" s="43" t="str">
        <f t="shared" si="35"/>
        <v>Еще фото</v>
      </c>
      <c r="F745" s="14" t="s">
        <v>182</v>
      </c>
      <c r="G745" s="24" t="s">
        <v>237</v>
      </c>
      <c r="H745" s="24" t="s">
        <v>27</v>
      </c>
      <c r="I745" s="24" t="s">
        <v>237</v>
      </c>
      <c r="J745" s="15" t="s">
        <v>37</v>
      </c>
      <c r="K745" s="16" t="s">
        <v>57</v>
      </c>
      <c r="L745" s="61"/>
      <c r="M745" s="15"/>
      <c r="N745" s="15" t="s">
        <v>130</v>
      </c>
      <c r="O745" s="15"/>
      <c r="P745" s="16" t="s">
        <v>254</v>
      </c>
      <c r="Q745" s="17">
        <v>18899</v>
      </c>
      <c r="R745" s="18">
        <v>45</v>
      </c>
      <c r="S745" s="19">
        <v>11953.6175</v>
      </c>
      <c r="T745" s="20" t="s">
        <v>75</v>
      </c>
      <c r="U745" s="21" t="s">
        <v>89</v>
      </c>
      <c r="V745" s="22">
        <v>50</v>
      </c>
      <c r="W745" s="22">
        <v>1</v>
      </c>
      <c r="X745" s="23"/>
    </row>
    <row r="746" spans="1:24" s="1" customFormat="1" ht="22.05" customHeight="1" x14ac:dyDescent="0.3">
      <c r="A746" s="24" t="s">
        <v>23</v>
      </c>
      <c r="B746" s="24" t="s">
        <v>871</v>
      </c>
      <c r="C746" s="12" t="s">
        <v>872</v>
      </c>
      <c r="D746" s="59"/>
      <c r="E746" s="43" t="str">
        <f t="shared" si="35"/>
        <v>Еще фото</v>
      </c>
      <c r="F746" s="14" t="s">
        <v>182</v>
      </c>
      <c r="G746" s="24" t="s">
        <v>237</v>
      </c>
      <c r="H746" s="24" t="s">
        <v>27</v>
      </c>
      <c r="I746" s="24" t="s">
        <v>237</v>
      </c>
      <c r="J746" s="15" t="s">
        <v>37</v>
      </c>
      <c r="K746" s="16" t="s">
        <v>57</v>
      </c>
      <c r="L746" s="62"/>
      <c r="M746" s="15"/>
      <c r="N746" s="15" t="s">
        <v>130</v>
      </c>
      <c r="O746" s="15"/>
      <c r="P746" s="16" t="s">
        <v>254</v>
      </c>
      <c r="Q746" s="17">
        <v>18899</v>
      </c>
      <c r="R746" s="18">
        <v>45</v>
      </c>
      <c r="S746" s="19">
        <v>11953.6175</v>
      </c>
      <c r="T746" s="20" t="s">
        <v>75</v>
      </c>
      <c r="U746" s="21" t="s">
        <v>167</v>
      </c>
      <c r="V746" s="22">
        <v>52</v>
      </c>
      <c r="W746" s="22">
        <v>3</v>
      </c>
      <c r="X746" s="23"/>
    </row>
    <row r="747" spans="1:24" s="1" customFormat="1" ht="52.05" customHeight="1" x14ac:dyDescent="0.3">
      <c r="A747" s="11" t="s">
        <v>23</v>
      </c>
      <c r="B747" s="11" t="s">
        <v>873</v>
      </c>
      <c r="C747" s="12" t="s">
        <v>874</v>
      </c>
      <c r="D747" s="63"/>
      <c r="E747" s="43" t="str">
        <f>HYPERLINK("https://www.google.ru/search?q=00501-3496&amp;newwindow=1&amp;tbm=isch","Еще фото")</f>
        <v>Еще фото</v>
      </c>
      <c r="F747" s="14"/>
      <c r="G747" s="11" t="s">
        <v>237</v>
      </c>
      <c r="H747" s="11" t="s">
        <v>27</v>
      </c>
      <c r="I747" s="15" t="s">
        <v>237</v>
      </c>
      <c r="J747" s="15" t="s">
        <v>37</v>
      </c>
      <c r="K747" s="16" t="s">
        <v>57</v>
      </c>
      <c r="L747" s="60" t="s">
        <v>858</v>
      </c>
      <c r="M747" s="15"/>
      <c r="N747" s="15" t="s">
        <v>87</v>
      </c>
      <c r="O747" s="15"/>
      <c r="P747" s="16" t="s">
        <v>32</v>
      </c>
      <c r="Q747" s="17">
        <v>16699</v>
      </c>
      <c r="R747" s="18">
        <v>45</v>
      </c>
      <c r="S747" s="19">
        <v>10562.1175</v>
      </c>
      <c r="T747" s="20" t="s">
        <v>75</v>
      </c>
      <c r="U747" s="21" t="s">
        <v>104</v>
      </c>
      <c r="V747" s="22">
        <v>48</v>
      </c>
      <c r="W747" s="22">
        <v>1</v>
      </c>
      <c r="X747" s="23"/>
    </row>
    <row r="748" spans="1:24" s="1" customFormat="1" ht="61.05" customHeight="1" x14ac:dyDescent="0.3">
      <c r="A748" s="24" t="s">
        <v>23</v>
      </c>
      <c r="B748" s="24" t="s">
        <v>873</v>
      </c>
      <c r="C748" s="12" t="s">
        <v>874</v>
      </c>
      <c r="D748" s="64"/>
      <c r="E748" s="43" t="str">
        <f>HYPERLINK("https://www.google.ru/search?q=00501-3496&amp;newwindow=1&amp;tbm=isch","Еще фото")</f>
        <v>Еще фото</v>
      </c>
      <c r="F748" s="14"/>
      <c r="G748" s="24" t="s">
        <v>237</v>
      </c>
      <c r="H748" s="24" t="s">
        <v>27</v>
      </c>
      <c r="I748" s="24" t="s">
        <v>237</v>
      </c>
      <c r="J748" s="15" t="s">
        <v>37</v>
      </c>
      <c r="K748" s="16" t="s">
        <v>57</v>
      </c>
      <c r="L748" s="62"/>
      <c r="M748" s="15"/>
      <c r="N748" s="15" t="s">
        <v>87</v>
      </c>
      <c r="O748" s="15"/>
      <c r="P748" s="16" t="s">
        <v>32</v>
      </c>
      <c r="Q748" s="17">
        <v>16699</v>
      </c>
      <c r="R748" s="18">
        <v>45</v>
      </c>
      <c r="S748" s="19">
        <v>10562.1175</v>
      </c>
      <c r="T748" s="20" t="s">
        <v>75</v>
      </c>
      <c r="U748" s="21" t="s">
        <v>359</v>
      </c>
      <c r="V748" s="25" t="s">
        <v>96</v>
      </c>
      <c r="W748" s="22">
        <v>1</v>
      </c>
      <c r="X748" s="23"/>
    </row>
    <row r="749" spans="1:24" s="1" customFormat="1" ht="52.05" customHeight="1" x14ac:dyDescent="0.3">
      <c r="A749" s="11" t="s">
        <v>23</v>
      </c>
      <c r="B749" s="11" t="s">
        <v>868</v>
      </c>
      <c r="C749" s="12" t="s">
        <v>875</v>
      </c>
      <c r="D749" s="63"/>
      <c r="E749" s="43" t="str">
        <f>HYPERLINK("https://www.google.ru/search?q=00501-3592&amp;newwindow=1&amp;tbm=isch","Еще фото")</f>
        <v>Еще фото</v>
      </c>
      <c r="F749" s="14"/>
      <c r="G749" s="11" t="s">
        <v>237</v>
      </c>
      <c r="H749" s="11" t="s">
        <v>27</v>
      </c>
      <c r="I749" s="15" t="s">
        <v>237</v>
      </c>
      <c r="J749" s="15" t="s">
        <v>37</v>
      </c>
      <c r="K749" s="16" t="s">
        <v>57</v>
      </c>
      <c r="L749" s="60" t="s">
        <v>876</v>
      </c>
      <c r="M749" s="15"/>
      <c r="N749" s="15" t="s">
        <v>130</v>
      </c>
      <c r="O749" s="15"/>
      <c r="P749" s="16" t="s">
        <v>32</v>
      </c>
      <c r="Q749" s="17">
        <v>17699</v>
      </c>
      <c r="R749" s="18">
        <v>45</v>
      </c>
      <c r="S749" s="19">
        <v>11194.6175</v>
      </c>
      <c r="T749" s="20" t="s">
        <v>75</v>
      </c>
      <c r="U749" s="21" t="s">
        <v>53</v>
      </c>
      <c r="V749" s="22">
        <v>46</v>
      </c>
      <c r="W749" s="22">
        <v>5</v>
      </c>
      <c r="X749" s="23"/>
    </row>
    <row r="750" spans="1:24" s="1" customFormat="1" ht="61.05" customHeight="1" x14ac:dyDescent="0.3">
      <c r="A750" s="24" t="s">
        <v>23</v>
      </c>
      <c r="B750" s="24" t="s">
        <v>868</v>
      </c>
      <c r="C750" s="12" t="s">
        <v>875</v>
      </c>
      <c r="D750" s="64"/>
      <c r="E750" s="43" t="str">
        <f>HYPERLINK("https://www.google.ru/search?q=00501-3592&amp;newwindow=1&amp;tbm=isch","Еще фото")</f>
        <v>Еще фото</v>
      </c>
      <c r="F750" s="14"/>
      <c r="G750" s="24" t="s">
        <v>237</v>
      </c>
      <c r="H750" s="24" t="s">
        <v>27</v>
      </c>
      <c r="I750" s="24" t="s">
        <v>237</v>
      </c>
      <c r="J750" s="15" t="s">
        <v>37</v>
      </c>
      <c r="K750" s="16" t="s">
        <v>57</v>
      </c>
      <c r="L750" s="62"/>
      <c r="M750" s="15"/>
      <c r="N750" s="15" t="s">
        <v>130</v>
      </c>
      <c r="O750" s="15"/>
      <c r="P750" s="16" t="s">
        <v>32</v>
      </c>
      <c r="Q750" s="17">
        <v>17699</v>
      </c>
      <c r="R750" s="18">
        <v>45</v>
      </c>
      <c r="S750" s="19">
        <v>11194.6175</v>
      </c>
      <c r="T750" s="20" t="s">
        <v>75</v>
      </c>
      <c r="U750" s="21" t="s">
        <v>109</v>
      </c>
      <c r="V750" s="25" t="s">
        <v>65</v>
      </c>
      <c r="W750" s="22">
        <v>3</v>
      </c>
      <c r="X750" s="23"/>
    </row>
    <row r="751" spans="1:24" s="1" customFormat="1" ht="108" customHeight="1" x14ac:dyDescent="0.3">
      <c r="A751" s="11" t="s">
        <v>23</v>
      </c>
      <c r="B751" s="11" t="s">
        <v>877</v>
      </c>
      <c r="C751" s="12" t="s">
        <v>878</v>
      </c>
      <c r="D751" s="13"/>
      <c r="E751" s="43" t="str">
        <f>HYPERLINK("https://www.google.ru/search?q=00501-3604&amp;newwindow=1&amp;tbm=isch","Еще фото")</f>
        <v>Еще фото</v>
      </c>
      <c r="F751" s="14"/>
      <c r="G751" s="11" t="s">
        <v>237</v>
      </c>
      <c r="H751" s="11" t="s">
        <v>27</v>
      </c>
      <c r="I751" s="15" t="s">
        <v>237</v>
      </c>
      <c r="J751" s="15" t="s">
        <v>37</v>
      </c>
      <c r="K751" s="16" t="s">
        <v>57</v>
      </c>
      <c r="L751" s="15" t="s">
        <v>858</v>
      </c>
      <c r="M751" s="15"/>
      <c r="N751" s="15" t="s">
        <v>130</v>
      </c>
      <c r="O751" s="15"/>
      <c r="P751" s="16" t="s">
        <v>254</v>
      </c>
      <c r="Q751" s="17">
        <v>19099</v>
      </c>
      <c r="R751" s="18">
        <v>45</v>
      </c>
      <c r="S751" s="19">
        <v>12080.1175</v>
      </c>
      <c r="T751" s="20" t="s">
        <v>75</v>
      </c>
      <c r="U751" s="21" t="s">
        <v>109</v>
      </c>
      <c r="V751" s="25" t="s">
        <v>65</v>
      </c>
      <c r="W751" s="22">
        <v>1</v>
      </c>
      <c r="X751" s="23"/>
    </row>
    <row r="752" spans="1:24" s="1" customFormat="1" ht="108" customHeight="1" x14ac:dyDescent="0.3">
      <c r="A752" s="11" t="s">
        <v>23</v>
      </c>
      <c r="B752" s="11" t="s">
        <v>879</v>
      </c>
      <c r="C752" s="12" t="s">
        <v>880</v>
      </c>
      <c r="D752" s="13"/>
      <c r="E752" s="43" t="str">
        <f>HYPERLINK("https://www.google.ru/search?q=00501-3656&amp;newwindow=1&amp;tbm=isch","Еще фото")</f>
        <v>Еще фото</v>
      </c>
      <c r="F752" s="14"/>
      <c r="G752" s="11" t="s">
        <v>237</v>
      </c>
      <c r="H752" s="11" t="s">
        <v>27</v>
      </c>
      <c r="I752" s="15" t="s">
        <v>237</v>
      </c>
      <c r="J752" s="15" t="s">
        <v>37</v>
      </c>
      <c r="K752" s="16" t="s">
        <v>57</v>
      </c>
      <c r="L752" s="15" t="s">
        <v>881</v>
      </c>
      <c r="M752" s="15"/>
      <c r="N752" s="15" t="s">
        <v>130</v>
      </c>
      <c r="O752" s="15"/>
      <c r="P752" s="16" t="s">
        <v>32</v>
      </c>
      <c r="Q752" s="17">
        <v>20299</v>
      </c>
      <c r="R752" s="18">
        <v>45</v>
      </c>
      <c r="S752" s="19">
        <v>12839.1175</v>
      </c>
      <c r="T752" s="20" t="s">
        <v>75</v>
      </c>
      <c r="U752" s="21" t="s">
        <v>53</v>
      </c>
      <c r="V752" s="22">
        <v>46</v>
      </c>
      <c r="W752" s="22">
        <v>5</v>
      </c>
      <c r="X752" s="23"/>
    </row>
    <row r="753" spans="1:24" s="1" customFormat="1" ht="26" customHeight="1" x14ac:dyDescent="0.3">
      <c r="A753" s="11" t="s">
        <v>23</v>
      </c>
      <c r="B753" s="11" t="s">
        <v>879</v>
      </c>
      <c r="C753" s="12" t="s">
        <v>882</v>
      </c>
      <c r="D753" s="57"/>
      <c r="E753" s="43" t="str">
        <f>HYPERLINK("https://www.google.ru/search?q=00501-3658&amp;newwindow=1&amp;tbm=isch","Еще фото")</f>
        <v>Еще фото</v>
      </c>
      <c r="F753" s="14" t="s">
        <v>182</v>
      </c>
      <c r="G753" s="11" t="s">
        <v>237</v>
      </c>
      <c r="H753" s="11" t="s">
        <v>27</v>
      </c>
      <c r="I753" s="15" t="s">
        <v>237</v>
      </c>
      <c r="J753" s="15" t="s">
        <v>37</v>
      </c>
      <c r="K753" s="16" t="s">
        <v>57</v>
      </c>
      <c r="L753" s="60" t="s">
        <v>881</v>
      </c>
      <c r="M753" s="15"/>
      <c r="N753" s="15" t="s">
        <v>39</v>
      </c>
      <c r="O753" s="15"/>
      <c r="P753" s="16" t="s">
        <v>32</v>
      </c>
      <c r="Q753" s="17">
        <v>20299</v>
      </c>
      <c r="R753" s="18">
        <v>45</v>
      </c>
      <c r="S753" s="19">
        <v>12839.1175</v>
      </c>
      <c r="T753" s="20" t="s">
        <v>75</v>
      </c>
      <c r="U753" s="21" t="s">
        <v>53</v>
      </c>
      <c r="V753" s="22">
        <v>46</v>
      </c>
      <c r="W753" s="22">
        <v>3</v>
      </c>
      <c r="X753" s="23"/>
    </row>
    <row r="754" spans="1:24" s="1" customFormat="1" ht="26" customHeight="1" x14ac:dyDescent="0.3">
      <c r="A754" s="24" t="s">
        <v>23</v>
      </c>
      <c r="B754" s="24" t="s">
        <v>879</v>
      </c>
      <c r="C754" s="12" t="s">
        <v>882</v>
      </c>
      <c r="D754" s="58"/>
      <c r="E754" s="43" t="str">
        <f>HYPERLINK("https://www.google.ru/search?q=00501-3658&amp;newwindow=1&amp;tbm=isch","Еще фото")</f>
        <v>Еще фото</v>
      </c>
      <c r="F754" s="14" t="s">
        <v>182</v>
      </c>
      <c r="G754" s="24" t="s">
        <v>237</v>
      </c>
      <c r="H754" s="24" t="s">
        <v>27</v>
      </c>
      <c r="I754" s="24" t="s">
        <v>237</v>
      </c>
      <c r="J754" s="15" t="s">
        <v>37</v>
      </c>
      <c r="K754" s="16" t="s">
        <v>57</v>
      </c>
      <c r="L754" s="61"/>
      <c r="M754" s="15"/>
      <c r="N754" s="15" t="s">
        <v>39</v>
      </c>
      <c r="O754" s="15"/>
      <c r="P754" s="16" t="s">
        <v>32</v>
      </c>
      <c r="Q754" s="17">
        <v>20299</v>
      </c>
      <c r="R754" s="18">
        <v>45</v>
      </c>
      <c r="S754" s="19">
        <v>12839.1175</v>
      </c>
      <c r="T754" s="20" t="s">
        <v>75</v>
      </c>
      <c r="U754" s="21" t="s">
        <v>95</v>
      </c>
      <c r="V754" s="22">
        <v>48</v>
      </c>
      <c r="W754" s="22">
        <v>1</v>
      </c>
      <c r="X754" s="23"/>
    </row>
    <row r="755" spans="1:24" s="1" customFormat="1" ht="26" customHeight="1" x14ac:dyDescent="0.3">
      <c r="A755" s="24" t="s">
        <v>23</v>
      </c>
      <c r="B755" s="24" t="s">
        <v>879</v>
      </c>
      <c r="C755" s="12" t="s">
        <v>882</v>
      </c>
      <c r="D755" s="58"/>
      <c r="E755" s="43" t="str">
        <f>HYPERLINK("https://www.google.ru/search?q=00501-3658&amp;newwindow=1&amp;tbm=isch","Еще фото")</f>
        <v>Еще фото</v>
      </c>
      <c r="F755" s="14" t="s">
        <v>182</v>
      </c>
      <c r="G755" s="24" t="s">
        <v>237</v>
      </c>
      <c r="H755" s="24" t="s">
        <v>27</v>
      </c>
      <c r="I755" s="24" t="s">
        <v>237</v>
      </c>
      <c r="J755" s="15" t="s">
        <v>37</v>
      </c>
      <c r="K755" s="16" t="s">
        <v>57</v>
      </c>
      <c r="L755" s="61"/>
      <c r="M755" s="15"/>
      <c r="N755" s="15" t="s">
        <v>39</v>
      </c>
      <c r="O755" s="15"/>
      <c r="P755" s="16" t="s">
        <v>32</v>
      </c>
      <c r="Q755" s="17">
        <v>20299</v>
      </c>
      <c r="R755" s="18">
        <v>45</v>
      </c>
      <c r="S755" s="19">
        <v>12839.1175</v>
      </c>
      <c r="T755" s="20" t="s">
        <v>75</v>
      </c>
      <c r="U755" s="21" t="s">
        <v>166</v>
      </c>
      <c r="V755" s="25" t="s">
        <v>96</v>
      </c>
      <c r="W755" s="22">
        <v>7</v>
      </c>
      <c r="X755" s="23"/>
    </row>
    <row r="756" spans="1:24" s="1" customFormat="1" ht="26" customHeight="1" x14ac:dyDescent="0.3">
      <c r="A756" s="24" t="s">
        <v>23</v>
      </c>
      <c r="B756" s="24" t="s">
        <v>879</v>
      </c>
      <c r="C756" s="12" t="s">
        <v>882</v>
      </c>
      <c r="D756" s="59"/>
      <c r="E756" s="43" t="str">
        <f>HYPERLINK("https://www.google.ru/search?q=00501-3658&amp;newwindow=1&amp;tbm=isch","Еще фото")</f>
        <v>Еще фото</v>
      </c>
      <c r="F756" s="14" t="s">
        <v>182</v>
      </c>
      <c r="G756" s="24" t="s">
        <v>237</v>
      </c>
      <c r="H756" s="24" t="s">
        <v>27</v>
      </c>
      <c r="I756" s="24" t="s">
        <v>237</v>
      </c>
      <c r="J756" s="15" t="s">
        <v>37</v>
      </c>
      <c r="K756" s="16" t="s">
        <v>57</v>
      </c>
      <c r="L756" s="62"/>
      <c r="M756" s="15"/>
      <c r="N756" s="15" t="s">
        <v>39</v>
      </c>
      <c r="O756" s="15"/>
      <c r="P756" s="16" t="s">
        <v>32</v>
      </c>
      <c r="Q756" s="17">
        <v>20299</v>
      </c>
      <c r="R756" s="18">
        <v>45</v>
      </c>
      <c r="S756" s="19">
        <v>12839.1175</v>
      </c>
      <c r="T756" s="20" t="s">
        <v>75</v>
      </c>
      <c r="U756" s="21" t="s">
        <v>89</v>
      </c>
      <c r="V756" s="22">
        <v>50</v>
      </c>
      <c r="W756" s="22">
        <v>6</v>
      </c>
      <c r="X756" s="23"/>
    </row>
    <row r="757" spans="1:24" s="1" customFormat="1" ht="108" customHeight="1" x14ac:dyDescent="0.3">
      <c r="A757" s="11" t="s">
        <v>23</v>
      </c>
      <c r="B757" s="11" t="s">
        <v>883</v>
      </c>
      <c r="C757" s="12" t="s">
        <v>884</v>
      </c>
      <c r="D757" s="13"/>
      <c r="E757" s="43" t="str">
        <f>HYPERLINK("https://www.google.ru/search?q=00501-3659&amp;newwindow=1&amp;tbm=isch","Еще фото")</f>
        <v>Еще фото</v>
      </c>
      <c r="F757" s="14" t="s">
        <v>182</v>
      </c>
      <c r="G757" s="11" t="s">
        <v>237</v>
      </c>
      <c r="H757" s="11" t="s">
        <v>27</v>
      </c>
      <c r="I757" s="15" t="s">
        <v>237</v>
      </c>
      <c r="J757" s="15" t="s">
        <v>28</v>
      </c>
      <c r="K757" s="16" t="s">
        <v>57</v>
      </c>
      <c r="L757" s="15" t="s">
        <v>827</v>
      </c>
      <c r="M757" s="15"/>
      <c r="N757" s="15" t="s">
        <v>130</v>
      </c>
      <c r="O757" s="15"/>
      <c r="P757" s="16" t="s">
        <v>32</v>
      </c>
      <c r="Q757" s="17">
        <v>23099</v>
      </c>
      <c r="R757" s="18">
        <v>45</v>
      </c>
      <c r="S757" s="19">
        <v>14610.1175</v>
      </c>
      <c r="T757" s="20" t="s">
        <v>75</v>
      </c>
      <c r="U757" s="21" t="s">
        <v>165</v>
      </c>
      <c r="V757" s="22">
        <v>48</v>
      </c>
      <c r="W757" s="22">
        <v>11</v>
      </c>
      <c r="X757" s="23"/>
    </row>
    <row r="758" spans="1:24" s="1" customFormat="1" ht="11" customHeight="1" x14ac:dyDescent="0.3">
      <c r="A758" s="11" t="s">
        <v>23</v>
      </c>
      <c r="B758" s="11" t="s">
        <v>825</v>
      </c>
      <c r="C758" s="12" t="s">
        <v>885</v>
      </c>
      <c r="D758" s="57"/>
      <c r="E758" s="43" t="str">
        <f t="shared" ref="E758:E766" si="36">HYPERLINK("https://www.google.ru/search?q=00501-3662&amp;newwindow=1&amp;tbm=isch","Еще фото")</f>
        <v>Еще фото</v>
      </c>
      <c r="F758" s="34" t="s">
        <v>469</v>
      </c>
      <c r="G758" s="11" t="s">
        <v>237</v>
      </c>
      <c r="H758" s="11" t="s">
        <v>27</v>
      </c>
      <c r="I758" s="15" t="s">
        <v>237</v>
      </c>
      <c r="J758" s="15" t="s">
        <v>28</v>
      </c>
      <c r="K758" s="16" t="s">
        <v>57</v>
      </c>
      <c r="L758" s="60" t="s">
        <v>827</v>
      </c>
      <c r="M758" s="15"/>
      <c r="N758" s="15" t="s">
        <v>138</v>
      </c>
      <c r="O758" s="15"/>
      <c r="P758" s="16" t="s">
        <v>32</v>
      </c>
      <c r="Q758" s="17">
        <v>23199</v>
      </c>
      <c r="R758" s="18">
        <v>45</v>
      </c>
      <c r="S758" s="19">
        <v>14673.3675</v>
      </c>
      <c r="T758" s="20" t="s">
        <v>75</v>
      </c>
      <c r="U758" s="21" t="s">
        <v>53</v>
      </c>
      <c r="V758" s="22">
        <v>46</v>
      </c>
      <c r="W758" s="22">
        <v>18</v>
      </c>
      <c r="X758" s="23"/>
    </row>
    <row r="759" spans="1:24" s="1" customFormat="1" ht="11" customHeight="1" x14ac:dyDescent="0.3">
      <c r="A759" s="24" t="s">
        <v>23</v>
      </c>
      <c r="B759" s="24" t="s">
        <v>825</v>
      </c>
      <c r="C759" s="12" t="s">
        <v>885</v>
      </c>
      <c r="D759" s="58"/>
      <c r="E759" s="43" t="str">
        <f t="shared" si="36"/>
        <v>Еще фото</v>
      </c>
      <c r="F759" s="34" t="s">
        <v>469</v>
      </c>
      <c r="G759" s="24" t="s">
        <v>237</v>
      </c>
      <c r="H759" s="24" t="s">
        <v>27</v>
      </c>
      <c r="I759" s="24" t="s">
        <v>237</v>
      </c>
      <c r="J759" s="15" t="s">
        <v>28</v>
      </c>
      <c r="K759" s="16" t="s">
        <v>57</v>
      </c>
      <c r="L759" s="61"/>
      <c r="M759" s="15"/>
      <c r="N759" s="15" t="s">
        <v>138</v>
      </c>
      <c r="O759" s="15"/>
      <c r="P759" s="16" t="s">
        <v>32</v>
      </c>
      <c r="Q759" s="17">
        <v>23199</v>
      </c>
      <c r="R759" s="18">
        <v>45</v>
      </c>
      <c r="S759" s="19">
        <v>14673.3675</v>
      </c>
      <c r="T759" s="20" t="s">
        <v>75</v>
      </c>
      <c r="U759" s="21" t="s">
        <v>188</v>
      </c>
      <c r="V759" s="25" t="s">
        <v>65</v>
      </c>
      <c r="W759" s="22">
        <v>8</v>
      </c>
      <c r="X759" s="23"/>
    </row>
    <row r="760" spans="1:24" s="1" customFormat="1" ht="11" customHeight="1" x14ac:dyDescent="0.3">
      <c r="A760" s="24" t="s">
        <v>23</v>
      </c>
      <c r="B760" s="24" t="s">
        <v>825</v>
      </c>
      <c r="C760" s="12" t="s">
        <v>885</v>
      </c>
      <c r="D760" s="58"/>
      <c r="E760" s="43" t="str">
        <f t="shared" si="36"/>
        <v>Еще фото</v>
      </c>
      <c r="F760" s="34" t="s">
        <v>469</v>
      </c>
      <c r="G760" s="24" t="s">
        <v>237</v>
      </c>
      <c r="H760" s="24" t="s">
        <v>27</v>
      </c>
      <c r="I760" s="24" t="s">
        <v>237</v>
      </c>
      <c r="J760" s="15" t="s">
        <v>28</v>
      </c>
      <c r="K760" s="16" t="s">
        <v>57</v>
      </c>
      <c r="L760" s="61"/>
      <c r="M760" s="15"/>
      <c r="N760" s="15" t="s">
        <v>138</v>
      </c>
      <c r="O760" s="15"/>
      <c r="P760" s="16" t="s">
        <v>32</v>
      </c>
      <c r="Q760" s="17">
        <v>23199</v>
      </c>
      <c r="R760" s="18">
        <v>45</v>
      </c>
      <c r="S760" s="19">
        <v>14673.3675</v>
      </c>
      <c r="T760" s="20" t="s">
        <v>75</v>
      </c>
      <c r="U760" s="21" t="s">
        <v>109</v>
      </c>
      <c r="V760" s="25" t="s">
        <v>65</v>
      </c>
      <c r="W760" s="22">
        <v>22</v>
      </c>
      <c r="X760" s="23"/>
    </row>
    <row r="761" spans="1:24" s="1" customFormat="1" ht="11" customHeight="1" x14ac:dyDescent="0.3">
      <c r="A761" s="24" t="s">
        <v>23</v>
      </c>
      <c r="B761" s="24" t="s">
        <v>825</v>
      </c>
      <c r="C761" s="12" t="s">
        <v>885</v>
      </c>
      <c r="D761" s="58"/>
      <c r="E761" s="43" t="str">
        <f t="shared" si="36"/>
        <v>Еще фото</v>
      </c>
      <c r="F761" s="34" t="s">
        <v>469</v>
      </c>
      <c r="G761" s="24" t="s">
        <v>237</v>
      </c>
      <c r="H761" s="24" t="s">
        <v>27</v>
      </c>
      <c r="I761" s="24" t="s">
        <v>237</v>
      </c>
      <c r="J761" s="15" t="s">
        <v>28</v>
      </c>
      <c r="K761" s="16" t="s">
        <v>57</v>
      </c>
      <c r="L761" s="61"/>
      <c r="M761" s="15"/>
      <c r="N761" s="15" t="s">
        <v>138</v>
      </c>
      <c r="O761" s="15"/>
      <c r="P761" s="16" t="s">
        <v>32</v>
      </c>
      <c r="Q761" s="17">
        <v>23199</v>
      </c>
      <c r="R761" s="18">
        <v>45</v>
      </c>
      <c r="S761" s="19">
        <v>14673.3675</v>
      </c>
      <c r="T761" s="20" t="s">
        <v>75</v>
      </c>
      <c r="U761" s="21" t="s">
        <v>95</v>
      </c>
      <c r="V761" s="22">
        <v>48</v>
      </c>
      <c r="W761" s="22">
        <v>8</v>
      </c>
      <c r="X761" s="23"/>
    </row>
    <row r="762" spans="1:24" s="1" customFormat="1" ht="11" customHeight="1" x14ac:dyDescent="0.3">
      <c r="A762" s="24" t="s">
        <v>23</v>
      </c>
      <c r="B762" s="24" t="s">
        <v>825</v>
      </c>
      <c r="C762" s="12" t="s">
        <v>885</v>
      </c>
      <c r="D762" s="58"/>
      <c r="E762" s="43" t="str">
        <f t="shared" si="36"/>
        <v>Еще фото</v>
      </c>
      <c r="F762" s="34" t="s">
        <v>469</v>
      </c>
      <c r="G762" s="24" t="s">
        <v>237</v>
      </c>
      <c r="H762" s="24" t="s">
        <v>27</v>
      </c>
      <c r="I762" s="24" t="s">
        <v>237</v>
      </c>
      <c r="J762" s="15" t="s">
        <v>28</v>
      </c>
      <c r="K762" s="16" t="s">
        <v>57</v>
      </c>
      <c r="L762" s="61"/>
      <c r="M762" s="15"/>
      <c r="N762" s="15" t="s">
        <v>138</v>
      </c>
      <c r="O762" s="15"/>
      <c r="P762" s="16" t="s">
        <v>32</v>
      </c>
      <c r="Q762" s="17">
        <v>23199</v>
      </c>
      <c r="R762" s="18">
        <v>45</v>
      </c>
      <c r="S762" s="19">
        <v>14673.3675</v>
      </c>
      <c r="T762" s="20" t="s">
        <v>75</v>
      </c>
      <c r="U762" s="21" t="s">
        <v>104</v>
      </c>
      <c r="V762" s="22">
        <v>48</v>
      </c>
      <c r="W762" s="22">
        <v>26</v>
      </c>
      <c r="X762" s="23"/>
    </row>
    <row r="763" spans="1:24" s="1" customFormat="1" ht="11" customHeight="1" x14ac:dyDescent="0.3">
      <c r="A763" s="24" t="s">
        <v>23</v>
      </c>
      <c r="B763" s="24" t="s">
        <v>825</v>
      </c>
      <c r="C763" s="12" t="s">
        <v>885</v>
      </c>
      <c r="D763" s="58"/>
      <c r="E763" s="43" t="str">
        <f t="shared" si="36"/>
        <v>Еще фото</v>
      </c>
      <c r="F763" s="34" t="s">
        <v>469</v>
      </c>
      <c r="G763" s="24" t="s">
        <v>237</v>
      </c>
      <c r="H763" s="24" t="s">
        <v>27</v>
      </c>
      <c r="I763" s="24" t="s">
        <v>237</v>
      </c>
      <c r="J763" s="15" t="s">
        <v>28</v>
      </c>
      <c r="K763" s="16" t="s">
        <v>57</v>
      </c>
      <c r="L763" s="61"/>
      <c r="M763" s="15"/>
      <c r="N763" s="15" t="s">
        <v>138</v>
      </c>
      <c r="O763" s="15"/>
      <c r="P763" s="16" t="s">
        <v>32</v>
      </c>
      <c r="Q763" s="17">
        <v>23199</v>
      </c>
      <c r="R763" s="18">
        <v>45</v>
      </c>
      <c r="S763" s="19">
        <v>14673.3675</v>
      </c>
      <c r="T763" s="20" t="s">
        <v>75</v>
      </c>
      <c r="U763" s="21" t="s">
        <v>359</v>
      </c>
      <c r="V763" s="25" t="s">
        <v>96</v>
      </c>
      <c r="W763" s="22">
        <v>30</v>
      </c>
      <c r="X763" s="23"/>
    </row>
    <row r="764" spans="1:24" s="1" customFormat="1" ht="11" customHeight="1" x14ac:dyDescent="0.3">
      <c r="A764" s="24" t="s">
        <v>23</v>
      </c>
      <c r="B764" s="24" t="s">
        <v>825</v>
      </c>
      <c r="C764" s="12" t="s">
        <v>885</v>
      </c>
      <c r="D764" s="58"/>
      <c r="E764" s="43" t="str">
        <f t="shared" si="36"/>
        <v>Еще фото</v>
      </c>
      <c r="F764" s="34" t="s">
        <v>469</v>
      </c>
      <c r="G764" s="24" t="s">
        <v>237</v>
      </c>
      <c r="H764" s="24" t="s">
        <v>27</v>
      </c>
      <c r="I764" s="24" t="s">
        <v>237</v>
      </c>
      <c r="J764" s="15" t="s">
        <v>28</v>
      </c>
      <c r="K764" s="16" t="s">
        <v>57</v>
      </c>
      <c r="L764" s="61"/>
      <c r="M764" s="15"/>
      <c r="N764" s="15" t="s">
        <v>138</v>
      </c>
      <c r="O764" s="15"/>
      <c r="P764" s="16" t="s">
        <v>32</v>
      </c>
      <c r="Q764" s="17">
        <v>23199</v>
      </c>
      <c r="R764" s="18">
        <v>45</v>
      </c>
      <c r="S764" s="19">
        <v>14673.3675</v>
      </c>
      <c r="T764" s="20" t="s">
        <v>75</v>
      </c>
      <c r="U764" s="21" t="s">
        <v>203</v>
      </c>
      <c r="V764" s="22">
        <v>50</v>
      </c>
      <c r="W764" s="22">
        <v>8</v>
      </c>
      <c r="X764" s="23"/>
    </row>
    <row r="765" spans="1:24" s="1" customFormat="1" ht="11" customHeight="1" x14ac:dyDescent="0.3">
      <c r="A765" s="24" t="s">
        <v>23</v>
      </c>
      <c r="B765" s="24" t="s">
        <v>825</v>
      </c>
      <c r="C765" s="12" t="s">
        <v>885</v>
      </c>
      <c r="D765" s="58"/>
      <c r="E765" s="43" t="str">
        <f t="shared" si="36"/>
        <v>Еще фото</v>
      </c>
      <c r="F765" s="34" t="s">
        <v>469</v>
      </c>
      <c r="G765" s="24" t="s">
        <v>237</v>
      </c>
      <c r="H765" s="24" t="s">
        <v>27</v>
      </c>
      <c r="I765" s="24" t="s">
        <v>237</v>
      </c>
      <c r="J765" s="15" t="s">
        <v>28</v>
      </c>
      <c r="K765" s="16" t="s">
        <v>57</v>
      </c>
      <c r="L765" s="61"/>
      <c r="M765" s="15"/>
      <c r="N765" s="15" t="s">
        <v>138</v>
      </c>
      <c r="O765" s="15"/>
      <c r="P765" s="16" t="s">
        <v>32</v>
      </c>
      <c r="Q765" s="17">
        <v>23199</v>
      </c>
      <c r="R765" s="18">
        <v>45</v>
      </c>
      <c r="S765" s="19">
        <v>14673.3675</v>
      </c>
      <c r="T765" s="20" t="s">
        <v>75</v>
      </c>
      <c r="U765" s="21" t="s">
        <v>865</v>
      </c>
      <c r="V765" s="22">
        <v>52</v>
      </c>
      <c r="W765" s="22">
        <v>30</v>
      </c>
      <c r="X765" s="23"/>
    </row>
    <row r="766" spans="1:24" s="1" customFormat="1" ht="11" customHeight="1" x14ac:dyDescent="0.3">
      <c r="A766" s="24" t="s">
        <v>23</v>
      </c>
      <c r="B766" s="24" t="s">
        <v>825</v>
      </c>
      <c r="C766" s="12" t="s">
        <v>885</v>
      </c>
      <c r="D766" s="59"/>
      <c r="E766" s="43" t="str">
        <f t="shared" si="36"/>
        <v>Еще фото</v>
      </c>
      <c r="F766" s="34" t="s">
        <v>469</v>
      </c>
      <c r="G766" s="24" t="s">
        <v>237</v>
      </c>
      <c r="H766" s="24" t="s">
        <v>27</v>
      </c>
      <c r="I766" s="24" t="s">
        <v>237</v>
      </c>
      <c r="J766" s="15" t="s">
        <v>28</v>
      </c>
      <c r="K766" s="16" t="s">
        <v>57</v>
      </c>
      <c r="L766" s="62"/>
      <c r="M766" s="15"/>
      <c r="N766" s="15" t="s">
        <v>138</v>
      </c>
      <c r="O766" s="15"/>
      <c r="P766" s="16" t="s">
        <v>32</v>
      </c>
      <c r="Q766" s="17">
        <v>23199</v>
      </c>
      <c r="R766" s="18">
        <v>45</v>
      </c>
      <c r="S766" s="19">
        <v>14673.3675</v>
      </c>
      <c r="T766" s="20" t="s">
        <v>75</v>
      </c>
      <c r="U766" s="21" t="s">
        <v>167</v>
      </c>
      <c r="V766" s="22">
        <v>52</v>
      </c>
      <c r="W766" s="22">
        <v>5</v>
      </c>
      <c r="X766" s="23"/>
    </row>
    <row r="767" spans="1:24" s="1" customFormat="1" ht="35" customHeight="1" x14ac:dyDescent="0.3">
      <c r="A767" s="11" t="s">
        <v>23</v>
      </c>
      <c r="B767" s="11" t="s">
        <v>825</v>
      </c>
      <c r="C767" s="12" t="s">
        <v>886</v>
      </c>
      <c r="D767" s="57"/>
      <c r="E767" s="43" t="str">
        <f>HYPERLINK("https://www.google.ru/search?q=00501-3667&amp;newwindow=1&amp;tbm=isch","Еще фото")</f>
        <v>Еще фото</v>
      </c>
      <c r="F767" s="14" t="s">
        <v>854</v>
      </c>
      <c r="G767" s="11" t="s">
        <v>237</v>
      </c>
      <c r="H767" s="11" t="s">
        <v>27</v>
      </c>
      <c r="I767" s="15" t="s">
        <v>237</v>
      </c>
      <c r="J767" s="15" t="s">
        <v>37</v>
      </c>
      <c r="K767" s="16" t="s">
        <v>57</v>
      </c>
      <c r="L767" s="60" t="s">
        <v>827</v>
      </c>
      <c r="M767" s="15"/>
      <c r="N767" s="15" t="s">
        <v>130</v>
      </c>
      <c r="O767" s="15"/>
      <c r="P767" s="16" t="s">
        <v>172</v>
      </c>
      <c r="Q767" s="17">
        <v>17999</v>
      </c>
      <c r="R767" s="18">
        <v>45</v>
      </c>
      <c r="S767" s="19">
        <v>11384.3675</v>
      </c>
      <c r="T767" s="20" t="s">
        <v>75</v>
      </c>
      <c r="U767" s="21" t="s">
        <v>173</v>
      </c>
      <c r="V767" s="25" t="s">
        <v>63</v>
      </c>
      <c r="W767" s="22">
        <v>2</v>
      </c>
      <c r="X767" s="23"/>
    </row>
    <row r="768" spans="1:24" s="1" customFormat="1" ht="35" customHeight="1" x14ac:dyDescent="0.3">
      <c r="A768" s="24" t="s">
        <v>23</v>
      </c>
      <c r="B768" s="24" t="s">
        <v>825</v>
      </c>
      <c r="C768" s="12" t="s">
        <v>886</v>
      </c>
      <c r="D768" s="58"/>
      <c r="E768" s="43" t="str">
        <f>HYPERLINK("https://www.google.ru/search?q=00501-3667&amp;newwindow=1&amp;tbm=isch","Еще фото")</f>
        <v>Еще фото</v>
      </c>
      <c r="F768" s="14" t="s">
        <v>854</v>
      </c>
      <c r="G768" s="24" t="s">
        <v>237</v>
      </c>
      <c r="H768" s="24" t="s">
        <v>27</v>
      </c>
      <c r="I768" s="24" t="s">
        <v>237</v>
      </c>
      <c r="J768" s="15" t="s">
        <v>37</v>
      </c>
      <c r="K768" s="16" t="s">
        <v>57</v>
      </c>
      <c r="L768" s="61"/>
      <c r="M768" s="15"/>
      <c r="N768" s="15" t="s">
        <v>130</v>
      </c>
      <c r="O768" s="15"/>
      <c r="P768" s="16" t="s">
        <v>172</v>
      </c>
      <c r="Q768" s="17">
        <v>17999</v>
      </c>
      <c r="R768" s="18">
        <v>45</v>
      </c>
      <c r="S768" s="19">
        <v>11384.3675</v>
      </c>
      <c r="T768" s="20" t="s">
        <v>75</v>
      </c>
      <c r="U768" s="21" t="s">
        <v>53</v>
      </c>
      <c r="V768" s="22">
        <v>46</v>
      </c>
      <c r="W768" s="22">
        <v>2</v>
      </c>
      <c r="X768" s="23"/>
    </row>
    <row r="769" spans="1:24" s="1" customFormat="1" ht="37.049999999999997" customHeight="1" x14ac:dyDescent="0.3">
      <c r="A769" s="24" t="s">
        <v>23</v>
      </c>
      <c r="B769" s="24" t="s">
        <v>825</v>
      </c>
      <c r="C769" s="12" t="s">
        <v>886</v>
      </c>
      <c r="D769" s="59"/>
      <c r="E769" s="43" t="str">
        <f>HYPERLINK("https://www.google.ru/search?q=00501-3667&amp;newwindow=1&amp;tbm=isch","Еще фото")</f>
        <v>Еще фото</v>
      </c>
      <c r="F769" s="14" t="s">
        <v>854</v>
      </c>
      <c r="G769" s="24" t="s">
        <v>237</v>
      </c>
      <c r="H769" s="24" t="s">
        <v>27</v>
      </c>
      <c r="I769" s="24" t="s">
        <v>237</v>
      </c>
      <c r="J769" s="15" t="s">
        <v>37</v>
      </c>
      <c r="K769" s="16" t="s">
        <v>57</v>
      </c>
      <c r="L769" s="62"/>
      <c r="M769" s="15"/>
      <c r="N769" s="15" t="s">
        <v>130</v>
      </c>
      <c r="O769" s="15"/>
      <c r="P769" s="16" t="s">
        <v>172</v>
      </c>
      <c r="Q769" s="17">
        <v>17999</v>
      </c>
      <c r="R769" s="18">
        <v>45</v>
      </c>
      <c r="S769" s="19">
        <v>11384.3675</v>
      </c>
      <c r="T769" s="20" t="s">
        <v>75</v>
      </c>
      <c r="U769" s="21" t="s">
        <v>109</v>
      </c>
      <c r="V769" s="25" t="s">
        <v>65</v>
      </c>
      <c r="W769" s="22">
        <v>2</v>
      </c>
      <c r="X769" s="23"/>
    </row>
    <row r="770" spans="1:24" s="1" customFormat="1" ht="35" customHeight="1" x14ac:dyDescent="0.3">
      <c r="A770" s="11" t="s">
        <v>23</v>
      </c>
      <c r="B770" s="11" t="s">
        <v>879</v>
      </c>
      <c r="C770" s="12" t="s">
        <v>887</v>
      </c>
      <c r="D770" s="57"/>
      <c r="E770" s="43" t="str">
        <f>HYPERLINK("https://www.google.ru/search?q=00501-3683&amp;newwindow=1&amp;tbm=isch","Еще фото")</f>
        <v>Еще фото</v>
      </c>
      <c r="F770" s="14" t="s">
        <v>182</v>
      </c>
      <c r="G770" s="11" t="s">
        <v>237</v>
      </c>
      <c r="H770" s="11" t="s">
        <v>27</v>
      </c>
      <c r="I770" s="15" t="s">
        <v>237</v>
      </c>
      <c r="J770" s="15" t="s">
        <v>37</v>
      </c>
      <c r="K770" s="16" t="s">
        <v>57</v>
      </c>
      <c r="L770" s="60" t="s">
        <v>855</v>
      </c>
      <c r="M770" s="15"/>
      <c r="N770" s="15" t="s">
        <v>130</v>
      </c>
      <c r="O770" s="15"/>
      <c r="P770" s="16" t="s">
        <v>32</v>
      </c>
      <c r="Q770" s="17">
        <v>23199</v>
      </c>
      <c r="R770" s="18">
        <v>45</v>
      </c>
      <c r="S770" s="19">
        <v>14673.3675</v>
      </c>
      <c r="T770" s="20" t="s">
        <v>75</v>
      </c>
      <c r="U770" s="21" t="s">
        <v>53</v>
      </c>
      <c r="V770" s="22">
        <v>46</v>
      </c>
      <c r="W770" s="22">
        <v>2</v>
      </c>
      <c r="X770" s="23"/>
    </row>
    <row r="771" spans="1:24" s="1" customFormat="1" ht="35" customHeight="1" x14ac:dyDescent="0.3">
      <c r="A771" s="24" t="s">
        <v>23</v>
      </c>
      <c r="B771" s="24" t="s">
        <v>879</v>
      </c>
      <c r="C771" s="12" t="s">
        <v>887</v>
      </c>
      <c r="D771" s="58"/>
      <c r="E771" s="43" t="str">
        <f>HYPERLINK("https://www.google.ru/search?q=00501-3683&amp;newwindow=1&amp;tbm=isch","Еще фото")</f>
        <v>Еще фото</v>
      </c>
      <c r="F771" s="14" t="s">
        <v>182</v>
      </c>
      <c r="G771" s="24" t="s">
        <v>237</v>
      </c>
      <c r="H771" s="24" t="s">
        <v>27</v>
      </c>
      <c r="I771" s="24" t="s">
        <v>237</v>
      </c>
      <c r="J771" s="15" t="s">
        <v>37</v>
      </c>
      <c r="K771" s="16" t="s">
        <v>57</v>
      </c>
      <c r="L771" s="61"/>
      <c r="M771" s="15"/>
      <c r="N771" s="15" t="s">
        <v>130</v>
      </c>
      <c r="O771" s="15"/>
      <c r="P771" s="16" t="s">
        <v>32</v>
      </c>
      <c r="Q771" s="17">
        <v>23199</v>
      </c>
      <c r="R771" s="18">
        <v>45</v>
      </c>
      <c r="S771" s="19">
        <v>14673.3675</v>
      </c>
      <c r="T771" s="20" t="s">
        <v>75</v>
      </c>
      <c r="U771" s="21" t="s">
        <v>95</v>
      </c>
      <c r="V771" s="22">
        <v>48</v>
      </c>
      <c r="W771" s="22">
        <v>6</v>
      </c>
      <c r="X771" s="23"/>
    </row>
    <row r="772" spans="1:24" s="1" customFormat="1" ht="37.049999999999997" customHeight="1" x14ac:dyDescent="0.3">
      <c r="A772" s="24" t="s">
        <v>23</v>
      </c>
      <c r="B772" s="24" t="s">
        <v>879</v>
      </c>
      <c r="C772" s="12" t="s">
        <v>887</v>
      </c>
      <c r="D772" s="59"/>
      <c r="E772" s="43" t="str">
        <f>HYPERLINK("https://www.google.ru/search?q=00501-3683&amp;newwindow=1&amp;tbm=isch","Еще фото")</f>
        <v>Еще фото</v>
      </c>
      <c r="F772" s="14" t="s">
        <v>182</v>
      </c>
      <c r="G772" s="24" t="s">
        <v>237</v>
      </c>
      <c r="H772" s="24" t="s">
        <v>27</v>
      </c>
      <c r="I772" s="24" t="s">
        <v>237</v>
      </c>
      <c r="J772" s="15" t="s">
        <v>37</v>
      </c>
      <c r="K772" s="16" t="s">
        <v>57</v>
      </c>
      <c r="L772" s="62"/>
      <c r="M772" s="15"/>
      <c r="N772" s="15" t="s">
        <v>130</v>
      </c>
      <c r="O772" s="15"/>
      <c r="P772" s="16" t="s">
        <v>32</v>
      </c>
      <c r="Q772" s="17">
        <v>23199</v>
      </c>
      <c r="R772" s="18">
        <v>45</v>
      </c>
      <c r="S772" s="19">
        <v>14673.3675</v>
      </c>
      <c r="T772" s="20" t="s">
        <v>75</v>
      </c>
      <c r="U772" s="21" t="s">
        <v>89</v>
      </c>
      <c r="V772" s="22">
        <v>50</v>
      </c>
      <c r="W772" s="22">
        <v>4</v>
      </c>
      <c r="X772" s="23"/>
    </row>
    <row r="773" spans="1:24" s="1" customFormat="1" ht="14" customHeight="1" x14ac:dyDescent="0.3">
      <c r="A773" s="11" t="s">
        <v>23</v>
      </c>
      <c r="B773" s="11" t="s">
        <v>868</v>
      </c>
      <c r="C773" s="12" t="s">
        <v>888</v>
      </c>
      <c r="D773" s="57"/>
      <c r="E773" s="43" t="str">
        <f t="shared" ref="E773:E779" si="37">HYPERLINK("https://www.google.ru/search?q=00501-3708&amp;newwindow=1&amp;tbm=isch","Еще фото")</f>
        <v>Еще фото</v>
      </c>
      <c r="F773" s="14" t="s">
        <v>854</v>
      </c>
      <c r="G773" s="11" t="s">
        <v>237</v>
      </c>
      <c r="H773" s="11" t="s">
        <v>27</v>
      </c>
      <c r="I773" s="15" t="s">
        <v>237</v>
      </c>
      <c r="J773" s="15" t="s">
        <v>37</v>
      </c>
      <c r="K773" s="16" t="s">
        <v>57</v>
      </c>
      <c r="L773" s="60" t="s">
        <v>889</v>
      </c>
      <c r="M773" s="15"/>
      <c r="N773" s="15" t="s">
        <v>130</v>
      </c>
      <c r="O773" s="15"/>
      <c r="P773" s="16" t="s">
        <v>172</v>
      </c>
      <c r="Q773" s="17">
        <v>15799</v>
      </c>
      <c r="R773" s="18">
        <v>45</v>
      </c>
      <c r="S773" s="19">
        <v>9992.8675000000003</v>
      </c>
      <c r="T773" s="20" t="s">
        <v>75</v>
      </c>
      <c r="U773" s="21" t="s">
        <v>51</v>
      </c>
      <c r="V773" s="22">
        <v>44</v>
      </c>
      <c r="W773" s="22">
        <v>1</v>
      </c>
      <c r="X773" s="23"/>
    </row>
    <row r="774" spans="1:24" s="1" customFormat="1" ht="14" customHeight="1" x14ac:dyDescent="0.3">
      <c r="A774" s="24" t="s">
        <v>23</v>
      </c>
      <c r="B774" s="24" t="s">
        <v>868</v>
      </c>
      <c r="C774" s="12" t="s">
        <v>888</v>
      </c>
      <c r="D774" s="58"/>
      <c r="E774" s="43" t="str">
        <f t="shared" si="37"/>
        <v>Еще фото</v>
      </c>
      <c r="F774" s="14" t="s">
        <v>854</v>
      </c>
      <c r="G774" s="24" t="s">
        <v>237</v>
      </c>
      <c r="H774" s="24" t="s">
        <v>27</v>
      </c>
      <c r="I774" s="24" t="s">
        <v>237</v>
      </c>
      <c r="J774" s="15" t="s">
        <v>37</v>
      </c>
      <c r="K774" s="16" t="s">
        <v>57</v>
      </c>
      <c r="L774" s="61"/>
      <c r="M774" s="15"/>
      <c r="N774" s="15" t="s">
        <v>130</v>
      </c>
      <c r="O774" s="15"/>
      <c r="P774" s="16" t="s">
        <v>172</v>
      </c>
      <c r="Q774" s="17">
        <v>15799</v>
      </c>
      <c r="R774" s="18">
        <v>45</v>
      </c>
      <c r="S774" s="19">
        <v>9992.8675000000003</v>
      </c>
      <c r="T774" s="20" t="s">
        <v>75</v>
      </c>
      <c r="U774" s="21" t="s">
        <v>173</v>
      </c>
      <c r="V774" s="25" t="s">
        <v>63</v>
      </c>
      <c r="W774" s="22">
        <v>1</v>
      </c>
      <c r="X774" s="23"/>
    </row>
    <row r="775" spans="1:24" s="1" customFormat="1" ht="14" customHeight="1" x14ac:dyDescent="0.3">
      <c r="A775" s="24" t="s">
        <v>23</v>
      </c>
      <c r="B775" s="24" t="s">
        <v>868</v>
      </c>
      <c r="C775" s="12" t="s">
        <v>888</v>
      </c>
      <c r="D775" s="58"/>
      <c r="E775" s="43" t="str">
        <f t="shared" si="37"/>
        <v>Еще фото</v>
      </c>
      <c r="F775" s="14" t="s">
        <v>854</v>
      </c>
      <c r="G775" s="24" t="s">
        <v>237</v>
      </c>
      <c r="H775" s="24" t="s">
        <v>27</v>
      </c>
      <c r="I775" s="24" t="s">
        <v>237</v>
      </c>
      <c r="J775" s="15" t="s">
        <v>37</v>
      </c>
      <c r="K775" s="16" t="s">
        <v>57</v>
      </c>
      <c r="L775" s="61"/>
      <c r="M775" s="15"/>
      <c r="N775" s="15" t="s">
        <v>130</v>
      </c>
      <c r="O775" s="15"/>
      <c r="P775" s="16" t="s">
        <v>172</v>
      </c>
      <c r="Q775" s="17">
        <v>15799</v>
      </c>
      <c r="R775" s="18">
        <v>45</v>
      </c>
      <c r="S775" s="19">
        <v>9992.8675000000003</v>
      </c>
      <c r="T775" s="20" t="s">
        <v>75</v>
      </c>
      <c r="U775" s="21" t="s">
        <v>53</v>
      </c>
      <c r="V775" s="22">
        <v>46</v>
      </c>
      <c r="W775" s="22">
        <v>3</v>
      </c>
      <c r="X775" s="23"/>
    </row>
    <row r="776" spans="1:24" s="1" customFormat="1" ht="14" customHeight="1" x14ac:dyDescent="0.3">
      <c r="A776" s="24" t="s">
        <v>23</v>
      </c>
      <c r="B776" s="24" t="s">
        <v>868</v>
      </c>
      <c r="C776" s="12" t="s">
        <v>888</v>
      </c>
      <c r="D776" s="58"/>
      <c r="E776" s="43" t="str">
        <f t="shared" si="37"/>
        <v>Еще фото</v>
      </c>
      <c r="F776" s="14" t="s">
        <v>854</v>
      </c>
      <c r="G776" s="24" t="s">
        <v>237</v>
      </c>
      <c r="H776" s="24" t="s">
        <v>27</v>
      </c>
      <c r="I776" s="24" t="s">
        <v>237</v>
      </c>
      <c r="J776" s="15" t="s">
        <v>37</v>
      </c>
      <c r="K776" s="16" t="s">
        <v>57</v>
      </c>
      <c r="L776" s="61"/>
      <c r="M776" s="15"/>
      <c r="N776" s="15" t="s">
        <v>130</v>
      </c>
      <c r="O776" s="15"/>
      <c r="P776" s="16" t="s">
        <v>172</v>
      </c>
      <c r="Q776" s="17">
        <v>15799</v>
      </c>
      <c r="R776" s="18">
        <v>45</v>
      </c>
      <c r="S776" s="19">
        <v>9992.8675000000003</v>
      </c>
      <c r="T776" s="20" t="s">
        <v>75</v>
      </c>
      <c r="U776" s="21" t="s">
        <v>109</v>
      </c>
      <c r="V776" s="25" t="s">
        <v>65</v>
      </c>
      <c r="W776" s="22">
        <v>1</v>
      </c>
      <c r="X776" s="23"/>
    </row>
    <row r="777" spans="1:24" s="1" customFormat="1" ht="14" customHeight="1" x14ac:dyDescent="0.3">
      <c r="A777" s="24" t="s">
        <v>23</v>
      </c>
      <c r="B777" s="24" t="s">
        <v>868</v>
      </c>
      <c r="C777" s="12" t="s">
        <v>888</v>
      </c>
      <c r="D777" s="58"/>
      <c r="E777" s="43" t="str">
        <f t="shared" si="37"/>
        <v>Еще фото</v>
      </c>
      <c r="F777" s="14" t="s">
        <v>854</v>
      </c>
      <c r="G777" s="24" t="s">
        <v>237</v>
      </c>
      <c r="H777" s="24" t="s">
        <v>27</v>
      </c>
      <c r="I777" s="24" t="s">
        <v>237</v>
      </c>
      <c r="J777" s="15" t="s">
        <v>37</v>
      </c>
      <c r="K777" s="16" t="s">
        <v>57</v>
      </c>
      <c r="L777" s="61"/>
      <c r="M777" s="15"/>
      <c r="N777" s="15" t="s">
        <v>130</v>
      </c>
      <c r="O777" s="15"/>
      <c r="P777" s="16" t="s">
        <v>172</v>
      </c>
      <c r="Q777" s="17">
        <v>15799</v>
      </c>
      <c r="R777" s="18">
        <v>45</v>
      </c>
      <c r="S777" s="19">
        <v>9992.8675000000003</v>
      </c>
      <c r="T777" s="20" t="s">
        <v>75</v>
      </c>
      <c r="U777" s="21" t="s">
        <v>140</v>
      </c>
      <c r="V777" s="25" t="s">
        <v>65</v>
      </c>
      <c r="W777" s="22">
        <v>1</v>
      </c>
      <c r="X777" s="23"/>
    </row>
    <row r="778" spans="1:24" s="1" customFormat="1" ht="14" customHeight="1" x14ac:dyDescent="0.3">
      <c r="A778" s="24" t="s">
        <v>23</v>
      </c>
      <c r="B778" s="24" t="s">
        <v>868</v>
      </c>
      <c r="C778" s="12" t="s">
        <v>888</v>
      </c>
      <c r="D778" s="58"/>
      <c r="E778" s="43" t="str">
        <f t="shared" si="37"/>
        <v>Еще фото</v>
      </c>
      <c r="F778" s="14" t="s">
        <v>854</v>
      </c>
      <c r="G778" s="24" t="s">
        <v>237</v>
      </c>
      <c r="H778" s="24" t="s">
        <v>27</v>
      </c>
      <c r="I778" s="24" t="s">
        <v>237</v>
      </c>
      <c r="J778" s="15" t="s">
        <v>37</v>
      </c>
      <c r="K778" s="16" t="s">
        <v>57</v>
      </c>
      <c r="L778" s="61"/>
      <c r="M778" s="15"/>
      <c r="N778" s="15" t="s">
        <v>130</v>
      </c>
      <c r="O778" s="15"/>
      <c r="P778" s="16" t="s">
        <v>172</v>
      </c>
      <c r="Q778" s="17">
        <v>15799</v>
      </c>
      <c r="R778" s="18">
        <v>45</v>
      </c>
      <c r="S778" s="19">
        <v>9992.8675000000003</v>
      </c>
      <c r="T778" s="20" t="s">
        <v>75</v>
      </c>
      <c r="U778" s="21" t="s">
        <v>165</v>
      </c>
      <c r="V778" s="22">
        <v>48</v>
      </c>
      <c r="W778" s="22">
        <v>4</v>
      </c>
      <c r="X778" s="23"/>
    </row>
    <row r="779" spans="1:24" s="1" customFormat="1" ht="17" customHeight="1" x14ac:dyDescent="0.3">
      <c r="A779" s="24" t="s">
        <v>23</v>
      </c>
      <c r="B779" s="24" t="s">
        <v>868</v>
      </c>
      <c r="C779" s="12" t="s">
        <v>888</v>
      </c>
      <c r="D779" s="59"/>
      <c r="E779" s="43" t="str">
        <f t="shared" si="37"/>
        <v>Еще фото</v>
      </c>
      <c r="F779" s="14" t="s">
        <v>854</v>
      </c>
      <c r="G779" s="24" t="s">
        <v>237</v>
      </c>
      <c r="H779" s="24" t="s">
        <v>27</v>
      </c>
      <c r="I779" s="24" t="s">
        <v>237</v>
      </c>
      <c r="J779" s="15" t="s">
        <v>37</v>
      </c>
      <c r="K779" s="16" t="s">
        <v>57</v>
      </c>
      <c r="L779" s="62"/>
      <c r="M779" s="15"/>
      <c r="N779" s="15" t="s">
        <v>130</v>
      </c>
      <c r="O779" s="15"/>
      <c r="P779" s="16" t="s">
        <v>172</v>
      </c>
      <c r="Q779" s="17">
        <v>15799</v>
      </c>
      <c r="R779" s="18">
        <v>45</v>
      </c>
      <c r="S779" s="19">
        <v>9992.8675000000003</v>
      </c>
      <c r="T779" s="20" t="s">
        <v>75</v>
      </c>
      <c r="U779" s="21" t="s">
        <v>104</v>
      </c>
      <c r="V779" s="22">
        <v>48</v>
      </c>
      <c r="W779" s="22">
        <v>2</v>
      </c>
      <c r="X779" s="23"/>
    </row>
    <row r="780" spans="1:24" s="1" customFormat="1" ht="26" customHeight="1" x14ac:dyDescent="0.3">
      <c r="A780" s="11" t="s">
        <v>23</v>
      </c>
      <c r="B780" s="11" t="s">
        <v>883</v>
      </c>
      <c r="C780" s="12" t="s">
        <v>890</v>
      </c>
      <c r="D780" s="57"/>
      <c r="E780" s="43" t="str">
        <f>HYPERLINK("https://www.google.ru/search?q=00501-3719&amp;newwindow=1&amp;tbm=isch","Еще фото")</f>
        <v>Еще фото</v>
      </c>
      <c r="F780" s="14" t="s">
        <v>854</v>
      </c>
      <c r="G780" s="11" t="s">
        <v>237</v>
      </c>
      <c r="H780" s="11" t="s">
        <v>27</v>
      </c>
      <c r="I780" s="15" t="s">
        <v>237</v>
      </c>
      <c r="J780" s="15" t="s">
        <v>28</v>
      </c>
      <c r="K780" s="16" t="s">
        <v>57</v>
      </c>
      <c r="L780" s="60" t="s">
        <v>827</v>
      </c>
      <c r="M780" s="15"/>
      <c r="N780" s="15" t="s">
        <v>130</v>
      </c>
      <c r="O780" s="15"/>
      <c r="P780" s="16" t="s">
        <v>891</v>
      </c>
      <c r="Q780" s="17">
        <v>16999</v>
      </c>
      <c r="R780" s="18">
        <v>45</v>
      </c>
      <c r="S780" s="19">
        <v>10751.8675</v>
      </c>
      <c r="T780" s="20" t="s">
        <v>75</v>
      </c>
      <c r="U780" s="21" t="s">
        <v>165</v>
      </c>
      <c r="V780" s="22">
        <v>48</v>
      </c>
      <c r="W780" s="22">
        <v>5</v>
      </c>
      <c r="X780" s="23"/>
    </row>
    <row r="781" spans="1:24" s="1" customFormat="1" ht="26" customHeight="1" x14ac:dyDescent="0.3">
      <c r="A781" s="24" t="s">
        <v>23</v>
      </c>
      <c r="B781" s="24" t="s">
        <v>883</v>
      </c>
      <c r="C781" s="12" t="s">
        <v>890</v>
      </c>
      <c r="D781" s="58"/>
      <c r="E781" s="43" t="str">
        <f>HYPERLINK("https://www.google.ru/search?q=00501-3719&amp;newwindow=1&amp;tbm=isch","Еще фото")</f>
        <v>Еще фото</v>
      </c>
      <c r="F781" s="14" t="s">
        <v>854</v>
      </c>
      <c r="G781" s="24" t="s">
        <v>237</v>
      </c>
      <c r="H781" s="24" t="s">
        <v>27</v>
      </c>
      <c r="I781" s="24" t="s">
        <v>237</v>
      </c>
      <c r="J781" s="15" t="s">
        <v>28</v>
      </c>
      <c r="K781" s="16" t="s">
        <v>57</v>
      </c>
      <c r="L781" s="61"/>
      <c r="M781" s="15"/>
      <c r="N781" s="15" t="s">
        <v>130</v>
      </c>
      <c r="O781" s="15"/>
      <c r="P781" s="16" t="s">
        <v>891</v>
      </c>
      <c r="Q781" s="17">
        <v>16999</v>
      </c>
      <c r="R781" s="18">
        <v>45</v>
      </c>
      <c r="S781" s="19">
        <v>10751.8675</v>
      </c>
      <c r="T781" s="20" t="s">
        <v>75</v>
      </c>
      <c r="U781" s="21" t="s">
        <v>359</v>
      </c>
      <c r="V781" s="25" t="s">
        <v>96</v>
      </c>
      <c r="W781" s="22">
        <v>1</v>
      </c>
      <c r="X781" s="23"/>
    </row>
    <row r="782" spans="1:24" s="1" customFormat="1" ht="26" customHeight="1" x14ac:dyDescent="0.3">
      <c r="A782" s="24" t="s">
        <v>23</v>
      </c>
      <c r="B782" s="24" t="s">
        <v>883</v>
      </c>
      <c r="C782" s="12" t="s">
        <v>890</v>
      </c>
      <c r="D782" s="58"/>
      <c r="E782" s="43" t="str">
        <f>HYPERLINK("https://www.google.ru/search?q=00501-3719&amp;newwindow=1&amp;tbm=isch","Еще фото")</f>
        <v>Еще фото</v>
      </c>
      <c r="F782" s="14" t="s">
        <v>854</v>
      </c>
      <c r="G782" s="24" t="s">
        <v>237</v>
      </c>
      <c r="H782" s="24" t="s">
        <v>27</v>
      </c>
      <c r="I782" s="24" t="s">
        <v>237</v>
      </c>
      <c r="J782" s="15" t="s">
        <v>28</v>
      </c>
      <c r="K782" s="16" t="s">
        <v>57</v>
      </c>
      <c r="L782" s="61"/>
      <c r="M782" s="15"/>
      <c r="N782" s="15" t="s">
        <v>130</v>
      </c>
      <c r="O782" s="15"/>
      <c r="P782" s="16" t="s">
        <v>891</v>
      </c>
      <c r="Q782" s="17">
        <v>16999</v>
      </c>
      <c r="R782" s="18">
        <v>45</v>
      </c>
      <c r="S782" s="19">
        <v>10751.8675</v>
      </c>
      <c r="T782" s="20" t="s">
        <v>75</v>
      </c>
      <c r="U782" s="21" t="s">
        <v>100</v>
      </c>
      <c r="V782" s="22">
        <v>50</v>
      </c>
      <c r="W782" s="22">
        <v>1</v>
      </c>
      <c r="X782" s="23"/>
    </row>
    <row r="783" spans="1:24" s="1" customFormat="1" ht="26" customHeight="1" x14ac:dyDescent="0.3">
      <c r="A783" s="24" t="s">
        <v>23</v>
      </c>
      <c r="B783" s="24" t="s">
        <v>883</v>
      </c>
      <c r="C783" s="12" t="s">
        <v>890</v>
      </c>
      <c r="D783" s="59"/>
      <c r="E783" s="43" t="str">
        <f>HYPERLINK("https://www.google.ru/search?q=00501-3719&amp;newwindow=1&amp;tbm=isch","Еще фото")</f>
        <v>Еще фото</v>
      </c>
      <c r="F783" s="14" t="s">
        <v>854</v>
      </c>
      <c r="G783" s="24" t="s">
        <v>237</v>
      </c>
      <c r="H783" s="24" t="s">
        <v>27</v>
      </c>
      <c r="I783" s="24" t="s">
        <v>237</v>
      </c>
      <c r="J783" s="15" t="s">
        <v>28</v>
      </c>
      <c r="K783" s="16" t="s">
        <v>57</v>
      </c>
      <c r="L783" s="62"/>
      <c r="M783" s="15"/>
      <c r="N783" s="15" t="s">
        <v>130</v>
      </c>
      <c r="O783" s="15"/>
      <c r="P783" s="16" t="s">
        <v>891</v>
      </c>
      <c r="Q783" s="17">
        <v>16999</v>
      </c>
      <c r="R783" s="18">
        <v>45</v>
      </c>
      <c r="S783" s="19">
        <v>10751.8675</v>
      </c>
      <c r="T783" s="20" t="s">
        <v>75</v>
      </c>
      <c r="U783" s="21" t="s">
        <v>167</v>
      </c>
      <c r="V783" s="22">
        <v>52</v>
      </c>
      <c r="W783" s="22">
        <v>1</v>
      </c>
      <c r="X783" s="23"/>
    </row>
    <row r="784" spans="1:24" s="1" customFormat="1" ht="17" customHeight="1" x14ac:dyDescent="0.3">
      <c r="A784" s="11" t="s">
        <v>23</v>
      </c>
      <c r="B784" s="11" t="s">
        <v>892</v>
      </c>
      <c r="C784" s="12" t="s">
        <v>893</v>
      </c>
      <c r="D784" s="57"/>
      <c r="E784" s="43" t="str">
        <f t="shared" ref="E784:E789" si="38">HYPERLINK("https://www.google.ru/search?q=00501-3722&amp;newwindow=1&amp;tbm=isch","Еще фото")</f>
        <v>Еще фото</v>
      </c>
      <c r="F784" s="14" t="s">
        <v>182</v>
      </c>
      <c r="G784" s="11" t="s">
        <v>237</v>
      </c>
      <c r="H784" s="11" t="s">
        <v>27</v>
      </c>
      <c r="I784" s="15" t="s">
        <v>237</v>
      </c>
      <c r="J784" s="15" t="s">
        <v>28</v>
      </c>
      <c r="K784" s="16" t="s">
        <v>57</v>
      </c>
      <c r="L784" s="60" t="s">
        <v>855</v>
      </c>
      <c r="M784" s="15"/>
      <c r="N784" s="15" t="s">
        <v>130</v>
      </c>
      <c r="O784" s="15"/>
      <c r="P784" s="16" t="s">
        <v>32</v>
      </c>
      <c r="Q784" s="17">
        <v>23299</v>
      </c>
      <c r="R784" s="18">
        <v>45</v>
      </c>
      <c r="S784" s="19">
        <v>14736.6175</v>
      </c>
      <c r="T784" s="20" t="s">
        <v>75</v>
      </c>
      <c r="U784" s="21" t="s">
        <v>53</v>
      </c>
      <c r="V784" s="22">
        <v>46</v>
      </c>
      <c r="W784" s="22">
        <v>1</v>
      </c>
      <c r="X784" s="23"/>
    </row>
    <row r="785" spans="1:24" s="1" customFormat="1" ht="17" customHeight="1" x14ac:dyDescent="0.3">
      <c r="A785" s="24" t="s">
        <v>23</v>
      </c>
      <c r="B785" s="24" t="s">
        <v>892</v>
      </c>
      <c r="C785" s="12" t="s">
        <v>893</v>
      </c>
      <c r="D785" s="58"/>
      <c r="E785" s="43" t="str">
        <f t="shared" si="38"/>
        <v>Еще фото</v>
      </c>
      <c r="F785" s="14" t="s">
        <v>182</v>
      </c>
      <c r="G785" s="24" t="s">
        <v>237</v>
      </c>
      <c r="H785" s="24" t="s">
        <v>27</v>
      </c>
      <c r="I785" s="24" t="s">
        <v>237</v>
      </c>
      <c r="J785" s="15" t="s">
        <v>28</v>
      </c>
      <c r="K785" s="16" t="s">
        <v>57</v>
      </c>
      <c r="L785" s="61"/>
      <c r="M785" s="15"/>
      <c r="N785" s="15" t="s">
        <v>130</v>
      </c>
      <c r="O785" s="15"/>
      <c r="P785" s="16" t="s">
        <v>32</v>
      </c>
      <c r="Q785" s="17">
        <v>23299</v>
      </c>
      <c r="R785" s="18">
        <v>45</v>
      </c>
      <c r="S785" s="19">
        <v>14736.6175</v>
      </c>
      <c r="T785" s="20" t="s">
        <v>75</v>
      </c>
      <c r="U785" s="21" t="s">
        <v>95</v>
      </c>
      <c r="V785" s="22">
        <v>48</v>
      </c>
      <c r="W785" s="22">
        <v>6</v>
      </c>
      <c r="X785" s="23"/>
    </row>
    <row r="786" spans="1:24" s="1" customFormat="1" ht="17" customHeight="1" x14ac:dyDescent="0.3">
      <c r="A786" s="24" t="s">
        <v>23</v>
      </c>
      <c r="B786" s="24" t="s">
        <v>892</v>
      </c>
      <c r="C786" s="12" t="s">
        <v>893</v>
      </c>
      <c r="D786" s="58"/>
      <c r="E786" s="43" t="str">
        <f t="shared" si="38"/>
        <v>Еще фото</v>
      </c>
      <c r="F786" s="14" t="s">
        <v>182</v>
      </c>
      <c r="G786" s="24" t="s">
        <v>237</v>
      </c>
      <c r="H786" s="24" t="s">
        <v>27</v>
      </c>
      <c r="I786" s="24" t="s">
        <v>237</v>
      </c>
      <c r="J786" s="15" t="s">
        <v>28</v>
      </c>
      <c r="K786" s="16" t="s">
        <v>57</v>
      </c>
      <c r="L786" s="61"/>
      <c r="M786" s="15"/>
      <c r="N786" s="15" t="s">
        <v>130</v>
      </c>
      <c r="O786" s="15"/>
      <c r="P786" s="16" t="s">
        <v>32</v>
      </c>
      <c r="Q786" s="17">
        <v>23299</v>
      </c>
      <c r="R786" s="18">
        <v>45</v>
      </c>
      <c r="S786" s="19">
        <v>14736.6175</v>
      </c>
      <c r="T786" s="20" t="s">
        <v>75</v>
      </c>
      <c r="U786" s="21" t="s">
        <v>104</v>
      </c>
      <c r="V786" s="22">
        <v>48</v>
      </c>
      <c r="W786" s="22">
        <v>9</v>
      </c>
      <c r="X786" s="23"/>
    </row>
    <row r="787" spans="1:24" s="1" customFormat="1" ht="17" customHeight="1" x14ac:dyDescent="0.3">
      <c r="A787" s="24" t="s">
        <v>23</v>
      </c>
      <c r="B787" s="24" t="s">
        <v>892</v>
      </c>
      <c r="C787" s="12" t="s">
        <v>893</v>
      </c>
      <c r="D787" s="58"/>
      <c r="E787" s="43" t="str">
        <f t="shared" si="38"/>
        <v>Еще фото</v>
      </c>
      <c r="F787" s="14" t="s">
        <v>182</v>
      </c>
      <c r="G787" s="24" t="s">
        <v>237</v>
      </c>
      <c r="H787" s="24" t="s">
        <v>27</v>
      </c>
      <c r="I787" s="24" t="s">
        <v>237</v>
      </c>
      <c r="J787" s="15" t="s">
        <v>28</v>
      </c>
      <c r="K787" s="16" t="s">
        <v>57</v>
      </c>
      <c r="L787" s="61"/>
      <c r="M787" s="15"/>
      <c r="N787" s="15" t="s">
        <v>130</v>
      </c>
      <c r="O787" s="15"/>
      <c r="P787" s="16" t="s">
        <v>32</v>
      </c>
      <c r="Q787" s="17">
        <v>23299</v>
      </c>
      <c r="R787" s="18">
        <v>45</v>
      </c>
      <c r="S787" s="19">
        <v>14736.6175</v>
      </c>
      <c r="T787" s="20" t="s">
        <v>75</v>
      </c>
      <c r="U787" s="21" t="s">
        <v>359</v>
      </c>
      <c r="V787" s="25" t="s">
        <v>96</v>
      </c>
      <c r="W787" s="22">
        <v>1</v>
      </c>
      <c r="X787" s="23"/>
    </row>
    <row r="788" spans="1:24" s="1" customFormat="1" ht="17" customHeight="1" x14ac:dyDescent="0.3">
      <c r="A788" s="24" t="s">
        <v>23</v>
      </c>
      <c r="B788" s="24" t="s">
        <v>892</v>
      </c>
      <c r="C788" s="12" t="s">
        <v>893</v>
      </c>
      <c r="D788" s="58"/>
      <c r="E788" s="43" t="str">
        <f t="shared" si="38"/>
        <v>Еще фото</v>
      </c>
      <c r="F788" s="14" t="s">
        <v>182</v>
      </c>
      <c r="G788" s="24" t="s">
        <v>237</v>
      </c>
      <c r="H788" s="24" t="s">
        <v>27</v>
      </c>
      <c r="I788" s="24" t="s">
        <v>237</v>
      </c>
      <c r="J788" s="15" t="s">
        <v>28</v>
      </c>
      <c r="K788" s="16" t="s">
        <v>57</v>
      </c>
      <c r="L788" s="61"/>
      <c r="M788" s="15"/>
      <c r="N788" s="15" t="s">
        <v>130</v>
      </c>
      <c r="O788" s="15"/>
      <c r="P788" s="16" t="s">
        <v>32</v>
      </c>
      <c r="Q788" s="17">
        <v>23299</v>
      </c>
      <c r="R788" s="18">
        <v>45</v>
      </c>
      <c r="S788" s="19">
        <v>14736.6175</v>
      </c>
      <c r="T788" s="20" t="s">
        <v>75</v>
      </c>
      <c r="U788" s="21" t="s">
        <v>100</v>
      </c>
      <c r="V788" s="22">
        <v>50</v>
      </c>
      <c r="W788" s="22">
        <v>1</v>
      </c>
      <c r="X788" s="23"/>
    </row>
    <row r="789" spans="1:24" s="1" customFormat="1" ht="22.05" customHeight="1" x14ac:dyDescent="0.3">
      <c r="A789" s="24" t="s">
        <v>23</v>
      </c>
      <c r="B789" s="24" t="s">
        <v>892</v>
      </c>
      <c r="C789" s="12" t="s">
        <v>893</v>
      </c>
      <c r="D789" s="59"/>
      <c r="E789" s="43" t="str">
        <f t="shared" si="38"/>
        <v>Еще фото</v>
      </c>
      <c r="F789" s="14" t="s">
        <v>182</v>
      </c>
      <c r="G789" s="24" t="s">
        <v>237</v>
      </c>
      <c r="H789" s="24" t="s">
        <v>27</v>
      </c>
      <c r="I789" s="24" t="s">
        <v>237</v>
      </c>
      <c r="J789" s="15" t="s">
        <v>28</v>
      </c>
      <c r="K789" s="16" t="s">
        <v>57</v>
      </c>
      <c r="L789" s="62"/>
      <c r="M789" s="15"/>
      <c r="N789" s="15" t="s">
        <v>130</v>
      </c>
      <c r="O789" s="15"/>
      <c r="P789" s="16" t="s">
        <v>32</v>
      </c>
      <c r="Q789" s="17">
        <v>23299</v>
      </c>
      <c r="R789" s="18">
        <v>45</v>
      </c>
      <c r="S789" s="19">
        <v>14736.6175</v>
      </c>
      <c r="T789" s="20" t="s">
        <v>75</v>
      </c>
      <c r="U789" s="21" t="s">
        <v>865</v>
      </c>
      <c r="V789" s="22">
        <v>52</v>
      </c>
      <c r="W789" s="22">
        <v>1</v>
      </c>
      <c r="X789" s="23"/>
    </row>
    <row r="790" spans="1:24" s="1" customFormat="1" ht="11" customHeight="1" x14ac:dyDescent="0.3">
      <c r="A790" s="11" t="s">
        <v>23</v>
      </c>
      <c r="B790" s="11" t="s">
        <v>883</v>
      </c>
      <c r="C790" s="12" t="s">
        <v>894</v>
      </c>
      <c r="D790" s="57"/>
      <c r="E790" s="43" t="str">
        <f t="shared" ref="E790:E807" si="39">HYPERLINK("https://www.google.ru/search?q=00501-3737&amp;newwindow=1&amp;tbm=isch","Еще фото")</f>
        <v>Еще фото</v>
      </c>
      <c r="F790" s="14" t="s">
        <v>182</v>
      </c>
      <c r="G790" s="11" t="s">
        <v>237</v>
      </c>
      <c r="H790" s="11" t="s">
        <v>27</v>
      </c>
      <c r="I790" s="15" t="s">
        <v>237</v>
      </c>
      <c r="J790" s="15" t="s">
        <v>28</v>
      </c>
      <c r="K790" s="16" t="s">
        <v>57</v>
      </c>
      <c r="L790" s="60" t="s">
        <v>827</v>
      </c>
      <c r="M790" s="15"/>
      <c r="N790" s="15" t="s">
        <v>130</v>
      </c>
      <c r="O790" s="15"/>
      <c r="P790" s="16" t="s">
        <v>172</v>
      </c>
      <c r="Q790" s="17">
        <v>21799</v>
      </c>
      <c r="R790" s="18">
        <v>45</v>
      </c>
      <c r="S790" s="19">
        <v>13787.8675</v>
      </c>
      <c r="T790" s="20" t="s">
        <v>75</v>
      </c>
      <c r="U790" s="21" t="s">
        <v>52</v>
      </c>
      <c r="V790" s="22">
        <v>46</v>
      </c>
      <c r="W790" s="22">
        <v>2</v>
      </c>
      <c r="X790" s="23"/>
    </row>
    <row r="791" spans="1:24" s="1" customFormat="1" ht="11" customHeight="1" x14ac:dyDescent="0.3">
      <c r="A791" s="24" t="s">
        <v>23</v>
      </c>
      <c r="B791" s="24" t="s">
        <v>883</v>
      </c>
      <c r="C791" s="12" t="s">
        <v>894</v>
      </c>
      <c r="D791" s="58"/>
      <c r="E791" s="43" t="str">
        <f t="shared" si="39"/>
        <v>Еще фото</v>
      </c>
      <c r="F791" s="14" t="s">
        <v>182</v>
      </c>
      <c r="G791" s="24" t="s">
        <v>237</v>
      </c>
      <c r="H791" s="24" t="s">
        <v>27</v>
      </c>
      <c r="I791" s="24" t="s">
        <v>237</v>
      </c>
      <c r="J791" s="15" t="s">
        <v>28</v>
      </c>
      <c r="K791" s="16" t="s">
        <v>57</v>
      </c>
      <c r="L791" s="61"/>
      <c r="M791" s="15"/>
      <c r="N791" s="15" t="s">
        <v>130</v>
      </c>
      <c r="O791" s="15"/>
      <c r="P791" s="16" t="s">
        <v>172</v>
      </c>
      <c r="Q791" s="17">
        <v>21799</v>
      </c>
      <c r="R791" s="18">
        <v>45</v>
      </c>
      <c r="S791" s="19">
        <v>13787.8675</v>
      </c>
      <c r="T791" s="20" t="s">
        <v>75</v>
      </c>
      <c r="U791" s="21" t="s">
        <v>53</v>
      </c>
      <c r="V791" s="22">
        <v>46</v>
      </c>
      <c r="W791" s="22">
        <v>9</v>
      </c>
      <c r="X791" s="23"/>
    </row>
    <row r="792" spans="1:24" s="1" customFormat="1" ht="11" customHeight="1" x14ac:dyDescent="0.3">
      <c r="A792" s="24" t="s">
        <v>23</v>
      </c>
      <c r="B792" s="24" t="s">
        <v>883</v>
      </c>
      <c r="C792" s="12" t="s">
        <v>894</v>
      </c>
      <c r="D792" s="58"/>
      <c r="E792" s="43" t="str">
        <f t="shared" si="39"/>
        <v>Еще фото</v>
      </c>
      <c r="F792" s="14" t="s">
        <v>182</v>
      </c>
      <c r="G792" s="24" t="s">
        <v>237</v>
      </c>
      <c r="H792" s="24" t="s">
        <v>27</v>
      </c>
      <c r="I792" s="24" t="s">
        <v>237</v>
      </c>
      <c r="J792" s="15" t="s">
        <v>28</v>
      </c>
      <c r="K792" s="16" t="s">
        <v>57</v>
      </c>
      <c r="L792" s="61"/>
      <c r="M792" s="15"/>
      <c r="N792" s="15" t="s">
        <v>130</v>
      </c>
      <c r="O792" s="15"/>
      <c r="P792" s="16" t="s">
        <v>172</v>
      </c>
      <c r="Q792" s="17">
        <v>21799</v>
      </c>
      <c r="R792" s="18">
        <v>45</v>
      </c>
      <c r="S792" s="19">
        <v>13787.8675</v>
      </c>
      <c r="T792" s="20" t="s">
        <v>75</v>
      </c>
      <c r="U792" s="21" t="s">
        <v>188</v>
      </c>
      <c r="V792" s="25" t="s">
        <v>65</v>
      </c>
      <c r="W792" s="22">
        <v>1</v>
      </c>
      <c r="X792" s="23"/>
    </row>
    <row r="793" spans="1:24" s="1" customFormat="1" ht="11" customHeight="1" x14ac:dyDescent="0.3">
      <c r="A793" s="24" t="s">
        <v>23</v>
      </c>
      <c r="B793" s="24" t="s">
        <v>883</v>
      </c>
      <c r="C793" s="12" t="s">
        <v>894</v>
      </c>
      <c r="D793" s="58"/>
      <c r="E793" s="43" t="str">
        <f t="shared" si="39"/>
        <v>Еще фото</v>
      </c>
      <c r="F793" s="14" t="s">
        <v>182</v>
      </c>
      <c r="G793" s="24" t="s">
        <v>237</v>
      </c>
      <c r="H793" s="24" t="s">
        <v>27</v>
      </c>
      <c r="I793" s="24" t="s">
        <v>237</v>
      </c>
      <c r="J793" s="15" t="s">
        <v>28</v>
      </c>
      <c r="K793" s="16" t="s">
        <v>57</v>
      </c>
      <c r="L793" s="61"/>
      <c r="M793" s="15"/>
      <c r="N793" s="15" t="s">
        <v>130</v>
      </c>
      <c r="O793" s="15"/>
      <c r="P793" s="16" t="s">
        <v>172</v>
      </c>
      <c r="Q793" s="17">
        <v>21799</v>
      </c>
      <c r="R793" s="18">
        <v>45</v>
      </c>
      <c r="S793" s="19">
        <v>13787.8675</v>
      </c>
      <c r="T793" s="20" t="s">
        <v>75</v>
      </c>
      <c r="U793" s="21" t="s">
        <v>109</v>
      </c>
      <c r="V793" s="25" t="s">
        <v>65</v>
      </c>
      <c r="W793" s="22">
        <v>20</v>
      </c>
      <c r="X793" s="23"/>
    </row>
    <row r="794" spans="1:24" s="1" customFormat="1" ht="11" customHeight="1" x14ac:dyDescent="0.3">
      <c r="A794" s="24" t="s">
        <v>23</v>
      </c>
      <c r="B794" s="24" t="s">
        <v>883</v>
      </c>
      <c r="C794" s="12" t="s">
        <v>894</v>
      </c>
      <c r="D794" s="58"/>
      <c r="E794" s="43" t="str">
        <f t="shared" si="39"/>
        <v>Еще фото</v>
      </c>
      <c r="F794" s="14" t="s">
        <v>182</v>
      </c>
      <c r="G794" s="24" t="s">
        <v>237</v>
      </c>
      <c r="H794" s="24" t="s">
        <v>27</v>
      </c>
      <c r="I794" s="24" t="s">
        <v>237</v>
      </c>
      <c r="J794" s="15" t="s">
        <v>28</v>
      </c>
      <c r="K794" s="16" t="s">
        <v>57</v>
      </c>
      <c r="L794" s="61"/>
      <c r="M794" s="15"/>
      <c r="N794" s="15" t="s">
        <v>130</v>
      </c>
      <c r="O794" s="15"/>
      <c r="P794" s="16" t="s">
        <v>172</v>
      </c>
      <c r="Q794" s="17">
        <v>21799</v>
      </c>
      <c r="R794" s="18">
        <v>45</v>
      </c>
      <c r="S794" s="19">
        <v>13787.8675</v>
      </c>
      <c r="T794" s="20" t="s">
        <v>75</v>
      </c>
      <c r="U794" s="21" t="s">
        <v>140</v>
      </c>
      <c r="V794" s="25" t="s">
        <v>65</v>
      </c>
      <c r="W794" s="22">
        <v>8</v>
      </c>
      <c r="X794" s="23"/>
    </row>
    <row r="795" spans="1:24" s="1" customFormat="1" ht="11" customHeight="1" x14ac:dyDescent="0.3">
      <c r="A795" s="24" t="s">
        <v>23</v>
      </c>
      <c r="B795" s="24" t="s">
        <v>883</v>
      </c>
      <c r="C795" s="12" t="s">
        <v>894</v>
      </c>
      <c r="D795" s="58"/>
      <c r="E795" s="43" t="str">
        <f t="shared" si="39"/>
        <v>Еще фото</v>
      </c>
      <c r="F795" s="14" t="s">
        <v>182</v>
      </c>
      <c r="G795" s="24" t="s">
        <v>237</v>
      </c>
      <c r="H795" s="24" t="s">
        <v>27</v>
      </c>
      <c r="I795" s="24" t="s">
        <v>237</v>
      </c>
      <c r="J795" s="15" t="s">
        <v>28</v>
      </c>
      <c r="K795" s="16" t="s">
        <v>57</v>
      </c>
      <c r="L795" s="61"/>
      <c r="M795" s="15"/>
      <c r="N795" s="15" t="s">
        <v>130</v>
      </c>
      <c r="O795" s="15"/>
      <c r="P795" s="16" t="s">
        <v>172</v>
      </c>
      <c r="Q795" s="17">
        <v>21799</v>
      </c>
      <c r="R795" s="18">
        <v>45</v>
      </c>
      <c r="S795" s="19">
        <v>13787.8675</v>
      </c>
      <c r="T795" s="20" t="s">
        <v>75</v>
      </c>
      <c r="U795" s="21" t="s">
        <v>95</v>
      </c>
      <c r="V795" s="22">
        <v>48</v>
      </c>
      <c r="W795" s="22">
        <v>23</v>
      </c>
      <c r="X795" s="23"/>
    </row>
    <row r="796" spans="1:24" s="1" customFormat="1" ht="11" customHeight="1" x14ac:dyDescent="0.3">
      <c r="A796" s="24" t="s">
        <v>23</v>
      </c>
      <c r="B796" s="24" t="s">
        <v>883</v>
      </c>
      <c r="C796" s="12" t="s">
        <v>894</v>
      </c>
      <c r="D796" s="58"/>
      <c r="E796" s="43" t="str">
        <f t="shared" si="39"/>
        <v>Еще фото</v>
      </c>
      <c r="F796" s="14" t="s">
        <v>182</v>
      </c>
      <c r="G796" s="24" t="s">
        <v>237</v>
      </c>
      <c r="H796" s="24" t="s">
        <v>27</v>
      </c>
      <c r="I796" s="24" t="s">
        <v>237</v>
      </c>
      <c r="J796" s="15" t="s">
        <v>28</v>
      </c>
      <c r="K796" s="16" t="s">
        <v>57</v>
      </c>
      <c r="L796" s="61"/>
      <c r="M796" s="15"/>
      <c r="N796" s="15" t="s">
        <v>130</v>
      </c>
      <c r="O796" s="15"/>
      <c r="P796" s="16" t="s">
        <v>172</v>
      </c>
      <c r="Q796" s="17">
        <v>21799</v>
      </c>
      <c r="R796" s="18">
        <v>45</v>
      </c>
      <c r="S796" s="19">
        <v>13787.8675</v>
      </c>
      <c r="T796" s="20" t="s">
        <v>75</v>
      </c>
      <c r="U796" s="21" t="s">
        <v>165</v>
      </c>
      <c r="V796" s="22">
        <v>48</v>
      </c>
      <c r="W796" s="22">
        <v>13</v>
      </c>
      <c r="X796" s="23"/>
    </row>
    <row r="797" spans="1:24" s="1" customFormat="1" ht="11" customHeight="1" x14ac:dyDescent="0.3">
      <c r="A797" s="24" t="s">
        <v>23</v>
      </c>
      <c r="B797" s="24" t="s">
        <v>883</v>
      </c>
      <c r="C797" s="12" t="s">
        <v>894</v>
      </c>
      <c r="D797" s="58"/>
      <c r="E797" s="43" t="str">
        <f t="shared" si="39"/>
        <v>Еще фото</v>
      </c>
      <c r="F797" s="14" t="s">
        <v>182</v>
      </c>
      <c r="G797" s="24" t="s">
        <v>237</v>
      </c>
      <c r="H797" s="24" t="s">
        <v>27</v>
      </c>
      <c r="I797" s="24" t="s">
        <v>237</v>
      </c>
      <c r="J797" s="15" t="s">
        <v>28</v>
      </c>
      <c r="K797" s="16" t="s">
        <v>57</v>
      </c>
      <c r="L797" s="61"/>
      <c r="M797" s="15"/>
      <c r="N797" s="15" t="s">
        <v>130</v>
      </c>
      <c r="O797" s="15"/>
      <c r="P797" s="16" t="s">
        <v>172</v>
      </c>
      <c r="Q797" s="17">
        <v>21799</v>
      </c>
      <c r="R797" s="18">
        <v>45</v>
      </c>
      <c r="S797" s="19">
        <v>13787.8675</v>
      </c>
      <c r="T797" s="20" t="s">
        <v>75</v>
      </c>
      <c r="U797" s="21" t="s">
        <v>104</v>
      </c>
      <c r="V797" s="22">
        <v>48</v>
      </c>
      <c r="W797" s="22">
        <v>5</v>
      </c>
      <c r="X797" s="23"/>
    </row>
    <row r="798" spans="1:24" s="1" customFormat="1" ht="11" customHeight="1" x14ac:dyDescent="0.3">
      <c r="A798" s="24" t="s">
        <v>23</v>
      </c>
      <c r="B798" s="24" t="s">
        <v>883</v>
      </c>
      <c r="C798" s="12" t="s">
        <v>894</v>
      </c>
      <c r="D798" s="58"/>
      <c r="E798" s="43" t="str">
        <f t="shared" si="39"/>
        <v>Еще фото</v>
      </c>
      <c r="F798" s="14" t="s">
        <v>182</v>
      </c>
      <c r="G798" s="24" t="s">
        <v>237</v>
      </c>
      <c r="H798" s="24" t="s">
        <v>27</v>
      </c>
      <c r="I798" s="24" t="s">
        <v>237</v>
      </c>
      <c r="J798" s="15" t="s">
        <v>28</v>
      </c>
      <c r="K798" s="16" t="s">
        <v>57</v>
      </c>
      <c r="L798" s="61"/>
      <c r="M798" s="15"/>
      <c r="N798" s="15" t="s">
        <v>130</v>
      </c>
      <c r="O798" s="15"/>
      <c r="P798" s="16" t="s">
        <v>172</v>
      </c>
      <c r="Q798" s="17">
        <v>21799</v>
      </c>
      <c r="R798" s="18">
        <v>45</v>
      </c>
      <c r="S798" s="19">
        <v>13787.8675</v>
      </c>
      <c r="T798" s="20" t="s">
        <v>75</v>
      </c>
      <c r="U798" s="21" t="s">
        <v>200</v>
      </c>
      <c r="V798" s="25" t="s">
        <v>96</v>
      </c>
      <c r="W798" s="22">
        <v>15</v>
      </c>
      <c r="X798" s="23"/>
    </row>
    <row r="799" spans="1:24" s="1" customFormat="1" ht="11" customHeight="1" x14ac:dyDescent="0.3">
      <c r="A799" s="15" t="s">
        <v>23</v>
      </c>
      <c r="B799" s="15" t="s">
        <v>883</v>
      </c>
      <c r="C799" s="12" t="s">
        <v>894</v>
      </c>
      <c r="D799" s="58"/>
      <c r="E799" s="43" t="str">
        <f t="shared" si="39"/>
        <v>Еще фото</v>
      </c>
      <c r="F799" s="26" t="s">
        <v>182</v>
      </c>
      <c r="G799" s="15" t="s">
        <v>237</v>
      </c>
      <c r="H799" s="15" t="s">
        <v>27</v>
      </c>
      <c r="I799" s="15" t="s">
        <v>237</v>
      </c>
      <c r="J799" s="15" t="s">
        <v>28</v>
      </c>
      <c r="K799" s="15" t="s">
        <v>57</v>
      </c>
      <c r="L799" s="61"/>
      <c r="M799" s="15"/>
      <c r="N799" s="15" t="s">
        <v>130</v>
      </c>
      <c r="O799" s="15"/>
      <c r="P799" s="15" t="s">
        <v>172</v>
      </c>
      <c r="Q799" s="27">
        <v>21799</v>
      </c>
      <c r="R799" s="28">
        <v>45</v>
      </c>
      <c r="S799" s="29">
        <v>13787.8675</v>
      </c>
      <c r="T799" s="20" t="s">
        <v>75</v>
      </c>
      <c r="U799" s="21" t="s">
        <v>166</v>
      </c>
      <c r="V799" s="25" t="s">
        <v>96</v>
      </c>
      <c r="W799" s="22">
        <v>12</v>
      </c>
      <c r="X799" s="23"/>
    </row>
    <row r="800" spans="1:24" s="1" customFormat="1" ht="11" customHeight="1" x14ac:dyDescent="0.3">
      <c r="A800" s="15" t="s">
        <v>23</v>
      </c>
      <c r="B800" s="15" t="s">
        <v>883</v>
      </c>
      <c r="C800" s="12" t="s">
        <v>894</v>
      </c>
      <c r="D800" s="58"/>
      <c r="E800" s="43" t="str">
        <f t="shared" si="39"/>
        <v>Еще фото</v>
      </c>
      <c r="F800" s="26" t="s">
        <v>182</v>
      </c>
      <c r="G800" s="15" t="s">
        <v>237</v>
      </c>
      <c r="H800" s="15" t="s">
        <v>27</v>
      </c>
      <c r="I800" s="15" t="s">
        <v>237</v>
      </c>
      <c r="J800" s="15" t="s">
        <v>28</v>
      </c>
      <c r="K800" s="15" t="s">
        <v>57</v>
      </c>
      <c r="L800" s="61"/>
      <c r="M800" s="15"/>
      <c r="N800" s="15" t="s">
        <v>130</v>
      </c>
      <c r="O800" s="15"/>
      <c r="P800" s="15" t="s">
        <v>172</v>
      </c>
      <c r="Q800" s="27">
        <v>21799</v>
      </c>
      <c r="R800" s="28">
        <v>45</v>
      </c>
      <c r="S800" s="29">
        <v>13787.8675</v>
      </c>
      <c r="T800" s="20" t="s">
        <v>75</v>
      </c>
      <c r="U800" s="21" t="s">
        <v>359</v>
      </c>
      <c r="V800" s="25" t="s">
        <v>96</v>
      </c>
      <c r="W800" s="22">
        <v>3</v>
      </c>
      <c r="X800" s="23"/>
    </row>
    <row r="801" spans="1:24" s="1" customFormat="1" ht="11" customHeight="1" x14ac:dyDescent="0.3">
      <c r="A801" s="15" t="s">
        <v>23</v>
      </c>
      <c r="B801" s="15" t="s">
        <v>883</v>
      </c>
      <c r="C801" s="12" t="s">
        <v>894</v>
      </c>
      <c r="D801" s="58"/>
      <c r="E801" s="43" t="str">
        <f t="shared" si="39"/>
        <v>Еще фото</v>
      </c>
      <c r="F801" s="26" t="s">
        <v>182</v>
      </c>
      <c r="G801" s="15" t="s">
        <v>237</v>
      </c>
      <c r="H801" s="15" t="s">
        <v>27</v>
      </c>
      <c r="I801" s="15" t="s">
        <v>237</v>
      </c>
      <c r="J801" s="15" t="s">
        <v>28</v>
      </c>
      <c r="K801" s="15" t="s">
        <v>57</v>
      </c>
      <c r="L801" s="61"/>
      <c r="M801" s="15"/>
      <c r="N801" s="15" t="s">
        <v>130</v>
      </c>
      <c r="O801" s="15"/>
      <c r="P801" s="15" t="s">
        <v>172</v>
      </c>
      <c r="Q801" s="27">
        <v>21799</v>
      </c>
      <c r="R801" s="28">
        <v>45</v>
      </c>
      <c r="S801" s="29">
        <v>13787.8675</v>
      </c>
      <c r="T801" s="20" t="s">
        <v>75</v>
      </c>
      <c r="U801" s="21" t="s">
        <v>203</v>
      </c>
      <c r="V801" s="22">
        <v>50</v>
      </c>
      <c r="W801" s="22">
        <v>8</v>
      </c>
      <c r="X801" s="23"/>
    </row>
    <row r="802" spans="1:24" s="1" customFormat="1" ht="11" customHeight="1" x14ac:dyDescent="0.3">
      <c r="A802" s="15" t="s">
        <v>23</v>
      </c>
      <c r="B802" s="15" t="s">
        <v>883</v>
      </c>
      <c r="C802" s="12" t="s">
        <v>894</v>
      </c>
      <c r="D802" s="58"/>
      <c r="E802" s="43" t="str">
        <f t="shared" si="39"/>
        <v>Еще фото</v>
      </c>
      <c r="F802" s="26" t="s">
        <v>182</v>
      </c>
      <c r="G802" s="15" t="s">
        <v>237</v>
      </c>
      <c r="H802" s="15" t="s">
        <v>27</v>
      </c>
      <c r="I802" s="15" t="s">
        <v>237</v>
      </c>
      <c r="J802" s="15" t="s">
        <v>28</v>
      </c>
      <c r="K802" s="15" t="s">
        <v>57</v>
      </c>
      <c r="L802" s="61"/>
      <c r="M802" s="15"/>
      <c r="N802" s="15" t="s">
        <v>130</v>
      </c>
      <c r="O802" s="15"/>
      <c r="P802" s="15" t="s">
        <v>172</v>
      </c>
      <c r="Q802" s="27">
        <v>21799</v>
      </c>
      <c r="R802" s="28">
        <v>45</v>
      </c>
      <c r="S802" s="29">
        <v>13787.8675</v>
      </c>
      <c r="T802" s="20" t="s">
        <v>75</v>
      </c>
      <c r="U802" s="21" t="s">
        <v>89</v>
      </c>
      <c r="V802" s="22">
        <v>50</v>
      </c>
      <c r="W802" s="22">
        <v>9</v>
      </c>
      <c r="X802" s="23"/>
    </row>
    <row r="803" spans="1:24" s="1" customFormat="1" ht="11" customHeight="1" x14ac:dyDescent="0.3">
      <c r="A803" s="15" t="s">
        <v>23</v>
      </c>
      <c r="B803" s="15" t="s">
        <v>883</v>
      </c>
      <c r="C803" s="12" t="s">
        <v>894</v>
      </c>
      <c r="D803" s="58"/>
      <c r="E803" s="43" t="str">
        <f t="shared" si="39"/>
        <v>Еще фото</v>
      </c>
      <c r="F803" s="26" t="s">
        <v>182</v>
      </c>
      <c r="G803" s="15" t="s">
        <v>237</v>
      </c>
      <c r="H803" s="15" t="s">
        <v>27</v>
      </c>
      <c r="I803" s="15" t="s">
        <v>237</v>
      </c>
      <c r="J803" s="15" t="s">
        <v>28</v>
      </c>
      <c r="K803" s="15" t="s">
        <v>57</v>
      </c>
      <c r="L803" s="61"/>
      <c r="M803" s="15"/>
      <c r="N803" s="15" t="s">
        <v>130</v>
      </c>
      <c r="O803" s="15"/>
      <c r="P803" s="15" t="s">
        <v>172</v>
      </c>
      <c r="Q803" s="27">
        <v>21799</v>
      </c>
      <c r="R803" s="28">
        <v>45</v>
      </c>
      <c r="S803" s="29">
        <v>13787.8675</v>
      </c>
      <c r="T803" s="20" t="s">
        <v>75</v>
      </c>
      <c r="U803" s="21" t="s">
        <v>100</v>
      </c>
      <c r="V803" s="22">
        <v>50</v>
      </c>
      <c r="W803" s="22">
        <v>13</v>
      </c>
      <c r="X803" s="23"/>
    </row>
    <row r="804" spans="1:24" s="1" customFormat="1" ht="11" customHeight="1" x14ac:dyDescent="0.3">
      <c r="A804" s="15" t="s">
        <v>23</v>
      </c>
      <c r="B804" s="15" t="s">
        <v>883</v>
      </c>
      <c r="C804" s="12" t="s">
        <v>894</v>
      </c>
      <c r="D804" s="58"/>
      <c r="E804" s="43" t="str">
        <f t="shared" si="39"/>
        <v>Еще фото</v>
      </c>
      <c r="F804" s="26" t="s">
        <v>182</v>
      </c>
      <c r="G804" s="15" t="s">
        <v>237</v>
      </c>
      <c r="H804" s="15" t="s">
        <v>27</v>
      </c>
      <c r="I804" s="15" t="s">
        <v>237</v>
      </c>
      <c r="J804" s="15" t="s">
        <v>28</v>
      </c>
      <c r="K804" s="15" t="s">
        <v>57</v>
      </c>
      <c r="L804" s="61"/>
      <c r="M804" s="15"/>
      <c r="N804" s="15" t="s">
        <v>130</v>
      </c>
      <c r="O804" s="15"/>
      <c r="P804" s="15" t="s">
        <v>172</v>
      </c>
      <c r="Q804" s="27">
        <v>21799</v>
      </c>
      <c r="R804" s="28">
        <v>45</v>
      </c>
      <c r="S804" s="29">
        <v>13787.8675</v>
      </c>
      <c r="T804" s="20" t="s">
        <v>75</v>
      </c>
      <c r="U804" s="21" t="s">
        <v>865</v>
      </c>
      <c r="V804" s="22">
        <v>52</v>
      </c>
      <c r="W804" s="22">
        <v>1</v>
      </c>
      <c r="X804" s="23"/>
    </row>
    <row r="805" spans="1:24" s="1" customFormat="1" ht="11" customHeight="1" x14ac:dyDescent="0.3">
      <c r="A805" s="15" t="s">
        <v>23</v>
      </c>
      <c r="B805" s="15" t="s">
        <v>883</v>
      </c>
      <c r="C805" s="12" t="s">
        <v>894</v>
      </c>
      <c r="D805" s="58"/>
      <c r="E805" s="43" t="str">
        <f t="shared" si="39"/>
        <v>Еще фото</v>
      </c>
      <c r="F805" s="26" t="s">
        <v>182</v>
      </c>
      <c r="G805" s="15" t="s">
        <v>237</v>
      </c>
      <c r="H805" s="15" t="s">
        <v>27</v>
      </c>
      <c r="I805" s="15" t="s">
        <v>237</v>
      </c>
      <c r="J805" s="15" t="s">
        <v>28</v>
      </c>
      <c r="K805" s="15" t="s">
        <v>57</v>
      </c>
      <c r="L805" s="61"/>
      <c r="M805" s="15"/>
      <c r="N805" s="15" t="s">
        <v>130</v>
      </c>
      <c r="O805" s="15"/>
      <c r="P805" s="15" t="s">
        <v>172</v>
      </c>
      <c r="Q805" s="27">
        <v>21799</v>
      </c>
      <c r="R805" s="28">
        <v>45</v>
      </c>
      <c r="S805" s="29">
        <v>13787.8675</v>
      </c>
      <c r="T805" s="20" t="s">
        <v>75</v>
      </c>
      <c r="U805" s="21" t="s">
        <v>167</v>
      </c>
      <c r="V805" s="22">
        <v>52</v>
      </c>
      <c r="W805" s="22">
        <v>6</v>
      </c>
      <c r="X805" s="23"/>
    </row>
    <row r="806" spans="1:24" s="1" customFormat="1" ht="11" customHeight="1" x14ac:dyDescent="0.3">
      <c r="A806" s="15" t="s">
        <v>23</v>
      </c>
      <c r="B806" s="15" t="s">
        <v>883</v>
      </c>
      <c r="C806" s="12" t="s">
        <v>894</v>
      </c>
      <c r="D806" s="58"/>
      <c r="E806" s="43" t="str">
        <f t="shared" si="39"/>
        <v>Еще фото</v>
      </c>
      <c r="F806" s="26" t="s">
        <v>182</v>
      </c>
      <c r="G806" s="15" t="s">
        <v>237</v>
      </c>
      <c r="H806" s="15" t="s">
        <v>27</v>
      </c>
      <c r="I806" s="15" t="s">
        <v>237</v>
      </c>
      <c r="J806" s="15" t="s">
        <v>28</v>
      </c>
      <c r="K806" s="15" t="s">
        <v>57</v>
      </c>
      <c r="L806" s="61"/>
      <c r="M806" s="15"/>
      <c r="N806" s="15" t="s">
        <v>130</v>
      </c>
      <c r="O806" s="15"/>
      <c r="P806" s="15" t="s">
        <v>172</v>
      </c>
      <c r="Q806" s="27">
        <v>21799</v>
      </c>
      <c r="R806" s="28">
        <v>45</v>
      </c>
      <c r="S806" s="29">
        <v>13787.8675</v>
      </c>
      <c r="T806" s="20" t="s">
        <v>75</v>
      </c>
      <c r="U806" s="21" t="s">
        <v>168</v>
      </c>
      <c r="V806" s="22">
        <v>52</v>
      </c>
      <c r="W806" s="22">
        <v>2</v>
      </c>
      <c r="X806" s="23"/>
    </row>
    <row r="807" spans="1:24" s="1" customFormat="1" ht="11" customHeight="1" x14ac:dyDescent="0.3">
      <c r="A807" s="15" t="s">
        <v>23</v>
      </c>
      <c r="B807" s="15" t="s">
        <v>883</v>
      </c>
      <c r="C807" s="12" t="s">
        <v>894</v>
      </c>
      <c r="D807" s="59"/>
      <c r="E807" s="43" t="str">
        <f t="shared" si="39"/>
        <v>Еще фото</v>
      </c>
      <c r="F807" s="26" t="s">
        <v>182</v>
      </c>
      <c r="G807" s="15" t="s">
        <v>237</v>
      </c>
      <c r="H807" s="15" t="s">
        <v>27</v>
      </c>
      <c r="I807" s="15" t="s">
        <v>237</v>
      </c>
      <c r="J807" s="15" t="s">
        <v>28</v>
      </c>
      <c r="K807" s="15" t="s">
        <v>57</v>
      </c>
      <c r="L807" s="62"/>
      <c r="M807" s="15"/>
      <c r="N807" s="15" t="s">
        <v>130</v>
      </c>
      <c r="O807" s="15"/>
      <c r="P807" s="15" t="s">
        <v>172</v>
      </c>
      <c r="Q807" s="27">
        <v>21799</v>
      </c>
      <c r="R807" s="28">
        <v>45</v>
      </c>
      <c r="S807" s="29">
        <v>13787.8675</v>
      </c>
      <c r="T807" s="20" t="s">
        <v>75</v>
      </c>
      <c r="U807" s="21" t="s">
        <v>196</v>
      </c>
      <c r="V807" s="22">
        <v>54</v>
      </c>
      <c r="W807" s="22">
        <v>2</v>
      </c>
      <c r="X807" s="23"/>
    </row>
    <row r="808" spans="1:24" s="1" customFormat="1" ht="11" customHeight="1" x14ac:dyDescent="0.3">
      <c r="A808" s="11" t="s">
        <v>23</v>
      </c>
      <c r="B808" s="11" t="s">
        <v>825</v>
      </c>
      <c r="C808" s="12" t="s">
        <v>895</v>
      </c>
      <c r="D808" s="57"/>
      <c r="E808" s="43" t="str">
        <f t="shared" ref="E808:E817" si="40">HYPERLINK("https://www.google.ru/search?q=00501-3739&amp;newwindow=1&amp;tbm=isch","Еще фото")</f>
        <v>Еще фото</v>
      </c>
      <c r="F808" s="14" t="s">
        <v>182</v>
      </c>
      <c r="G808" s="11" t="s">
        <v>237</v>
      </c>
      <c r="H808" s="11" t="s">
        <v>27</v>
      </c>
      <c r="I808" s="15" t="s">
        <v>237</v>
      </c>
      <c r="J808" s="15" t="s">
        <v>28</v>
      </c>
      <c r="K808" s="16" t="s">
        <v>57</v>
      </c>
      <c r="L808" s="60" t="s">
        <v>827</v>
      </c>
      <c r="M808" s="15"/>
      <c r="N808" s="15" t="s">
        <v>130</v>
      </c>
      <c r="O808" s="15"/>
      <c r="P808" s="16" t="s">
        <v>172</v>
      </c>
      <c r="Q808" s="17">
        <v>10899</v>
      </c>
      <c r="R808" s="18">
        <v>45</v>
      </c>
      <c r="S808" s="19">
        <v>6893.6174999999994</v>
      </c>
      <c r="T808" s="20" t="s">
        <v>75</v>
      </c>
      <c r="U808" s="21" t="s">
        <v>53</v>
      </c>
      <c r="V808" s="22">
        <v>46</v>
      </c>
      <c r="W808" s="22">
        <v>6</v>
      </c>
      <c r="X808" s="23"/>
    </row>
    <row r="809" spans="1:24" s="1" customFormat="1" ht="11" customHeight="1" x14ac:dyDescent="0.3">
      <c r="A809" s="24" t="s">
        <v>23</v>
      </c>
      <c r="B809" s="24" t="s">
        <v>825</v>
      </c>
      <c r="C809" s="12" t="s">
        <v>895</v>
      </c>
      <c r="D809" s="58"/>
      <c r="E809" s="43" t="str">
        <f t="shared" si="40"/>
        <v>Еще фото</v>
      </c>
      <c r="F809" s="14" t="s">
        <v>182</v>
      </c>
      <c r="G809" s="24" t="s">
        <v>237</v>
      </c>
      <c r="H809" s="24" t="s">
        <v>27</v>
      </c>
      <c r="I809" s="24" t="s">
        <v>237</v>
      </c>
      <c r="J809" s="15" t="s">
        <v>28</v>
      </c>
      <c r="K809" s="16" t="s">
        <v>57</v>
      </c>
      <c r="L809" s="61"/>
      <c r="M809" s="15"/>
      <c r="N809" s="15" t="s">
        <v>130</v>
      </c>
      <c r="O809" s="15"/>
      <c r="P809" s="16" t="s">
        <v>172</v>
      </c>
      <c r="Q809" s="17">
        <v>10899</v>
      </c>
      <c r="R809" s="18">
        <v>45</v>
      </c>
      <c r="S809" s="19">
        <v>6893.6174999999994</v>
      </c>
      <c r="T809" s="20" t="s">
        <v>75</v>
      </c>
      <c r="U809" s="21" t="s">
        <v>109</v>
      </c>
      <c r="V809" s="25" t="s">
        <v>65</v>
      </c>
      <c r="W809" s="22">
        <v>14</v>
      </c>
      <c r="X809" s="23"/>
    </row>
    <row r="810" spans="1:24" s="1" customFormat="1" ht="11" customHeight="1" x14ac:dyDescent="0.3">
      <c r="A810" s="24" t="s">
        <v>23</v>
      </c>
      <c r="B810" s="24" t="s">
        <v>825</v>
      </c>
      <c r="C810" s="12" t="s">
        <v>895</v>
      </c>
      <c r="D810" s="58"/>
      <c r="E810" s="43" t="str">
        <f t="shared" si="40"/>
        <v>Еще фото</v>
      </c>
      <c r="F810" s="14" t="s">
        <v>182</v>
      </c>
      <c r="G810" s="24" t="s">
        <v>237</v>
      </c>
      <c r="H810" s="24" t="s">
        <v>27</v>
      </c>
      <c r="I810" s="24" t="s">
        <v>237</v>
      </c>
      <c r="J810" s="15" t="s">
        <v>28</v>
      </c>
      <c r="K810" s="16" t="s">
        <v>57</v>
      </c>
      <c r="L810" s="61"/>
      <c r="M810" s="15"/>
      <c r="N810" s="15" t="s">
        <v>130</v>
      </c>
      <c r="O810" s="15"/>
      <c r="P810" s="16" t="s">
        <v>172</v>
      </c>
      <c r="Q810" s="17">
        <v>10899</v>
      </c>
      <c r="R810" s="18">
        <v>45</v>
      </c>
      <c r="S810" s="19">
        <v>6893.6174999999994</v>
      </c>
      <c r="T810" s="20" t="s">
        <v>75</v>
      </c>
      <c r="U810" s="21" t="s">
        <v>140</v>
      </c>
      <c r="V810" s="25" t="s">
        <v>65</v>
      </c>
      <c r="W810" s="22">
        <v>6</v>
      </c>
      <c r="X810" s="23"/>
    </row>
    <row r="811" spans="1:24" s="1" customFormat="1" ht="11" customHeight="1" x14ac:dyDescent="0.3">
      <c r="A811" s="24" t="s">
        <v>23</v>
      </c>
      <c r="B811" s="24" t="s">
        <v>825</v>
      </c>
      <c r="C811" s="12" t="s">
        <v>895</v>
      </c>
      <c r="D811" s="58"/>
      <c r="E811" s="43" t="str">
        <f t="shared" si="40"/>
        <v>Еще фото</v>
      </c>
      <c r="F811" s="14" t="s">
        <v>182</v>
      </c>
      <c r="G811" s="24" t="s">
        <v>237</v>
      </c>
      <c r="H811" s="24" t="s">
        <v>27</v>
      </c>
      <c r="I811" s="24" t="s">
        <v>237</v>
      </c>
      <c r="J811" s="15" t="s">
        <v>28</v>
      </c>
      <c r="K811" s="16" t="s">
        <v>57</v>
      </c>
      <c r="L811" s="61"/>
      <c r="M811" s="15"/>
      <c r="N811" s="15" t="s">
        <v>130</v>
      </c>
      <c r="O811" s="15"/>
      <c r="P811" s="16" t="s">
        <v>172</v>
      </c>
      <c r="Q811" s="17">
        <v>10899</v>
      </c>
      <c r="R811" s="18">
        <v>45</v>
      </c>
      <c r="S811" s="19">
        <v>6893.6174999999994</v>
      </c>
      <c r="T811" s="20" t="s">
        <v>75</v>
      </c>
      <c r="U811" s="21" t="s">
        <v>165</v>
      </c>
      <c r="V811" s="22">
        <v>48</v>
      </c>
      <c r="W811" s="22">
        <v>20</v>
      </c>
      <c r="X811" s="23"/>
    </row>
    <row r="812" spans="1:24" s="1" customFormat="1" ht="11" customHeight="1" x14ac:dyDescent="0.3">
      <c r="A812" s="24" t="s">
        <v>23</v>
      </c>
      <c r="B812" s="24" t="s">
        <v>825</v>
      </c>
      <c r="C812" s="12" t="s">
        <v>895</v>
      </c>
      <c r="D812" s="58"/>
      <c r="E812" s="43" t="str">
        <f t="shared" si="40"/>
        <v>Еще фото</v>
      </c>
      <c r="F812" s="14" t="s">
        <v>182</v>
      </c>
      <c r="G812" s="24" t="s">
        <v>237</v>
      </c>
      <c r="H812" s="24" t="s">
        <v>27</v>
      </c>
      <c r="I812" s="24" t="s">
        <v>237</v>
      </c>
      <c r="J812" s="15" t="s">
        <v>28</v>
      </c>
      <c r="K812" s="16" t="s">
        <v>57</v>
      </c>
      <c r="L812" s="61"/>
      <c r="M812" s="15"/>
      <c r="N812" s="15" t="s">
        <v>130</v>
      </c>
      <c r="O812" s="15"/>
      <c r="P812" s="16" t="s">
        <v>172</v>
      </c>
      <c r="Q812" s="17">
        <v>10899</v>
      </c>
      <c r="R812" s="18">
        <v>45</v>
      </c>
      <c r="S812" s="19">
        <v>6893.6174999999994</v>
      </c>
      <c r="T812" s="20" t="s">
        <v>75</v>
      </c>
      <c r="U812" s="21" t="s">
        <v>104</v>
      </c>
      <c r="V812" s="22">
        <v>48</v>
      </c>
      <c r="W812" s="22">
        <v>6</v>
      </c>
      <c r="X812" s="23"/>
    </row>
    <row r="813" spans="1:24" s="1" customFormat="1" ht="11" customHeight="1" x14ac:dyDescent="0.3">
      <c r="A813" s="24" t="s">
        <v>23</v>
      </c>
      <c r="B813" s="24" t="s">
        <v>825</v>
      </c>
      <c r="C813" s="12" t="s">
        <v>895</v>
      </c>
      <c r="D813" s="58"/>
      <c r="E813" s="43" t="str">
        <f t="shared" si="40"/>
        <v>Еще фото</v>
      </c>
      <c r="F813" s="14" t="s">
        <v>182</v>
      </c>
      <c r="G813" s="24" t="s">
        <v>237</v>
      </c>
      <c r="H813" s="24" t="s">
        <v>27</v>
      </c>
      <c r="I813" s="24" t="s">
        <v>237</v>
      </c>
      <c r="J813" s="15" t="s">
        <v>28</v>
      </c>
      <c r="K813" s="16" t="s">
        <v>57</v>
      </c>
      <c r="L813" s="61"/>
      <c r="M813" s="15"/>
      <c r="N813" s="15" t="s">
        <v>130</v>
      </c>
      <c r="O813" s="15"/>
      <c r="P813" s="16" t="s">
        <v>172</v>
      </c>
      <c r="Q813" s="17">
        <v>10899</v>
      </c>
      <c r="R813" s="18">
        <v>45</v>
      </c>
      <c r="S813" s="19">
        <v>6893.6174999999994</v>
      </c>
      <c r="T813" s="20" t="s">
        <v>75</v>
      </c>
      <c r="U813" s="21" t="s">
        <v>166</v>
      </c>
      <c r="V813" s="25" t="s">
        <v>96</v>
      </c>
      <c r="W813" s="22">
        <v>14</v>
      </c>
      <c r="X813" s="23"/>
    </row>
    <row r="814" spans="1:24" s="1" customFormat="1" ht="11" customHeight="1" x14ac:dyDescent="0.3">
      <c r="A814" s="24" t="s">
        <v>23</v>
      </c>
      <c r="B814" s="24" t="s">
        <v>825</v>
      </c>
      <c r="C814" s="12" t="s">
        <v>895</v>
      </c>
      <c r="D814" s="58"/>
      <c r="E814" s="43" t="str">
        <f t="shared" si="40"/>
        <v>Еще фото</v>
      </c>
      <c r="F814" s="14" t="s">
        <v>182</v>
      </c>
      <c r="G814" s="24" t="s">
        <v>237</v>
      </c>
      <c r="H814" s="24" t="s">
        <v>27</v>
      </c>
      <c r="I814" s="24" t="s">
        <v>237</v>
      </c>
      <c r="J814" s="15" t="s">
        <v>28</v>
      </c>
      <c r="K814" s="16" t="s">
        <v>57</v>
      </c>
      <c r="L814" s="61"/>
      <c r="M814" s="15"/>
      <c r="N814" s="15" t="s">
        <v>130</v>
      </c>
      <c r="O814" s="15"/>
      <c r="P814" s="16" t="s">
        <v>172</v>
      </c>
      <c r="Q814" s="17">
        <v>10899</v>
      </c>
      <c r="R814" s="18">
        <v>45</v>
      </c>
      <c r="S814" s="19">
        <v>6893.6174999999994</v>
      </c>
      <c r="T814" s="20" t="s">
        <v>75</v>
      </c>
      <c r="U814" s="21" t="s">
        <v>359</v>
      </c>
      <c r="V814" s="25" t="s">
        <v>96</v>
      </c>
      <c r="W814" s="22">
        <v>5</v>
      </c>
      <c r="X814" s="23"/>
    </row>
    <row r="815" spans="1:24" s="1" customFormat="1" ht="11" customHeight="1" x14ac:dyDescent="0.3">
      <c r="A815" s="24" t="s">
        <v>23</v>
      </c>
      <c r="B815" s="24" t="s">
        <v>825</v>
      </c>
      <c r="C815" s="12" t="s">
        <v>895</v>
      </c>
      <c r="D815" s="58"/>
      <c r="E815" s="43" t="str">
        <f t="shared" si="40"/>
        <v>Еще фото</v>
      </c>
      <c r="F815" s="14" t="s">
        <v>182</v>
      </c>
      <c r="G815" s="24" t="s">
        <v>237</v>
      </c>
      <c r="H815" s="24" t="s">
        <v>27</v>
      </c>
      <c r="I815" s="24" t="s">
        <v>237</v>
      </c>
      <c r="J815" s="15" t="s">
        <v>28</v>
      </c>
      <c r="K815" s="16" t="s">
        <v>57</v>
      </c>
      <c r="L815" s="61"/>
      <c r="M815" s="15"/>
      <c r="N815" s="15" t="s">
        <v>130</v>
      </c>
      <c r="O815" s="15"/>
      <c r="P815" s="16" t="s">
        <v>172</v>
      </c>
      <c r="Q815" s="17">
        <v>10899</v>
      </c>
      <c r="R815" s="18">
        <v>45</v>
      </c>
      <c r="S815" s="19">
        <v>6893.6174999999994</v>
      </c>
      <c r="T815" s="20" t="s">
        <v>75</v>
      </c>
      <c r="U815" s="21" t="s">
        <v>89</v>
      </c>
      <c r="V815" s="22">
        <v>50</v>
      </c>
      <c r="W815" s="22">
        <v>12</v>
      </c>
      <c r="X815" s="23"/>
    </row>
    <row r="816" spans="1:24" s="1" customFormat="1" ht="11" customHeight="1" x14ac:dyDescent="0.3">
      <c r="A816" s="24" t="s">
        <v>23</v>
      </c>
      <c r="B816" s="24" t="s">
        <v>825</v>
      </c>
      <c r="C816" s="12" t="s">
        <v>895</v>
      </c>
      <c r="D816" s="58"/>
      <c r="E816" s="43" t="str">
        <f t="shared" si="40"/>
        <v>Еще фото</v>
      </c>
      <c r="F816" s="14" t="s">
        <v>182</v>
      </c>
      <c r="G816" s="24" t="s">
        <v>237</v>
      </c>
      <c r="H816" s="24" t="s">
        <v>27</v>
      </c>
      <c r="I816" s="24" t="s">
        <v>237</v>
      </c>
      <c r="J816" s="15" t="s">
        <v>28</v>
      </c>
      <c r="K816" s="16" t="s">
        <v>57</v>
      </c>
      <c r="L816" s="61"/>
      <c r="M816" s="15"/>
      <c r="N816" s="15" t="s">
        <v>130</v>
      </c>
      <c r="O816" s="15"/>
      <c r="P816" s="16" t="s">
        <v>172</v>
      </c>
      <c r="Q816" s="17">
        <v>10899</v>
      </c>
      <c r="R816" s="18">
        <v>45</v>
      </c>
      <c r="S816" s="19">
        <v>6893.6174999999994</v>
      </c>
      <c r="T816" s="20" t="s">
        <v>75</v>
      </c>
      <c r="U816" s="21" t="s">
        <v>100</v>
      </c>
      <c r="V816" s="22">
        <v>50</v>
      </c>
      <c r="W816" s="22">
        <v>6</v>
      </c>
      <c r="X816" s="23"/>
    </row>
    <row r="817" spans="1:24" s="1" customFormat="1" ht="11" customHeight="1" x14ac:dyDescent="0.3">
      <c r="A817" s="15" t="s">
        <v>23</v>
      </c>
      <c r="B817" s="15" t="s">
        <v>825</v>
      </c>
      <c r="C817" s="12" t="s">
        <v>895</v>
      </c>
      <c r="D817" s="59"/>
      <c r="E817" s="43" t="str">
        <f t="shared" si="40"/>
        <v>Еще фото</v>
      </c>
      <c r="F817" s="26" t="s">
        <v>182</v>
      </c>
      <c r="G817" s="15" t="s">
        <v>237</v>
      </c>
      <c r="H817" s="15" t="s">
        <v>27</v>
      </c>
      <c r="I817" s="15" t="s">
        <v>237</v>
      </c>
      <c r="J817" s="15" t="s">
        <v>28</v>
      </c>
      <c r="K817" s="15" t="s">
        <v>57</v>
      </c>
      <c r="L817" s="62"/>
      <c r="M817" s="15"/>
      <c r="N817" s="15" t="s">
        <v>130</v>
      </c>
      <c r="O817" s="15"/>
      <c r="P817" s="15" t="s">
        <v>172</v>
      </c>
      <c r="Q817" s="27">
        <v>10899</v>
      </c>
      <c r="R817" s="28">
        <v>45</v>
      </c>
      <c r="S817" s="29">
        <v>6893.6174999999994</v>
      </c>
      <c r="T817" s="20" t="s">
        <v>75</v>
      </c>
      <c r="U817" s="21" t="s">
        <v>865</v>
      </c>
      <c r="V817" s="22">
        <v>52</v>
      </c>
      <c r="W817" s="22">
        <v>10</v>
      </c>
      <c r="X817" s="23"/>
    </row>
    <row r="818" spans="1:24" s="1" customFormat="1" ht="14" customHeight="1" x14ac:dyDescent="0.3">
      <c r="A818" s="11" t="s">
        <v>23</v>
      </c>
      <c r="B818" s="11" t="s">
        <v>896</v>
      </c>
      <c r="C818" s="12" t="s">
        <v>897</v>
      </c>
      <c r="D818" s="57"/>
      <c r="E818" s="43" t="str">
        <f t="shared" ref="E818:E824" si="41">HYPERLINK("https://www.google.ru/search?q=00501-3783&amp;newwindow=1&amp;tbm=isch","Еще фото")</f>
        <v>Еще фото</v>
      </c>
      <c r="F818" s="34" t="s">
        <v>469</v>
      </c>
      <c r="G818" s="11" t="s">
        <v>237</v>
      </c>
      <c r="H818" s="11" t="s">
        <v>27</v>
      </c>
      <c r="I818" s="15" t="s">
        <v>237</v>
      </c>
      <c r="J818" s="15" t="s">
        <v>37</v>
      </c>
      <c r="K818" s="16" t="s">
        <v>57</v>
      </c>
      <c r="L818" s="60" t="s">
        <v>827</v>
      </c>
      <c r="M818" s="15"/>
      <c r="N818" s="15" t="s">
        <v>39</v>
      </c>
      <c r="O818" s="15"/>
      <c r="P818" s="16" t="s">
        <v>172</v>
      </c>
      <c r="Q818" s="17">
        <v>16999</v>
      </c>
      <c r="R818" s="18">
        <v>45</v>
      </c>
      <c r="S818" s="19">
        <v>10751.8675</v>
      </c>
      <c r="T818" s="20" t="s">
        <v>75</v>
      </c>
      <c r="U818" s="21" t="s">
        <v>53</v>
      </c>
      <c r="V818" s="22">
        <v>46</v>
      </c>
      <c r="W818" s="22">
        <v>17</v>
      </c>
      <c r="X818" s="23"/>
    </row>
    <row r="819" spans="1:24" s="1" customFormat="1" ht="14" customHeight="1" x14ac:dyDescent="0.3">
      <c r="A819" s="24" t="s">
        <v>23</v>
      </c>
      <c r="B819" s="24" t="s">
        <v>896</v>
      </c>
      <c r="C819" s="12" t="s">
        <v>897</v>
      </c>
      <c r="D819" s="58"/>
      <c r="E819" s="43" t="str">
        <f t="shared" si="41"/>
        <v>Еще фото</v>
      </c>
      <c r="F819" s="34" t="s">
        <v>469</v>
      </c>
      <c r="G819" s="24" t="s">
        <v>237</v>
      </c>
      <c r="H819" s="24" t="s">
        <v>27</v>
      </c>
      <c r="I819" s="24" t="s">
        <v>237</v>
      </c>
      <c r="J819" s="15" t="s">
        <v>37</v>
      </c>
      <c r="K819" s="16" t="s">
        <v>57</v>
      </c>
      <c r="L819" s="61"/>
      <c r="M819" s="15"/>
      <c r="N819" s="15" t="s">
        <v>39</v>
      </c>
      <c r="O819" s="15"/>
      <c r="P819" s="16" t="s">
        <v>172</v>
      </c>
      <c r="Q819" s="17">
        <v>16999</v>
      </c>
      <c r="R819" s="18">
        <v>45</v>
      </c>
      <c r="S819" s="19">
        <v>10751.8675</v>
      </c>
      <c r="T819" s="20" t="s">
        <v>75</v>
      </c>
      <c r="U819" s="21" t="s">
        <v>109</v>
      </c>
      <c r="V819" s="25" t="s">
        <v>65</v>
      </c>
      <c r="W819" s="22">
        <v>10</v>
      </c>
      <c r="X819" s="23"/>
    </row>
    <row r="820" spans="1:24" s="1" customFormat="1" ht="14" customHeight="1" x14ac:dyDescent="0.3">
      <c r="A820" s="24" t="s">
        <v>23</v>
      </c>
      <c r="B820" s="24" t="s">
        <v>896</v>
      </c>
      <c r="C820" s="12" t="s">
        <v>897</v>
      </c>
      <c r="D820" s="58"/>
      <c r="E820" s="43" t="str">
        <f t="shared" si="41"/>
        <v>Еще фото</v>
      </c>
      <c r="F820" s="34" t="s">
        <v>469</v>
      </c>
      <c r="G820" s="24" t="s">
        <v>237</v>
      </c>
      <c r="H820" s="24" t="s">
        <v>27</v>
      </c>
      <c r="I820" s="24" t="s">
        <v>237</v>
      </c>
      <c r="J820" s="15" t="s">
        <v>37</v>
      </c>
      <c r="K820" s="16" t="s">
        <v>57</v>
      </c>
      <c r="L820" s="61"/>
      <c r="M820" s="15"/>
      <c r="N820" s="15" t="s">
        <v>39</v>
      </c>
      <c r="O820" s="15"/>
      <c r="P820" s="16" t="s">
        <v>172</v>
      </c>
      <c r="Q820" s="17">
        <v>16999</v>
      </c>
      <c r="R820" s="18">
        <v>45</v>
      </c>
      <c r="S820" s="19">
        <v>10751.8675</v>
      </c>
      <c r="T820" s="20" t="s">
        <v>75</v>
      </c>
      <c r="U820" s="21" t="s">
        <v>165</v>
      </c>
      <c r="V820" s="22">
        <v>48</v>
      </c>
      <c r="W820" s="22">
        <v>12</v>
      </c>
      <c r="X820" s="23"/>
    </row>
    <row r="821" spans="1:24" s="1" customFormat="1" ht="14" customHeight="1" x14ac:dyDescent="0.3">
      <c r="A821" s="24" t="s">
        <v>23</v>
      </c>
      <c r="B821" s="24" t="s">
        <v>896</v>
      </c>
      <c r="C821" s="12" t="s">
        <v>897</v>
      </c>
      <c r="D821" s="58"/>
      <c r="E821" s="43" t="str">
        <f t="shared" si="41"/>
        <v>Еще фото</v>
      </c>
      <c r="F821" s="34" t="s">
        <v>469</v>
      </c>
      <c r="G821" s="24" t="s">
        <v>237</v>
      </c>
      <c r="H821" s="24" t="s">
        <v>27</v>
      </c>
      <c r="I821" s="24" t="s">
        <v>237</v>
      </c>
      <c r="J821" s="15" t="s">
        <v>37</v>
      </c>
      <c r="K821" s="16" t="s">
        <v>57</v>
      </c>
      <c r="L821" s="61"/>
      <c r="M821" s="15"/>
      <c r="N821" s="15" t="s">
        <v>39</v>
      </c>
      <c r="O821" s="15"/>
      <c r="P821" s="16" t="s">
        <v>172</v>
      </c>
      <c r="Q821" s="17">
        <v>16999</v>
      </c>
      <c r="R821" s="18">
        <v>45</v>
      </c>
      <c r="S821" s="19">
        <v>10751.8675</v>
      </c>
      <c r="T821" s="20" t="s">
        <v>75</v>
      </c>
      <c r="U821" s="21" t="s">
        <v>104</v>
      </c>
      <c r="V821" s="22">
        <v>48</v>
      </c>
      <c r="W821" s="22">
        <v>8</v>
      </c>
      <c r="X821" s="23"/>
    </row>
    <row r="822" spans="1:24" s="1" customFormat="1" ht="14" customHeight="1" x14ac:dyDescent="0.3">
      <c r="A822" s="24" t="s">
        <v>23</v>
      </c>
      <c r="B822" s="24" t="s">
        <v>896</v>
      </c>
      <c r="C822" s="12" t="s">
        <v>897</v>
      </c>
      <c r="D822" s="58"/>
      <c r="E822" s="43" t="str">
        <f t="shared" si="41"/>
        <v>Еще фото</v>
      </c>
      <c r="F822" s="34" t="s">
        <v>469</v>
      </c>
      <c r="G822" s="24" t="s">
        <v>237</v>
      </c>
      <c r="H822" s="24" t="s">
        <v>27</v>
      </c>
      <c r="I822" s="24" t="s">
        <v>237</v>
      </c>
      <c r="J822" s="15" t="s">
        <v>37</v>
      </c>
      <c r="K822" s="16" t="s">
        <v>57</v>
      </c>
      <c r="L822" s="61"/>
      <c r="M822" s="15"/>
      <c r="N822" s="15" t="s">
        <v>39</v>
      </c>
      <c r="O822" s="15"/>
      <c r="P822" s="16" t="s">
        <v>172</v>
      </c>
      <c r="Q822" s="17">
        <v>16999</v>
      </c>
      <c r="R822" s="18">
        <v>45</v>
      </c>
      <c r="S822" s="19">
        <v>10751.8675</v>
      </c>
      <c r="T822" s="20" t="s">
        <v>75</v>
      </c>
      <c r="U822" s="21" t="s">
        <v>166</v>
      </c>
      <c r="V822" s="25" t="s">
        <v>96</v>
      </c>
      <c r="W822" s="22">
        <v>6</v>
      </c>
      <c r="X822" s="23"/>
    </row>
    <row r="823" spans="1:24" s="1" customFormat="1" ht="14" customHeight="1" x14ac:dyDescent="0.3">
      <c r="A823" s="24" t="s">
        <v>23</v>
      </c>
      <c r="B823" s="24" t="s">
        <v>896</v>
      </c>
      <c r="C823" s="12" t="s">
        <v>897</v>
      </c>
      <c r="D823" s="58"/>
      <c r="E823" s="43" t="str">
        <f t="shared" si="41"/>
        <v>Еще фото</v>
      </c>
      <c r="F823" s="34" t="s">
        <v>469</v>
      </c>
      <c r="G823" s="24" t="s">
        <v>237</v>
      </c>
      <c r="H823" s="24" t="s">
        <v>27</v>
      </c>
      <c r="I823" s="24" t="s">
        <v>237</v>
      </c>
      <c r="J823" s="15" t="s">
        <v>37</v>
      </c>
      <c r="K823" s="16" t="s">
        <v>57</v>
      </c>
      <c r="L823" s="61"/>
      <c r="M823" s="15"/>
      <c r="N823" s="15" t="s">
        <v>39</v>
      </c>
      <c r="O823" s="15"/>
      <c r="P823" s="16" t="s">
        <v>172</v>
      </c>
      <c r="Q823" s="17">
        <v>16999</v>
      </c>
      <c r="R823" s="18">
        <v>45</v>
      </c>
      <c r="S823" s="19">
        <v>10751.8675</v>
      </c>
      <c r="T823" s="20" t="s">
        <v>75</v>
      </c>
      <c r="U823" s="21" t="s">
        <v>89</v>
      </c>
      <c r="V823" s="22">
        <v>50</v>
      </c>
      <c r="W823" s="22">
        <v>4</v>
      </c>
      <c r="X823" s="23"/>
    </row>
    <row r="824" spans="1:24" s="1" customFormat="1" ht="17" customHeight="1" x14ac:dyDescent="0.3">
      <c r="A824" s="24" t="s">
        <v>23</v>
      </c>
      <c r="B824" s="24" t="s">
        <v>896</v>
      </c>
      <c r="C824" s="12" t="s">
        <v>897</v>
      </c>
      <c r="D824" s="59"/>
      <c r="E824" s="43" t="str">
        <f t="shared" si="41"/>
        <v>Еще фото</v>
      </c>
      <c r="F824" s="34" t="s">
        <v>469</v>
      </c>
      <c r="G824" s="24" t="s">
        <v>237</v>
      </c>
      <c r="H824" s="24" t="s">
        <v>27</v>
      </c>
      <c r="I824" s="24" t="s">
        <v>237</v>
      </c>
      <c r="J824" s="15" t="s">
        <v>37</v>
      </c>
      <c r="K824" s="16" t="s">
        <v>57</v>
      </c>
      <c r="L824" s="62"/>
      <c r="M824" s="15"/>
      <c r="N824" s="15" t="s">
        <v>39</v>
      </c>
      <c r="O824" s="15"/>
      <c r="P824" s="16" t="s">
        <v>172</v>
      </c>
      <c r="Q824" s="17">
        <v>16999</v>
      </c>
      <c r="R824" s="18">
        <v>45</v>
      </c>
      <c r="S824" s="19">
        <v>10751.8675</v>
      </c>
      <c r="T824" s="20" t="s">
        <v>75</v>
      </c>
      <c r="U824" s="21" t="s">
        <v>100</v>
      </c>
      <c r="V824" s="22">
        <v>50</v>
      </c>
      <c r="W824" s="22">
        <v>7</v>
      </c>
      <c r="X824" s="23"/>
    </row>
    <row r="825" spans="1:24" s="1" customFormat="1" ht="17" customHeight="1" x14ac:dyDescent="0.3">
      <c r="A825" s="11" t="s">
        <v>23</v>
      </c>
      <c r="B825" s="11" t="s">
        <v>879</v>
      </c>
      <c r="C825" s="12" t="s">
        <v>898</v>
      </c>
      <c r="D825" s="57"/>
      <c r="E825" s="43" t="str">
        <f t="shared" ref="E825:E830" si="42">HYPERLINK("https://www.google.ru/search?q=00501-3785&amp;newwindow=1&amp;tbm=isch","Еще фото")</f>
        <v>Еще фото</v>
      </c>
      <c r="F825" s="34" t="s">
        <v>469</v>
      </c>
      <c r="G825" s="11" t="s">
        <v>237</v>
      </c>
      <c r="H825" s="11" t="s">
        <v>27</v>
      </c>
      <c r="I825" s="15" t="s">
        <v>237</v>
      </c>
      <c r="J825" s="15" t="s">
        <v>37</v>
      </c>
      <c r="K825" s="16" t="s">
        <v>57</v>
      </c>
      <c r="L825" s="60" t="s">
        <v>881</v>
      </c>
      <c r="M825" s="15"/>
      <c r="N825" s="15" t="s">
        <v>130</v>
      </c>
      <c r="O825" s="15"/>
      <c r="P825" s="16" t="s">
        <v>172</v>
      </c>
      <c r="Q825" s="17">
        <v>15199</v>
      </c>
      <c r="R825" s="18">
        <v>45</v>
      </c>
      <c r="S825" s="19">
        <v>9613.3675000000003</v>
      </c>
      <c r="T825" s="20" t="s">
        <v>75</v>
      </c>
      <c r="U825" s="21" t="s">
        <v>53</v>
      </c>
      <c r="V825" s="22">
        <v>46</v>
      </c>
      <c r="W825" s="22">
        <v>4</v>
      </c>
      <c r="X825" s="23"/>
    </row>
    <row r="826" spans="1:24" s="1" customFormat="1" ht="17" customHeight="1" x14ac:dyDescent="0.3">
      <c r="A826" s="24" t="s">
        <v>23</v>
      </c>
      <c r="B826" s="24" t="s">
        <v>879</v>
      </c>
      <c r="C826" s="12" t="s">
        <v>898</v>
      </c>
      <c r="D826" s="58"/>
      <c r="E826" s="43" t="str">
        <f t="shared" si="42"/>
        <v>Еще фото</v>
      </c>
      <c r="F826" s="34" t="s">
        <v>469</v>
      </c>
      <c r="G826" s="24" t="s">
        <v>237</v>
      </c>
      <c r="H826" s="24" t="s">
        <v>27</v>
      </c>
      <c r="I826" s="24" t="s">
        <v>237</v>
      </c>
      <c r="J826" s="15" t="s">
        <v>37</v>
      </c>
      <c r="K826" s="16" t="s">
        <v>57</v>
      </c>
      <c r="L826" s="61"/>
      <c r="M826" s="15"/>
      <c r="N826" s="15" t="s">
        <v>130</v>
      </c>
      <c r="O826" s="15"/>
      <c r="P826" s="16" t="s">
        <v>172</v>
      </c>
      <c r="Q826" s="17">
        <v>15199</v>
      </c>
      <c r="R826" s="18">
        <v>45</v>
      </c>
      <c r="S826" s="19">
        <v>9613.3675000000003</v>
      </c>
      <c r="T826" s="20" t="s">
        <v>75</v>
      </c>
      <c r="U826" s="21" t="s">
        <v>109</v>
      </c>
      <c r="V826" s="25" t="s">
        <v>65</v>
      </c>
      <c r="W826" s="22">
        <v>3</v>
      </c>
      <c r="X826" s="23"/>
    </row>
    <row r="827" spans="1:24" s="1" customFormat="1" ht="17" customHeight="1" x14ac:dyDescent="0.3">
      <c r="A827" s="24" t="s">
        <v>23</v>
      </c>
      <c r="B827" s="24" t="s">
        <v>879</v>
      </c>
      <c r="C827" s="12" t="s">
        <v>898</v>
      </c>
      <c r="D827" s="58"/>
      <c r="E827" s="43" t="str">
        <f t="shared" si="42"/>
        <v>Еще фото</v>
      </c>
      <c r="F827" s="34" t="s">
        <v>469</v>
      </c>
      <c r="G827" s="24" t="s">
        <v>237</v>
      </c>
      <c r="H827" s="24" t="s">
        <v>27</v>
      </c>
      <c r="I827" s="24" t="s">
        <v>237</v>
      </c>
      <c r="J827" s="15" t="s">
        <v>37</v>
      </c>
      <c r="K827" s="16" t="s">
        <v>57</v>
      </c>
      <c r="L827" s="61"/>
      <c r="M827" s="15"/>
      <c r="N827" s="15" t="s">
        <v>130</v>
      </c>
      <c r="O827" s="15"/>
      <c r="P827" s="16" t="s">
        <v>172</v>
      </c>
      <c r="Q827" s="17">
        <v>15199</v>
      </c>
      <c r="R827" s="18">
        <v>45</v>
      </c>
      <c r="S827" s="19">
        <v>9613.3675000000003</v>
      </c>
      <c r="T827" s="20" t="s">
        <v>75</v>
      </c>
      <c r="U827" s="21" t="s">
        <v>165</v>
      </c>
      <c r="V827" s="22">
        <v>48</v>
      </c>
      <c r="W827" s="22">
        <v>9</v>
      </c>
      <c r="X827" s="23"/>
    </row>
    <row r="828" spans="1:24" s="1" customFormat="1" ht="17" customHeight="1" x14ac:dyDescent="0.3">
      <c r="A828" s="24" t="s">
        <v>23</v>
      </c>
      <c r="B828" s="24" t="s">
        <v>879</v>
      </c>
      <c r="C828" s="12" t="s">
        <v>898</v>
      </c>
      <c r="D828" s="58"/>
      <c r="E828" s="43" t="str">
        <f t="shared" si="42"/>
        <v>Еще фото</v>
      </c>
      <c r="F828" s="34" t="s">
        <v>469</v>
      </c>
      <c r="G828" s="24" t="s">
        <v>237</v>
      </c>
      <c r="H828" s="24" t="s">
        <v>27</v>
      </c>
      <c r="I828" s="24" t="s">
        <v>237</v>
      </c>
      <c r="J828" s="15" t="s">
        <v>37</v>
      </c>
      <c r="K828" s="16" t="s">
        <v>57</v>
      </c>
      <c r="L828" s="61"/>
      <c r="M828" s="15"/>
      <c r="N828" s="15" t="s">
        <v>130</v>
      </c>
      <c r="O828" s="15"/>
      <c r="P828" s="16" t="s">
        <v>172</v>
      </c>
      <c r="Q828" s="17">
        <v>15199</v>
      </c>
      <c r="R828" s="18">
        <v>45</v>
      </c>
      <c r="S828" s="19">
        <v>9613.3675000000003</v>
      </c>
      <c r="T828" s="20" t="s">
        <v>75</v>
      </c>
      <c r="U828" s="21" t="s">
        <v>166</v>
      </c>
      <c r="V828" s="25" t="s">
        <v>96</v>
      </c>
      <c r="W828" s="22">
        <v>3</v>
      </c>
      <c r="X828" s="23"/>
    </row>
    <row r="829" spans="1:24" s="1" customFormat="1" ht="17" customHeight="1" x14ac:dyDescent="0.3">
      <c r="A829" s="24" t="s">
        <v>23</v>
      </c>
      <c r="B829" s="24" t="s">
        <v>879</v>
      </c>
      <c r="C829" s="12" t="s">
        <v>898</v>
      </c>
      <c r="D829" s="58"/>
      <c r="E829" s="43" t="str">
        <f t="shared" si="42"/>
        <v>Еще фото</v>
      </c>
      <c r="F829" s="34" t="s">
        <v>469</v>
      </c>
      <c r="G829" s="24" t="s">
        <v>237</v>
      </c>
      <c r="H829" s="24" t="s">
        <v>27</v>
      </c>
      <c r="I829" s="24" t="s">
        <v>237</v>
      </c>
      <c r="J829" s="15" t="s">
        <v>37</v>
      </c>
      <c r="K829" s="16" t="s">
        <v>57</v>
      </c>
      <c r="L829" s="61"/>
      <c r="M829" s="15"/>
      <c r="N829" s="15" t="s">
        <v>130</v>
      </c>
      <c r="O829" s="15"/>
      <c r="P829" s="16" t="s">
        <v>172</v>
      </c>
      <c r="Q829" s="17">
        <v>15199</v>
      </c>
      <c r="R829" s="18">
        <v>45</v>
      </c>
      <c r="S829" s="19">
        <v>9613.3675000000003</v>
      </c>
      <c r="T829" s="20" t="s">
        <v>75</v>
      </c>
      <c r="U829" s="21" t="s">
        <v>89</v>
      </c>
      <c r="V829" s="22">
        <v>50</v>
      </c>
      <c r="W829" s="22">
        <v>2</v>
      </c>
      <c r="X829" s="23"/>
    </row>
    <row r="830" spans="1:24" s="1" customFormat="1" ht="22.05" customHeight="1" x14ac:dyDescent="0.3">
      <c r="A830" s="24" t="s">
        <v>23</v>
      </c>
      <c r="B830" s="24" t="s">
        <v>879</v>
      </c>
      <c r="C830" s="12" t="s">
        <v>898</v>
      </c>
      <c r="D830" s="59"/>
      <c r="E830" s="43" t="str">
        <f t="shared" si="42"/>
        <v>Еще фото</v>
      </c>
      <c r="F830" s="34" t="s">
        <v>469</v>
      </c>
      <c r="G830" s="24" t="s">
        <v>237</v>
      </c>
      <c r="H830" s="24" t="s">
        <v>27</v>
      </c>
      <c r="I830" s="24" t="s">
        <v>237</v>
      </c>
      <c r="J830" s="15" t="s">
        <v>37</v>
      </c>
      <c r="K830" s="16" t="s">
        <v>57</v>
      </c>
      <c r="L830" s="62"/>
      <c r="M830" s="15"/>
      <c r="N830" s="15" t="s">
        <v>130</v>
      </c>
      <c r="O830" s="15"/>
      <c r="P830" s="16" t="s">
        <v>172</v>
      </c>
      <c r="Q830" s="17">
        <v>15199</v>
      </c>
      <c r="R830" s="18">
        <v>45</v>
      </c>
      <c r="S830" s="19">
        <v>9613.3675000000003</v>
      </c>
      <c r="T830" s="20" t="s">
        <v>75</v>
      </c>
      <c r="U830" s="21" t="s">
        <v>167</v>
      </c>
      <c r="V830" s="22">
        <v>52</v>
      </c>
      <c r="W830" s="22">
        <v>1</v>
      </c>
      <c r="X830" s="23"/>
    </row>
    <row r="831" spans="1:24" s="1" customFormat="1" ht="14" customHeight="1" x14ac:dyDescent="0.3">
      <c r="A831" s="11" t="s">
        <v>23</v>
      </c>
      <c r="B831" s="11" t="s">
        <v>896</v>
      </c>
      <c r="C831" s="12" t="s">
        <v>899</v>
      </c>
      <c r="D831" s="57"/>
      <c r="E831" s="43" t="str">
        <f t="shared" ref="E831:E837" si="43">HYPERLINK("https://www.google.ru/search?q=00501-3789&amp;newwindow=1&amp;tbm=isch","Еще фото")</f>
        <v>Еще фото</v>
      </c>
      <c r="F831" s="14"/>
      <c r="G831" s="11" t="s">
        <v>237</v>
      </c>
      <c r="H831" s="11" t="s">
        <v>27</v>
      </c>
      <c r="I831" s="15" t="s">
        <v>237</v>
      </c>
      <c r="J831" s="15" t="s">
        <v>37</v>
      </c>
      <c r="K831" s="16" t="s">
        <v>57</v>
      </c>
      <c r="L831" s="60" t="s">
        <v>855</v>
      </c>
      <c r="M831" s="15"/>
      <c r="N831" s="15" t="s">
        <v>39</v>
      </c>
      <c r="O831" s="15"/>
      <c r="P831" s="16" t="s">
        <v>172</v>
      </c>
      <c r="Q831" s="17">
        <v>9599</v>
      </c>
      <c r="R831" s="18">
        <v>45</v>
      </c>
      <c r="S831" s="19">
        <v>6071.3674999999994</v>
      </c>
      <c r="T831" s="20" t="s">
        <v>75</v>
      </c>
      <c r="U831" s="21" t="s">
        <v>53</v>
      </c>
      <c r="V831" s="22">
        <v>46</v>
      </c>
      <c r="W831" s="22">
        <v>18</v>
      </c>
      <c r="X831" s="23"/>
    </row>
    <row r="832" spans="1:24" s="1" customFormat="1" ht="14" customHeight="1" x14ac:dyDescent="0.3">
      <c r="A832" s="24" t="s">
        <v>23</v>
      </c>
      <c r="B832" s="24" t="s">
        <v>896</v>
      </c>
      <c r="C832" s="12" t="s">
        <v>899</v>
      </c>
      <c r="D832" s="58"/>
      <c r="E832" s="43" t="str">
        <f t="shared" si="43"/>
        <v>Еще фото</v>
      </c>
      <c r="F832" s="14"/>
      <c r="G832" s="24" t="s">
        <v>237</v>
      </c>
      <c r="H832" s="24" t="s">
        <v>27</v>
      </c>
      <c r="I832" s="24" t="s">
        <v>237</v>
      </c>
      <c r="J832" s="15" t="s">
        <v>37</v>
      </c>
      <c r="K832" s="16" t="s">
        <v>57</v>
      </c>
      <c r="L832" s="61"/>
      <c r="M832" s="15"/>
      <c r="N832" s="15" t="s">
        <v>39</v>
      </c>
      <c r="O832" s="15"/>
      <c r="P832" s="16" t="s">
        <v>172</v>
      </c>
      <c r="Q832" s="17">
        <v>9599</v>
      </c>
      <c r="R832" s="18">
        <v>45</v>
      </c>
      <c r="S832" s="19">
        <v>6071.3674999999994</v>
      </c>
      <c r="T832" s="20" t="s">
        <v>75</v>
      </c>
      <c r="U832" s="21" t="s">
        <v>109</v>
      </c>
      <c r="V832" s="25" t="s">
        <v>65</v>
      </c>
      <c r="W832" s="22">
        <v>18</v>
      </c>
      <c r="X832" s="23"/>
    </row>
    <row r="833" spans="1:24" s="1" customFormat="1" ht="14" customHeight="1" x14ac:dyDescent="0.3">
      <c r="A833" s="24" t="s">
        <v>23</v>
      </c>
      <c r="B833" s="24" t="s">
        <v>896</v>
      </c>
      <c r="C833" s="12" t="s">
        <v>899</v>
      </c>
      <c r="D833" s="58"/>
      <c r="E833" s="43" t="str">
        <f t="shared" si="43"/>
        <v>Еще фото</v>
      </c>
      <c r="F833" s="14"/>
      <c r="G833" s="24" t="s">
        <v>237</v>
      </c>
      <c r="H833" s="24" t="s">
        <v>27</v>
      </c>
      <c r="I833" s="24" t="s">
        <v>237</v>
      </c>
      <c r="J833" s="15" t="s">
        <v>37</v>
      </c>
      <c r="K833" s="16" t="s">
        <v>57</v>
      </c>
      <c r="L833" s="61"/>
      <c r="M833" s="15"/>
      <c r="N833" s="15" t="s">
        <v>39</v>
      </c>
      <c r="O833" s="15"/>
      <c r="P833" s="16" t="s">
        <v>172</v>
      </c>
      <c r="Q833" s="17">
        <v>9599</v>
      </c>
      <c r="R833" s="18">
        <v>45</v>
      </c>
      <c r="S833" s="19">
        <v>6071.3674999999994</v>
      </c>
      <c r="T833" s="20" t="s">
        <v>75</v>
      </c>
      <c r="U833" s="21" t="s">
        <v>165</v>
      </c>
      <c r="V833" s="22">
        <v>48</v>
      </c>
      <c r="W833" s="22">
        <v>22</v>
      </c>
      <c r="X833" s="23"/>
    </row>
    <row r="834" spans="1:24" s="1" customFormat="1" ht="14" customHeight="1" x14ac:dyDescent="0.3">
      <c r="A834" s="24" t="s">
        <v>23</v>
      </c>
      <c r="B834" s="24" t="s">
        <v>896</v>
      </c>
      <c r="C834" s="12" t="s">
        <v>899</v>
      </c>
      <c r="D834" s="58"/>
      <c r="E834" s="43" t="str">
        <f t="shared" si="43"/>
        <v>Еще фото</v>
      </c>
      <c r="F834" s="14"/>
      <c r="G834" s="24" t="s">
        <v>237</v>
      </c>
      <c r="H834" s="24" t="s">
        <v>27</v>
      </c>
      <c r="I834" s="24" t="s">
        <v>237</v>
      </c>
      <c r="J834" s="15" t="s">
        <v>37</v>
      </c>
      <c r="K834" s="16" t="s">
        <v>57</v>
      </c>
      <c r="L834" s="61"/>
      <c r="M834" s="15"/>
      <c r="N834" s="15" t="s">
        <v>39</v>
      </c>
      <c r="O834" s="15"/>
      <c r="P834" s="16" t="s">
        <v>172</v>
      </c>
      <c r="Q834" s="17">
        <v>9599</v>
      </c>
      <c r="R834" s="18">
        <v>45</v>
      </c>
      <c r="S834" s="19">
        <v>6071.3674999999994</v>
      </c>
      <c r="T834" s="20" t="s">
        <v>75</v>
      </c>
      <c r="U834" s="21" t="s">
        <v>166</v>
      </c>
      <c r="V834" s="25" t="s">
        <v>96</v>
      </c>
      <c r="W834" s="22">
        <v>17</v>
      </c>
      <c r="X834" s="23"/>
    </row>
    <row r="835" spans="1:24" s="1" customFormat="1" ht="14" customHeight="1" x14ac:dyDescent="0.3">
      <c r="A835" s="24" t="s">
        <v>23</v>
      </c>
      <c r="B835" s="24" t="s">
        <v>896</v>
      </c>
      <c r="C835" s="12" t="s">
        <v>899</v>
      </c>
      <c r="D835" s="58"/>
      <c r="E835" s="43" t="str">
        <f t="shared" si="43"/>
        <v>Еще фото</v>
      </c>
      <c r="F835" s="14"/>
      <c r="G835" s="24" t="s">
        <v>237</v>
      </c>
      <c r="H835" s="24" t="s">
        <v>27</v>
      </c>
      <c r="I835" s="24" t="s">
        <v>237</v>
      </c>
      <c r="J835" s="15" t="s">
        <v>37</v>
      </c>
      <c r="K835" s="16" t="s">
        <v>57</v>
      </c>
      <c r="L835" s="61"/>
      <c r="M835" s="15"/>
      <c r="N835" s="15" t="s">
        <v>39</v>
      </c>
      <c r="O835" s="15"/>
      <c r="P835" s="16" t="s">
        <v>172</v>
      </c>
      <c r="Q835" s="17">
        <v>9599</v>
      </c>
      <c r="R835" s="18">
        <v>45</v>
      </c>
      <c r="S835" s="19">
        <v>6071.3674999999994</v>
      </c>
      <c r="T835" s="20" t="s">
        <v>75</v>
      </c>
      <c r="U835" s="21" t="s">
        <v>89</v>
      </c>
      <c r="V835" s="22">
        <v>50</v>
      </c>
      <c r="W835" s="22">
        <v>15</v>
      </c>
      <c r="X835" s="23"/>
    </row>
    <row r="836" spans="1:24" s="1" customFormat="1" ht="14" customHeight="1" x14ac:dyDescent="0.3">
      <c r="A836" s="24" t="s">
        <v>23</v>
      </c>
      <c r="B836" s="24" t="s">
        <v>896</v>
      </c>
      <c r="C836" s="12" t="s">
        <v>899</v>
      </c>
      <c r="D836" s="58"/>
      <c r="E836" s="43" t="str">
        <f t="shared" si="43"/>
        <v>Еще фото</v>
      </c>
      <c r="F836" s="14"/>
      <c r="G836" s="24" t="s">
        <v>237</v>
      </c>
      <c r="H836" s="24" t="s">
        <v>27</v>
      </c>
      <c r="I836" s="24" t="s">
        <v>237</v>
      </c>
      <c r="J836" s="15" t="s">
        <v>37</v>
      </c>
      <c r="K836" s="16" t="s">
        <v>57</v>
      </c>
      <c r="L836" s="61"/>
      <c r="M836" s="15"/>
      <c r="N836" s="15" t="s">
        <v>39</v>
      </c>
      <c r="O836" s="15"/>
      <c r="P836" s="16" t="s">
        <v>172</v>
      </c>
      <c r="Q836" s="17">
        <v>9599</v>
      </c>
      <c r="R836" s="18">
        <v>45</v>
      </c>
      <c r="S836" s="19">
        <v>6071.3674999999994</v>
      </c>
      <c r="T836" s="20" t="s">
        <v>75</v>
      </c>
      <c r="U836" s="21" t="s">
        <v>100</v>
      </c>
      <c r="V836" s="22">
        <v>50</v>
      </c>
      <c r="W836" s="22">
        <v>12</v>
      </c>
      <c r="X836" s="23"/>
    </row>
    <row r="837" spans="1:24" s="1" customFormat="1" ht="17" customHeight="1" x14ac:dyDescent="0.3">
      <c r="A837" s="24" t="s">
        <v>23</v>
      </c>
      <c r="B837" s="24" t="s">
        <v>896</v>
      </c>
      <c r="C837" s="12" t="s">
        <v>899</v>
      </c>
      <c r="D837" s="59"/>
      <c r="E837" s="43" t="str">
        <f t="shared" si="43"/>
        <v>Еще фото</v>
      </c>
      <c r="F837" s="14"/>
      <c r="G837" s="24" t="s">
        <v>237</v>
      </c>
      <c r="H837" s="24" t="s">
        <v>27</v>
      </c>
      <c r="I837" s="24" t="s">
        <v>237</v>
      </c>
      <c r="J837" s="15" t="s">
        <v>37</v>
      </c>
      <c r="K837" s="16" t="s">
        <v>57</v>
      </c>
      <c r="L837" s="62"/>
      <c r="M837" s="15"/>
      <c r="N837" s="15" t="s">
        <v>39</v>
      </c>
      <c r="O837" s="15"/>
      <c r="P837" s="16" t="s">
        <v>172</v>
      </c>
      <c r="Q837" s="17">
        <v>9599</v>
      </c>
      <c r="R837" s="18">
        <v>45</v>
      </c>
      <c r="S837" s="19">
        <v>6071.3674999999994</v>
      </c>
      <c r="T837" s="20" t="s">
        <v>75</v>
      </c>
      <c r="U837" s="21" t="s">
        <v>167</v>
      </c>
      <c r="V837" s="22">
        <v>52</v>
      </c>
      <c r="W837" s="22">
        <v>10</v>
      </c>
      <c r="X837" s="23"/>
    </row>
    <row r="838" spans="1:24" s="1" customFormat="1" ht="52.05" customHeight="1" x14ac:dyDescent="0.3">
      <c r="A838" s="11" t="s">
        <v>23</v>
      </c>
      <c r="B838" s="11" t="s">
        <v>879</v>
      </c>
      <c r="C838" s="12" t="s">
        <v>900</v>
      </c>
      <c r="D838" s="63"/>
      <c r="E838" s="43" t="str">
        <f>HYPERLINK("https://www.google.ru/search?q=00501-3852&amp;newwindow=1&amp;tbm=isch","Еще фото")</f>
        <v>Еще фото</v>
      </c>
      <c r="F838" s="34" t="s">
        <v>469</v>
      </c>
      <c r="G838" s="11" t="s">
        <v>237</v>
      </c>
      <c r="H838" s="11" t="s">
        <v>27</v>
      </c>
      <c r="I838" s="15" t="s">
        <v>237</v>
      </c>
      <c r="J838" s="15" t="s">
        <v>37</v>
      </c>
      <c r="K838" s="16" t="s">
        <v>57</v>
      </c>
      <c r="L838" s="60" t="s">
        <v>881</v>
      </c>
      <c r="M838" s="15"/>
      <c r="N838" s="15" t="s">
        <v>130</v>
      </c>
      <c r="O838" s="15"/>
      <c r="P838" s="16" t="s">
        <v>172</v>
      </c>
      <c r="Q838" s="17">
        <v>16799</v>
      </c>
      <c r="R838" s="18">
        <v>45</v>
      </c>
      <c r="S838" s="19">
        <v>10625.3675</v>
      </c>
      <c r="T838" s="20" t="s">
        <v>75</v>
      </c>
      <c r="U838" s="21" t="s">
        <v>109</v>
      </c>
      <c r="V838" s="25" t="s">
        <v>65</v>
      </c>
      <c r="W838" s="22">
        <v>1</v>
      </c>
      <c r="X838" s="23"/>
    </row>
    <row r="839" spans="1:24" s="1" customFormat="1" ht="61.05" customHeight="1" x14ac:dyDescent="0.3">
      <c r="A839" s="24" t="s">
        <v>23</v>
      </c>
      <c r="B839" s="24" t="s">
        <v>879</v>
      </c>
      <c r="C839" s="12" t="s">
        <v>900</v>
      </c>
      <c r="D839" s="64"/>
      <c r="E839" s="43" t="str">
        <f>HYPERLINK("https://www.google.ru/search?q=00501-3852&amp;newwindow=1&amp;tbm=isch","Еще фото")</f>
        <v>Еще фото</v>
      </c>
      <c r="F839" s="34" t="s">
        <v>469</v>
      </c>
      <c r="G839" s="24" t="s">
        <v>237</v>
      </c>
      <c r="H839" s="24" t="s">
        <v>27</v>
      </c>
      <c r="I839" s="24" t="s">
        <v>237</v>
      </c>
      <c r="J839" s="15" t="s">
        <v>37</v>
      </c>
      <c r="K839" s="16" t="s">
        <v>57</v>
      </c>
      <c r="L839" s="62"/>
      <c r="M839" s="15"/>
      <c r="N839" s="15" t="s">
        <v>130</v>
      </c>
      <c r="O839" s="15"/>
      <c r="P839" s="16" t="s">
        <v>172</v>
      </c>
      <c r="Q839" s="17">
        <v>16799</v>
      </c>
      <c r="R839" s="18">
        <v>45</v>
      </c>
      <c r="S839" s="19">
        <v>10625.3675</v>
      </c>
      <c r="T839" s="20" t="s">
        <v>75</v>
      </c>
      <c r="U839" s="21" t="s">
        <v>165</v>
      </c>
      <c r="V839" s="22">
        <v>48</v>
      </c>
      <c r="W839" s="22">
        <v>4</v>
      </c>
      <c r="X839" s="23"/>
    </row>
    <row r="840" spans="1:24" s="1" customFormat="1" ht="11" customHeight="1" x14ac:dyDescent="0.3">
      <c r="A840" s="11" t="s">
        <v>23</v>
      </c>
      <c r="B840" s="11" t="s">
        <v>879</v>
      </c>
      <c r="C840" s="12" t="s">
        <v>901</v>
      </c>
      <c r="D840" s="57"/>
      <c r="E840" s="43" t="str">
        <f t="shared" ref="E840:E850" si="44">HYPERLINK("https://www.google.ru/search?q=00501-3895&amp;newwindow=1&amp;tbm=isch","Еще фото")</f>
        <v>Еще фото</v>
      </c>
      <c r="F840" s="14" t="s">
        <v>182</v>
      </c>
      <c r="G840" s="11" t="s">
        <v>237</v>
      </c>
      <c r="H840" s="11" t="s">
        <v>27</v>
      </c>
      <c r="I840" s="15" t="s">
        <v>237</v>
      </c>
      <c r="J840" s="15" t="s">
        <v>37</v>
      </c>
      <c r="K840" s="16" t="s">
        <v>57</v>
      </c>
      <c r="L840" s="60" t="s">
        <v>827</v>
      </c>
      <c r="M840" s="15"/>
      <c r="N840" s="15" t="s">
        <v>130</v>
      </c>
      <c r="O840" s="15"/>
      <c r="P840" s="16" t="s">
        <v>32</v>
      </c>
      <c r="Q840" s="17">
        <v>8799</v>
      </c>
      <c r="R840" s="18">
        <v>45</v>
      </c>
      <c r="S840" s="19">
        <v>5565.3674999999994</v>
      </c>
      <c r="T840" s="20" t="s">
        <v>75</v>
      </c>
      <c r="U840" s="21" t="s">
        <v>53</v>
      </c>
      <c r="V840" s="22">
        <v>46</v>
      </c>
      <c r="W840" s="22">
        <v>8</v>
      </c>
      <c r="X840" s="23"/>
    </row>
    <row r="841" spans="1:24" s="1" customFormat="1" ht="11" customHeight="1" x14ac:dyDescent="0.3">
      <c r="A841" s="24" t="s">
        <v>23</v>
      </c>
      <c r="B841" s="24" t="s">
        <v>879</v>
      </c>
      <c r="C841" s="12" t="s">
        <v>901</v>
      </c>
      <c r="D841" s="58"/>
      <c r="E841" s="43" t="str">
        <f t="shared" si="44"/>
        <v>Еще фото</v>
      </c>
      <c r="F841" s="14" t="s">
        <v>182</v>
      </c>
      <c r="G841" s="24" t="s">
        <v>237</v>
      </c>
      <c r="H841" s="24" t="s">
        <v>27</v>
      </c>
      <c r="I841" s="24" t="s">
        <v>237</v>
      </c>
      <c r="J841" s="15" t="s">
        <v>37</v>
      </c>
      <c r="K841" s="16" t="s">
        <v>57</v>
      </c>
      <c r="L841" s="61"/>
      <c r="M841" s="15"/>
      <c r="N841" s="15" t="s">
        <v>130</v>
      </c>
      <c r="O841" s="15"/>
      <c r="P841" s="16" t="s">
        <v>32</v>
      </c>
      <c r="Q841" s="17">
        <v>8799</v>
      </c>
      <c r="R841" s="18">
        <v>45</v>
      </c>
      <c r="S841" s="19">
        <v>5565.3674999999994</v>
      </c>
      <c r="T841" s="20" t="s">
        <v>75</v>
      </c>
      <c r="U841" s="21" t="s">
        <v>109</v>
      </c>
      <c r="V841" s="25" t="s">
        <v>65</v>
      </c>
      <c r="W841" s="22">
        <v>13</v>
      </c>
      <c r="X841" s="23"/>
    </row>
    <row r="842" spans="1:24" s="1" customFormat="1" ht="11" customHeight="1" x14ac:dyDescent="0.3">
      <c r="A842" s="24" t="s">
        <v>23</v>
      </c>
      <c r="B842" s="24" t="s">
        <v>879</v>
      </c>
      <c r="C842" s="12" t="s">
        <v>901</v>
      </c>
      <c r="D842" s="58"/>
      <c r="E842" s="43" t="str">
        <f t="shared" si="44"/>
        <v>Еще фото</v>
      </c>
      <c r="F842" s="14" t="s">
        <v>182</v>
      </c>
      <c r="G842" s="24" t="s">
        <v>237</v>
      </c>
      <c r="H842" s="24" t="s">
        <v>27</v>
      </c>
      <c r="I842" s="24" t="s">
        <v>237</v>
      </c>
      <c r="J842" s="15" t="s">
        <v>37</v>
      </c>
      <c r="K842" s="16" t="s">
        <v>57</v>
      </c>
      <c r="L842" s="61"/>
      <c r="M842" s="15"/>
      <c r="N842" s="15" t="s">
        <v>130</v>
      </c>
      <c r="O842" s="15"/>
      <c r="P842" s="16" t="s">
        <v>32</v>
      </c>
      <c r="Q842" s="17">
        <v>8799</v>
      </c>
      <c r="R842" s="18">
        <v>45</v>
      </c>
      <c r="S842" s="19">
        <v>5565.3674999999994</v>
      </c>
      <c r="T842" s="20" t="s">
        <v>75</v>
      </c>
      <c r="U842" s="21" t="s">
        <v>140</v>
      </c>
      <c r="V842" s="25" t="s">
        <v>65</v>
      </c>
      <c r="W842" s="22">
        <v>7</v>
      </c>
      <c r="X842" s="23"/>
    </row>
    <row r="843" spans="1:24" s="1" customFormat="1" ht="11" customHeight="1" x14ac:dyDescent="0.3">
      <c r="A843" s="24" t="s">
        <v>23</v>
      </c>
      <c r="B843" s="24" t="s">
        <v>879</v>
      </c>
      <c r="C843" s="12" t="s">
        <v>901</v>
      </c>
      <c r="D843" s="58"/>
      <c r="E843" s="43" t="str">
        <f t="shared" si="44"/>
        <v>Еще фото</v>
      </c>
      <c r="F843" s="14" t="s">
        <v>182</v>
      </c>
      <c r="G843" s="24" t="s">
        <v>237</v>
      </c>
      <c r="H843" s="24" t="s">
        <v>27</v>
      </c>
      <c r="I843" s="24" t="s">
        <v>237</v>
      </c>
      <c r="J843" s="15" t="s">
        <v>37</v>
      </c>
      <c r="K843" s="16" t="s">
        <v>57</v>
      </c>
      <c r="L843" s="61"/>
      <c r="M843" s="15"/>
      <c r="N843" s="15" t="s">
        <v>130</v>
      </c>
      <c r="O843" s="15"/>
      <c r="P843" s="16" t="s">
        <v>32</v>
      </c>
      <c r="Q843" s="17">
        <v>8799</v>
      </c>
      <c r="R843" s="18">
        <v>45</v>
      </c>
      <c r="S843" s="19">
        <v>5565.3674999999994</v>
      </c>
      <c r="T843" s="20" t="s">
        <v>75</v>
      </c>
      <c r="U843" s="21" t="s">
        <v>165</v>
      </c>
      <c r="V843" s="22">
        <v>48</v>
      </c>
      <c r="W843" s="22">
        <v>16</v>
      </c>
      <c r="X843" s="23"/>
    </row>
    <row r="844" spans="1:24" s="1" customFormat="1" ht="11" customHeight="1" x14ac:dyDescent="0.3">
      <c r="A844" s="24" t="s">
        <v>23</v>
      </c>
      <c r="B844" s="24" t="s">
        <v>879</v>
      </c>
      <c r="C844" s="12" t="s">
        <v>901</v>
      </c>
      <c r="D844" s="58"/>
      <c r="E844" s="43" t="str">
        <f t="shared" si="44"/>
        <v>Еще фото</v>
      </c>
      <c r="F844" s="14" t="s">
        <v>182</v>
      </c>
      <c r="G844" s="24" t="s">
        <v>237</v>
      </c>
      <c r="H844" s="24" t="s">
        <v>27</v>
      </c>
      <c r="I844" s="24" t="s">
        <v>237</v>
      </c>
      <c r="J844" s="15" t="s">
        <v>37</v>
      </c>
      <c r="K844" s="16" t="s">
        <v>57</v>
      </c>
      <c r="L844" s="61"/>
      <c r="M844" s="15"/>
      <c r="N844" s="15" t="s">
        <v>130</v>
      </c>
      <c r="O844" s="15"/>
      <c r="P844" s="16" t="s">
        <v>32</v>
      </c>
      <c r="Q844" s="17">
        <v>8799</v>
      </c>
      <c r="R844" s="18">
        <v>45</v>
      </c>
      <c r="S844" s="19">
        <v>5565.3674999999994</v>
      </c>
      <c r="T844" s="20" t="s">
        <v>75</v>
      </c>
      <c r="U844" s="21" t="s">
        <v>104</v>
      </c>
      <c r="V844" s="22">
        <v>48</v>
      </c>
      <c r="W844" s="22">
        <v>7</v>
      </c>
      <c r="X844" s="23"/>
    </row>
    <row r="845" spans="1:24" s="1" customFormat="1" ht="11" customHeight="1" x14ac:dyDescent="0.3">
      <c r="A845" s="24" t="s">
        <v>23</v>
      </c>
      <c r="B845" s="24" t="s">
        <v>879</v>
      </c>
      <c r="C845" s="12" t="s">
        <v>901</v>
      </c>
      <c r="D845" s="58"/>
      <c r="E845" s="43" t="str">
        <f t="shared" si="44"/>
        <v>Еще фото</v>
      </c>
      <c r="F845" s="14" t="s">
        <v>182</v>
      </c>
      <c r="G845" s="24" t="s">
        <v>237</v>
      </c>
      <c r="H845" s="24" t="s">
        <v>27</v>
      </c>
      <c r="I845" s="24" t="s">
        <v>237</v>
      </c>
      <c r="J845" s="15" t="s">
        <v>37</v>
      </c>
      <c r="K845" s="16" t="s">
        <v>57</v>
      </c>
      <c r="L845" s="61"/>
      <c r="M845" s="15"/>
      <c r="N845" s="15" t="s">
        <v>130</v>
      </c>
      <c r="O845" s="15"/>
      <c r="P845" s="16" t="s">
        <v>32</v>
      </c>
      <c r="Q845" s="17">
        <v>8799</v>
      </c>
      <c r="R845" s="18">
        <v>45</v>
      </c>
      <c r="S845" s="19">
        <v>5565.3674999999994</v>
      </c>
      <c r="T845" s="20" t="s">
        <v>75</v>
      </c>
      <c r="U845" s="21" t="s">
        <v>166</v>
      </c>
      <c r="V845" s="25" t="s">
        <v>96</v>
      </c>
      <c r="W845" s="22">
        <v>11</v>
      </c>
      <c r="X845" s="23"/>
    </row>
    <row r="846" spans="1:24" s="1" customFormat="1" ht="11" customHeight="1" x14ac:dyDescent="0.3">
      <c r="A846" s="24" t="s">
        <v>23</v>
      </c>
      <c r="B846" s="24" t="s">
        <v>879</v>
      </c>
      <c r="C846" s="12" t="s">
        <v>901</v>
      </c>
      <c r="D846" s="58"/>
      <c r="E846" s="43" t="str">
        <f t="shared" si="44"/>
        <v>Еще фото</v>
      </c>
      <c r="F846" s="14" t="s">
        <v>182</v>
      </c>
      <c r="G846" s="24" t="s">
        <v>237</v>
      </c>
      <c r="H846" s="24" t="s">
        <v>27</v>
      </c>
      <c r="I846" s="24" t="s">
        <v>237</v>
      </c>
      <c r="J846" s="15" t="s">
        <v>37</v>
      </c>
      <c r="K846" s="16" t="s">
        <v>57</v>
      </c>
      <c r="L846" s="61"/>
      <c r="M846" s="15"/>
      <c r="N846" s="15" t="s">
        <v>130</v>
      </c>
      <c r="O846" s="15"/>
      <c r="P846" s="16" t="s">
        <v>32</v>
      </c>
      <c r="Q846" s="17">
        <v>8799</v>
      </c>
      <c r="R846" s="18">
        <v>45</v>
      </c>
      <c r="S846" s="19">
        <v>5565.3674999999994</v>
      </c>
      <c r="T846" s="20" t="s">
        <v>75</v>
      </c>
      <c r="U846" s="21" t="s">
        <v>359</v>
      </c>
      <c r="V846" s="25" t="s">
        <v>96</v>
      </c>
      <c r="W846" s="22">
        <v>5</v>
      </c>
      <c r="X846" s="23"/>
    </row>
    <row r="847" spans="1:24" s="1" customFormat="1" ht="11" customHeight="1" x14ac:dyDescent="0.3">
      <c r="A847" s="24" t="s">
        <v>23</v>
      </c>
      <c r="B847" s="24" t="s">
        <v>879</v>
      </c>
      <c r="C847" s="12" t="s">
        <v>901</v>
      </c>
      <c r="D847" s="58"/>
      <c r="E847" s="43" t="str">
        <f t="shared" si="44"/>
        <v>Еще фото</v>
      </c>
      <c r="F847" s="14" t="s">
        <v>182</v>
      </c>
      <c r="G847" s="24" t="s">
        <v>237</v>
      </c>
      <c r="H847" s="24" t="s">
        <v>27</v>
      </c>
      <c r="I847" s="24" t="s">
        <v>237</v>
      </c>
      <c r="J847" s="15" t="s">
        <v>37</v>
      </c>
      <c r="K847" s="16" t="s">
        <v>57</v>
      </c>
      <c r="L847" s="61"/>
      <c r="M847" s="15"/>
      <c r="N847" s="15" t="s">
        <v>130</v>
      </c>
      <c r="O847" s="15"/>
      <c r="P847" s="16" t="s">
        <v>32</v>
      </c>
      <c r="Q847" s="17">
        <v>8799</v>
      </c>
      <c r="R847" s="18">
        <v>45</v>
      </c>
      <c r="S847" s="19">
        <v>5565.3674999999994</v>
      </c>
      <c r="T847" s="20" t="s">
        <v>75</v>
      </c>
      <c r="U847" s="21" t="s">
        <v>89</v>
      </c>
      <c r="V847" s="22">
        <v>50</v>
      </c>
      <c r="W847" s="22">
        <v>11</v>
      </c>
      <c r="X847" s="23"/>
    </row>
    <row r="848" spans="1:24" s="1" customFormat="1" ht="11" customHeight="1" x14ac:dyDescent="0.3">
      <c r="A848" s="24" t="s">
        <v>23</v>
      </c>
      <c r="B848" s="24" t="s">
        <v>879</v>
      </c>
      <c r="C848" s="12" t="s">
        <v>901</v>
      </c>
      <c r="D848" s="58"/>
      <c r="E848" s="43" t="str">
        <f t="shared" si="44"/>
        <v>Еще фото</v>
      </c>
      <c r="F848" s="14" t="s">
        <v>182</v>
      </c>
      <c r="G848" s="24" t="s">
        <v>237</v>
      </c>
      <c r="H848" s="24" t="s">
        <v>27</v>
      </c>
      <c r="I848" s="24" t="s">
        <v>237</v>
      </c>
      <c r="J848" s="15" t="s">
        <v>37</v>
      </c>
      <c r="K848" s="16" t="s">
        <v>57</v>
      </c>
      <c r="L848" s="61"/>
      <c r="M848" s="15"/>
      <c r="N848" s="15" t="s">
        <v>130</v>
      </c>
      <c r="O848" s="15"/>
      <c r="P848" s="16" t="s">
        <v>32</v>
      </c>
      <c r="Q848" s="17">
        <v>8799</v>
      </c>
      <c r="R848" s="18">
        <v>45</v>
      </c>
      <c r="S848" s="19">
        <v>5565.3674999999994</v>
      </c>
      <c r="T848" s="20" t="s">
        <v>75</v>
      </c>
      <c r="U848" s="21" t="s">
        <v>100</v>
      </c>
      <c r="V848" s="22">
        <v>50</v>
      </c>
      <c r="W848" s="22">
        <v>5</v>
      </c>
      <c r="X848" s="23"/>
    </row>
    <row r="849" spans="1:24" s="1" customFormat="1" ht="11" customHeight="1" x14ac:dyDescent="0.3">
      <c r="A849" s="15" t="s">
        <v>23</v>
      </c>
      <c r="B849" s="15" t="s">
        <v>879</v>
      </c>
      <c r="C849" s="12" t="s">
        <v>901</v>
      </c>
      <c r="D849" s="58"/>
      <c r="E849" s="43" t="str">
        <f t="shared" si="44"/>
        <v>Еще фото</v>
      </c>
      <c r="F849" s="26" t="s">
        <v>182</v>
      </c>
      <c r="G849" s="15" t="s">
        <v>237</v>
      </c>
      <c r="H849" s="15" t="s">
        <v>27</v>
      </c>
      <c r="I849" s="15" t="s">
        <v>237</v>
      </c>
      <c r="J849" s="15" t="s">
        <v>37</v>
      </c>
      <c r="K849" s="15" t="s">
        <v>57</v>
      </c>
      <c r="L849" s="61"/>
      <c r="M849" s="15"/>
      <c r="N849" s="15" t="s">
        <v>130</v>
      </c>
      <c r="O849" s="15"/>
      <c r="P849" s="15" t="s">
        <v>32</v>
      </c>
      <c r="Q849" s="27">
        <v>8799</v>
      </c>
      <c r="R849" s="28">
        <v>45</v>
      </c>
      <c r="S849" s="29">
        <v>5565.3674999999994</v>
      </c>
      <c r="T849" s="20" t="s">
        <v>75</v>
      </c>
      <c r="U849" s="21" t="s">
        <v>167</v>
      </c>
      <c r="V849" s="22">
        <v>52</v>
      </c>
      <c r="W849" s="22">
        <v>10</v>
      </c>
      <c r="X849" s="23"/>
    </row>
    <row r="850" spans="1:24" s="1" customFormat="1" ht="11" customHeight="1" x14ac:dyDescent="0.3">
      <c r="A850" s="15" t="s">
        <v>23</v>
      </c>
      <c r="B850" s="15" t="s">
        <v>879</v>
      </c>
      <c r="C850" s="12" t="s">
        <v>901</v>
      </c>
      <c r="D850" s="59"/>
      <c r="E850" s="43" t="str">
        <f t="shared" si="44"/>
        <v>Еще фото</v>
      </c>
      <c r="F850" s="26" t="s">
        <v>182</v>
      </c>
      <c r="G850" s="15" t="s">
        <v>237</v>
      </c>
      <c r="H850" s="15" t="s">
        <v>27</v>
      </c>
      <c r="I850" s="15" t="s">
        <v>237</v>
      </c>
      <c r="J850" s="15" t="s">
        <v>37</v>
      </c>
      <c r="K850" s="15" t="s">
        <v>57</v>
      </c>
      <c r="L850" s="62"/>
      <c r="M850" s="15"/>
      <c r="N850" s="15" t="s">
        <v>130</v>
      </c>
      <c r="O850" s="15"/>
      <c r="P850" s="15" t="s">
        <v>32</v>
      </c>
      <c r="Q850" s="27">
        <v>8799</v>
      </c>
      <c r="R850" s="28">
        <v>45</v>
      </c>
      <c r="S850" s="29">
        <v>5565.3674999999994</v>
      </c>
      <c r="T850" s="20" t="s">
        <v>75</v>
      </c>
      <c r="U850" s="21" t="s">
        <v>168</v>
      </c>
      <c r="V850" s="22">
        <v>52</v>
      </c>
      <c r="W850" s="22">
        <v>1</v>
      </c>
      <c r="X850" s="23"/>
    </row>
    <row r="851" spans="1:24" s="1" customFormat="1" ht="52.05" customHeight="1" x14ac:dyDescent="0.3">
      <c r="A851" s="11" t="s">
        <v>23</v>
      </c>
      <c r="B851" s="11" t="s">
        <v>879</v>
      </c>
      <c r="C851" s="12" t="s">
        <v>902</v>
      </c>
      <c r="D851" s="63"/>
      <c r="E851" s="43" t="str">
        <f>HYPERLINK("https://www.google.ru/search?q=00501-3898&amp;newwindow=1&amp;tbm=isch","Еще фото")</f>
        <v>Еще фото</v>
      </c>
      <c r="F851" s="34" t="s">
        <v>469</v>
      </c>
      <c r="G851" s="11" t="s">
        <v>237</v>
      </c>
      <c r="H851" s="11" t="s">
        <v>27</v>
      </c>
      <c r="I851" s="15" t="s">
        <v>237</v>
      </c>
      <c r="J851" s="15" t="s">
        <v>37</v>
      </c>
      <c r="K851" s="16" t="s">
        <v>57</v>
      </c>
      <c r="L851" s="60"/>
      <c r="M851" s="15"/>
      <c r="N851" s="15" t="s">
        <v>156</v>
      </c>
      <c r="O851" s="15"/>
      <c r="P851" s="16" t="s">
        <v>32</v>
      </c>
      <c r="Q851" s="17">
        <v>8799</v>
      </c>
      <c r="R851" s="18">
        <v>45</v>
      </c>
      <c r="S851" s="19">
        <v>5565.3674999999994</v>
      </c>
      <c r="T851" s="20" t="s">
        <v>75</v>
      </c>
      <c r="U851" s="21" t="s">
        <v>53</v>
      </c>
      <c r="V851" s="22">
        <v>46</v>
      </c>
      <c r="W851" s="22">
        <v>7</v>
      </c>
      <c r="X851" s="23"/>
    </row>
    <row r="852" spans="1:24" s="1" customFormat="1" ht="61.05" customHeight="1" x14ac:dyDescent="0.3">
      <c r="A852" s="24" t="s">
        <v>23</v>
      </c>
      <c r="B852" s="24" t="s">
        <v>879</v>
      </c>
      <c r="C852" s="12" t="s">
        <v>902</v>
      </c>
      <c r="D852" s="64"/>
      <c r="E852" s="43" t="str">
        <f>HYPERLINK("https://www.google.ru/search?q=00501-3898&amp;newwindow=1&amp;tbm=isch","Еще фото")</f>
        <v>Еще фото</v>
      </c>
      <c r="F852" s="34" t="s">
        <v>469</v>
      </c>
      <c r="G852" s="24" t="s">
        <v>237</v>
      </c>
      <c r="H852" s="24" t="s">
        <v>27</v>
      </c>
      <c r="I852" s="24" t="s">
        <v>237</v>
      </c>
      <c r="J852" s="15" t="s">
        <v>37</v>
      </c>
      <c r="K852" s="16" t="s">
        <v>57</v>
      </c>
      <c r="L852" s="62"/>
      <c r="M852" s="15"/>
      <c r="N852" s="15" t="s">
        <v>156</v>
      </c>
      <c r="O852" s="15"/>
      <c r="P852" s="16" t="s">
        <v>32</v>
      </c>
      <c r="Q852" s="17">
        <v>8799</v>
      </c>
      <c r="R852" s="18">
        <v>45</v>
      </c>
      <c r="S852" s="19">
        <v>5565.3674999999994</v>
      </c>
      <c r="T852" s="20" t="s">
        <v>75</v>
      </c>
      <c r="U852" s="21" t="s">
        <v>167</v>
      </c>
      <c r="V852" s="22">
        <v>52</v>
      </c>
      <c r="W852" s="22">
        <v>7</v>
      </c>
      <c r="X852" s="23"/>
    </row>
    <row r="853" spans="1:24" s="1" customFormat="1" ht="52.05" customHeight="1" x14ac:dyDescent="0.3">
      <c r="A853" s="11" t="s">
        <v>23</v>
      </c>
      <c r="B853" s="11" t="s">
        <v>879</v>
      </c>
      <c r="C853" s="12" t="s">
        <v>903</v>
      </c>
      <c r="D853" s="63"/>
      <c r="E853" s="43" t="str">
        <f>HYPERLINK("https://www.google.ru/search?q=00501-3908&amp;newwindow=1&amp;tbm=isch","Еще фото")</f>
        <v>Еще фото</v>
      </c>
      <c r="F853" s="14"/>
      <c r="G853" s="11" t="s">
        <v>237</v>
      </c>
      <c r="H853" s="11" t="s">
        <v>27</v>
      </c>
      <c r="I853" s="15" t="s">
        <v>237</v>
      </c>
      <c r="J853" s="15" t="s">
        <v>37</v>
      </c>
      <c r="K853" s="16" t="s">
        <v>57</v>
      </c>
      <c r="L853" s="60" t="s">
        <v>881</v>
      </c>
      <c r="M853" s="15"/>
      <c r="N853" s="15" t="s">
        <v>130</v>
      </c>
      <c r="O853" s="15"/>
      <c r="P853" s="16" t="s">
        <v>32</v>
      </c>
      <c r="Q853" s="17">
        <v>19699</v>
      </c>
      <c r="R853" s="18">
        <v>45</v>
      </c>
      <c r="S853" s="19">
        <v>12459.6175</v>
      </c>
      <c r="T853" s="20" t="s">
        <v>75</v>
      </c>
      <c r="U853" s="21" t="s">
        <v>109</v>
      </c>
      <c r="V853" s="25" t="s">
        <v>65</v>
      </c>
      <c r="W853" s="22">
        <v>2</v>
      </c>
      <c r="X853" s="23"/>
    </row>
    <row r="854" spans="1:24" s="1" customFormat="1" ht="61.05" customHeight="1" x14ac:dyDescent="0.3">
      <c r="A854" s="24" t="s">
        <v>23</v>
      </c>
      <c r="B854" s="24" t="s">
        <v>879</v>
      </c>
      <c r="C854" s="12" t="s">
        <v>903</v>
      </c>
      <c r="D854" s="64"/>
      <c r="E854" s="43" t="str">
        <f>HYPERLINK("https://www.google.ru/search?q=00501-3908&amp;newwindow=1&amp;tbm=isch","Еще фото")</f>
        <v>Еще фото</v>
      </c>
      <c r="F854" s="14"/>
      <c r="G854" s="24" t="s">
        <v>237</v>
      </c>
      <c r="H854" s="24" t="s">
        <v>27</v>
      </c>
      <c r="I854" s="24" t="s">
        <v>237</v>
      </c>
      <c r="J854" s="15" t="s">
        <v>37</v>
      </c>
      <c r="K854" s="16" t="s">
        <v>57</v>
      </c>
      <c r="L854" s="62"/>
      <c r="M854" s="15"/>
      <c r="N854" s="15" t="s">
        <v>130</v>
      </c>
      <c r="O854" s="15"/>
      <c r="P854" s="16" t="s">
        <v>32</v>
      </c>
      <c r="Q854" s="17">
        <v>19699</v>
      </c>
      <c r="R854" s="18">
        <v>45</v>
      </c>
      <c r="S854" s="19">
        <v>12459.6175</v>
      </c>
      <c r="T854" s="20" t="s">
        <v>75</v>
      </c>
      <c r="U854" s="21" t="s">
        <v>165</v>
      </c>
      <c r="V854" s="22">
        <v>48</v>
      </c>
      <c r="W854" s="22">
        <v>5</v>
      </c>
      <c r="X854" s="23"/>
    </row>
    <row r="855" spans="1:24" s="1" customFormat="1" ht="108" customHeight="1" x14ac:dyDescent="0.3">
      <c r="A855" s="11" t="s">
        <v>23</v>
      </c>
      <c r="B855" s="37">
        <v>505</v>
      </c>
      <c r="C855" s="12" t="s">
        <v>904</v>
      </c>
      <c r="D855" s="13"/>
      <c r="E855" s="43" t="str">
        <f>HYPERLINK("https://www.google.ru/search?q=00505-2913&amp;newwindow=1&amp;tbm=isch","Еще фото")</f>
        <v>Еще фото</v>
      </c>
      <c r="F855" s="14" t="s">
        <v>182</v>
      </c>
      <c r="G855" s="11" t="s">
        <v>237</v>
      </c>
      <c r="H855" s="11" t="s">
        <v>27</v>
      </c>
      <c r="I855" s="15" t="s">
        <v>237</v>
      </c>
      <c r="J855" s="15" t="s">
        <v>37</v>
      </c>
      <c r="K855" s="16" t="s">
        <v>57</v>
      </c>
      <c r="L855" s="15" t="s">
        <v>905</v>
      </c>
      <c r="M855" s="15"/>
      <c r="N855" s="15" t="s">
        <v>39</v>
      </c>
      <c r="O855" s="15"/>
      <c r="P855" s="16" t="s">
        <v>254</v>
      </c>
      <c r="Q855" s="17">
        <v>12499</v>
      </c>
      <c r="R855" s="18">
        <v>45</v>
      </c>
      <c r="S855" s="19">
        <v>7905.6174999999994</v>
      </c>
      <c r="T855" s="20" t="s">
        <v>75</v>
      </c>
      <c r="U855" s="21" t="s">
        <v>100</v>
      </c>
      <c r="V855" s="22">
        <v>50</v>
      </c>
      <c r="W855" s="22">
        <v>1</v>
      </c>
      <c r="X855" s="23"/>
    </row>
    <row r="856" spans="1:24" s="1" customFormat="1" ht="108" customHeight="1" x14ac:dyDescent="0.3">
      <c r="A856" s="11" t="s">
        <v>23</v>
      </c>
      <c r="B856" s="11" t="s">
        <v>906</v>
      </c>
      <c r="C856" s="12" t="s">
        <v>907</v>
      </c>
      <c r="D856" s="13"/>
      <c r="E856" s="43" t="str">
        <f>HYPERLINK("https://www.google.ru/search?q=00505-3435&amp;newwindow=1&amp;tbm=isch","Еще фото")</f>
        <v>Еще фото</v>
      </c>
      <c r="F856" s="14"/>
      <c r="G856" s="11" t="s">
        <v>237</v>
      </c>
      <c r="H856" s="11" t="s">
        <v>27</v>
      </c>
      <c r="I856" s="15" t="s">
        <v>237</v>
      </c>
      <c r="J856" s="15" t="s">
        <v>37</v>
      </c>
      <c r="K856" s="16" t="s">
        <v>57</v>
      </c>
      <c r="L856" s="15"/>
      <c r="M856" s="15"/>
      <c r="N856" s="15" t="s">
        <v>138</v>
      </c>
      <c r="O856" s="15"/>
      <c r="P856" s="16" t="s">
        <v>32</v>
      </c>
      <c r="Q856" s="17">
        <v>11599</v>
      </c>
      <c r="R856" s="18">
        <v>45</v>
      </c>
      <c r="S856" s="19">
        <v>7336.3674999999994</v>
      </c>
      <c r="T856" s="20" t="s">
        <v>75</v>
      </c>
      <c r="U856" s="21" t="s">
        <v>173</v>
      </c>
      <c r="V856" s="25" t="s">
        <v>63</v>
      </c>
      <c r="W856" s="22">
        <v>16</v>
      </c>
      <c r="X856" s="23"/>
    </row>
    <row r="857" spans="1:24" s="1" customFormat="1" ht="52.05" customHeight="1" x14ac:dyDescent="0.3">
      <c r="A857" s="11" t="s">
        <v>23</v>
      </c>
      <c r="B857" s="11" t="s">
        <v>906</v>
      </c>
      <c r="C857" s="12" t="s">
        <v>908</v>
      </c>
      <c r="D857" s="63"/>
      <c r="E857" s="43" t="str">
        <f>HYPERLINK("https://www.google.ru/search?q=00505-3439&amp;newwindow=1&amp;tbm=isch","Еще фото")</f>
        <v>Еще фото</v>
      </c>
      <c r="F857" s="14"/>
      <c r="G857" s="11" t="s">
        <v>237</v>
      </c>
      <c r="H857" s="11" t="s">
        <v>27</v>
      </c>
      <c r="I857" s="15" t="s">
        <v>237</v>
      </c>
      <c r="J857" s="15" t="s">
        <v>37</v>
      </c>
      <c r="K857" s="16" t="s">
        <v>57</v>
      </c>
      <c r="L857" s="60" t="s">
        <v>905</v>
      </c>
      <c r="M857" s="15"/>
      <c r="N857" s="15" t="s">
        <v>39</v>
      </c>
      <c r="O857" s="15"/>
      <c r="P857" s="16" t="s">
        <v>32</v>
      </c>
      <c r="Q857" s="17">
        <v>23199</v>
      </c>
      <c r="R857" s="18">
        <v>45</v>
      </c>
      <c r="S857" s="19">
        <v>14673.3675</v>
      </c>
      <c r="T857" s="20" t="s">
        <v>75</v>
      </c>
      <c r="U857" s="21" t="s">
        <v>109</v>
      </c>
      <c r="V857" s="25" t="s">
        <v>65</v>
      </c>
      <c r="W857" s="22">
        <v>1</v>
      </c>
      <c r="X857" s="23"/>
    </row>
    <row r="858" spans="1:24" s="1" customFormat="1" ht="61.05" customHeight="1" x14ac:dyDescent="0.3">
      <c r="A858" s="24" t="s">
        <v>23</v>
      </c>
      <c r="B858" s="24" t="s">
        <v>906</v>
      </c>
      <c r="C858" s="12" t="s">
        <v>908</v>
      </c>
      <c r="D858" s="64"/>
      <c r="E858" s="43" t="str">
        <f>HYPERLINK("https://www.google.ru/search?q=00505-3439&amp;newwindow=1&amp;tbm=isch","Еще фото")</f>
        <v>Еще фото</v>
      </c>
      <c r="F858" s="14"/>
      <c r="G858" s="24" t="s">
        <v>237</v>
      </c>
      <c r="H858" s="24" t="s">
        <v>27</v>
      </c>
      <c r="I858" s="24" t="s">
        <v>237</v>
      </c>
      <c r="J858" s="15" t="s">
        <v>37</v>
      </c>
      <c r="K858" s="16" t="s">
        <v>57</v>
      </c>
      <c r="L858" s="62"/>
      <c r="M858" s="15"/>
      <c r="N858" s="15" t="s">
        <v>39</v>
      </c>
      <c r="O858" s="15"/>
      <c r="P858" s="16" t="s">
        <v>32</v>
      </c>
      <c r="Q858" s="17">
        <v>23199</v>
      </c>
      <c r="R858" s="18">
        <v>45</v>
      </c>
      <c r="S858" s="19">
        <v>14673.3675</v>
      </c>
      <c r="T858" s="20" t="s">
        <v>75</v>
      </c>
      <c r="U858" s="21" t="s">
        <v>89</v>
      </c>
      <c r="V858" s="22">
        <v>50</v>
      </c>
      <c r="W858" s="22">
        <v>1</v>
      </c>
      <c r="X858" s="23"/>
    </row>
    <row r="859" spans="1:24" s="1" customFormat="1" ht="35" customHeight="1" x14ac:dyDescent="0.3">
      <c r="A859" s="11" t="s">
        <v>23</v>
      </c>
      <c r="B859" s="11" t="s">
        <v>909</v>
      </c>
      <c r="C859" s="12" t="s">
        <v>910</v>
      </c>
      <c r="D859" s="57"/>
      <c r="E859" s="43" t="str">
        <f>HYPERLINK("https://www.google.ru/search?q=00514-0730&amp;newwindow=1&amp;tbm=isch","Еще фото")</f>
        <v>Еще фото</v>
      </c>
      <c r="F859" s="34" t="s">
        <v>469</v>
      </c>
      <c r="G859" s="11" t="s">
        <v>237</v>
      </c>
      <c r="H859" s="11" t="s">
        <v>27</v>
      </c>
      <c r="I859" s="15" t="s">
        <v>237</v>
      </c>
      <c r="J859" s="15" t="s">
        <v>37</v>
      </c>
      <c r="K859" s="16" t="s">
        <v>57</v>
      </c>
      <c r="L859" s="60" t="s">
        <v>911</v>
      </c>
      <c r="M859" s="15" t="s">
        <v>72</v>
      </c>
      <c r="N859" s="15" t="s">
        <v>39</v>
      </c>
      <c r="O859" s="15"/>
      <c r="P859" s="16" t="s">
        <v>254</v>
      </c>
      <c r="Q859" s="17">
        <v>9899</v>
      </c>
      <c r="R859" s="18">
        <v>45</v>
      </c>
      <c r="S859" s="19">
        <v>6261.1174999999994</v>
      </c>
      <c r="T859" s="20" t="s">
        <v>75</v>
      </c>
      <c r="U859" s="21" t="s">
        <v>53</v>
      </c>
      <c r="V859" s="22">
        <v>46</v>
      </c>
      <c r="W859" s="22">
        <v>17</v>
      </c>
      <c r="X859" s="23"/>
    </row>
    <row r="860" spans="1:24" s="1" customFormat="1" ht="35" customHeight="1" x14ac:dyDescent="0.3">
      <c r="A860" s="24" t="s">
        <v>23</v>
      </c>
      <c r="B860" s="24" t="s">
        <v>909</v>
      </c>
      <c r="C860" s="12" t="s">
        <v>910</v>
      </c>
      <c r="D860" s="58"/>
      <c r="E860" s="43" t="str">
        <f>HYPERLINK("https://www.google.ru/search?q=00514-0730&amp;newwindow=1&amp;tbm=isch","Еще фото")</f>
        <v>Еще фото</v>
      </c>
      <c r="F860" s="34" t="s">
        <v>469</v>
      </c>
      <c r="G860" s="24" t="s">
        <v>237</v>
      </c>
      <c r="H860" s="24" t="s">
        <v>27</v>
      </c>
      <c r="I860" s="24" t="s">
        <v>237</v>
      </c>
      <c r="J860" s="15" t="s">
        <v>37</v>
      </c>
      <c r="K860" s="16" t="s">
        <v>57</v>
      </c>
      <c r="L860" s="61"/>
      <c r="M860" s="15" t="s">
        <v>72</v>
      </c>
      <c r="N860" s="15" t="s">
        <v>39</v>
      </c>
      <c r="O860" s="15"/>
      <c r="P860" s="16" t="s">
        <v>254</v>
      </c>
      <c r="Q860" s="17">
        <v>9899</v>
      </c>
      <c r="R860" s="18">
        <v>45</v>
      </c>
      <c r="S860" s="19">
        <v>6261.1174999999994</v>
      </c>
      <c r="T860" s="20" t="s">
        <v>75</v>
      </c>
      <c r="U860" s="21" t="s">
        <v>109</v>
      </c>
      <c r="V860" s="25" t="s">
        <v>65</v>
      </c>
      <c r="W860" s="22">
        <v>3</v>
      </c>
      <c r="X860" s="23"/>
    </row>
    <row r="861" spans="1:24" s="1" customFormat="1" ht="37.049999999999997" customHeight="1" x14ac:dyDescent="0.3">
      <c r="A861" s="24" t="s">
        <v>23</v>
      </c>
      <c r="B861" s="24" t="s">
        <v>909</v>
      </c>
      <c r="C861" s="12" t="s">
        <v>910</v>
      </c>
      <c r="D861" s="59"/>
      <c r="E861" s="43" t="str">
        <f>HYPERLINK("https://www.google.ru/search?q=00514-0730&amp;newwindow=1&amp;tbm=isch","Еще фото")</f>
        <v>Еще фото</v>
      </c>
      <c r="F861" s="34" t="s">
        <v>469</v>
      </c>
      <c r="G861" s="24" t="s">
        <v>237</v>
      </c>
      <c r="H861" s="24" t="s">
        <v>27</v>
      </c>
      <c r="I861" s="24" t="s">
        <v>237</v>
      </c>
      <c r="J861" s="15" t="s">
        <v>37</v>
      </c>
      <c r="K861" s="16" t="s">
        <v>57</v>
      </c>
      <c r="L861" s="62"/>
      <c r="M861" s="15" t="s">
        <v>72</v>
      </c>
      <c r="N861" s="15" t="s">
        <v>39</v>
      </c>
      <c r="O861" s="15"/>
      <c r="P861" s="16" t="s">
        <v>254</v>
      </c>
      <c r="Q861" s="17">
        <v>9899</v>
      </c>
      <c r="R861" s="18">
        <v>45</v>
      </c>
      <c r="S861" s="19">
        <v>6261.1174999999994</v>
      </c>
      <c r="T861" s="20" t="s">
        <v>75</v>
      </c>
      <c r="U861" s="21" t="s">
        <v>165</v>
      </c>
      <c r="V861" s="22">
        <v>48</v>
      </c>
      <c r="W861" s="22">
        <v>2</v>
      </c>
      <c r="X861" s="23"/>
    </row>
    <row r="862" spans="1:24" s="1" customFormat="1" ht="35" customHeight="1" x14ac:dyDescent="0.3">
      <c r="A862" s="11" t="s">
        <v>23</v>
      </c>
      <c r="B862" s="11" t="s">
        <v>912</v>
      </c>
      <c r="C862" s="12" t="s">
        <v>913</v>
      </c>
      <c r="D862" s="57"/>
      <c r="E862" s="43" t="str">
        <f>HYPERLINK("https://www.google.ru/search?q=00514-1325&amp;newwindow=1&amp;tbm=isch","Еще фото")</f>
        <v>Еще фото</v>
      </c>
      <c r="F862" s="34" t="s">
        <v>854</v>
      </c>
      <c r="G862" s="11" t="s">
        <v>237</v>
      </c>
      <c r="H862" s="11" t="s">
        <v>27</v>
      </c>
      <c r="I862" s="15" t="s">
        <v>237</v>
      </c>
      <c r="J862" s="15" t="s">
        <v>37</v>
      </c>
      <c r="K862" s="16" t="s">
        <v>57</v>
      </c>
      <c r="L862" s="60" t="s">
        <v>914</v>
      </c>
      <c r="M862" s="15"/>
      <c r="N862" s="15" t="s">
        <v>249</v>
      </c>
      <c r="O862" s="15"/>
      <c r="P862" s="16" t="s">
        <v>254</v>
      </c>
      <c r="Q862" s="17">
        <v>8699</v>
      </c>
      <c r="R862" s="18">
        <v>45</v>
      </c>
      <c r="S862" s="19">
        <v>5502.1174999999994</v>
      </c>
      <c r="T862" s="20" t="s">
        <v>75</v>
      </c>
      <c r="U862" s="21" t="s">
        <v>53</v>
      </c>
      <c r="V862" s="22">
        <v>46</v>
      </c>
      <c r="W862" s="22">
        <v>5</v>
      </c>
      <c r="X862" s="23"/>
    </row>
    <row r="863" spans="1:24" s="1" customFormat="1" ht="35" customHeight="1" x14ac:dyDescent="0.3">
      <c r="A863" s="24" t="s">
        <v>23</v>
      </c>
      <c r="B863" s="24" t="s">
        <v>912</v>
      </c>
      <c r="C863" s="12" t="s">
        <v>913</v>
      </c>
      <c r="D863" s="58"/>
      <c r="E863" s="43" t="str">
        <f>HYPERLINK("https://www.google.ru/search?q=00514-1325&amp;newwindow=1&amp;tbm=isch","Еще фото")</f>
        <v>Еще фото</v>
      </c>
      <c r="F863" s="34" t="s">
        <v>854</v>
      </c>
      <c r="G863" s="24" t="s">
        <v>237</v>
      </c>
      <c r="H863" s="24" t="s">
        <v>27</v>
      </c>
      <c r="I863" s="24" t="s">
        <v>237</v>
      </c>
      <c r="J863" s="15" t="s">
        <v>37</v>
      </c>
      <c r="K863" s="16" t="s">
        <v>57</v>
      </c>
      <c r="L863" s="61"/>
      <c r="M863" s="15"/>
      <c r="N863" s="15" t="s">
        <v>249</v>
      </c>
      <c r="O863" s="15"/>
      <c r="P863" s="16" t="s">
        <v>254</v>
      </c>
      <c r="Q863" s="17">
        <v>8699</v>
      </c>
      <c r="R863" s="18">
        <v>45</v>
      </c>
      <c r="S863" s="19">
        <v>5502.1174999999994</v>
      </c>
      <c r="T863" s="20" t="s">
        <v>75</v>
      </c>
      <c r="U863" s="21" t="s">
        <v>165</v>
      </c>
      <c r="V863" s="22">
        <v>48</v>
      </c>
      <c r="W863" s="22">
        <v>32</v>
      </c>
      <c r="X863" s="23"/>
    </row>
    <row r="864" spans="1:24" s="1" customFormat="1" ht="37.049999999999997" customHeight="1" x14ac:dyDescent="0.3">
      <c r="A864" s="24" t="s">
        <v>23</v>
      </c>
      <c r="B864" s="24" t="s">
        <v>912</v>
      </c>
      <c r="C864" s="12" t="s">
        <v>913</v>
      </c>
      <c r="D864" s="59"/>
      <c r="E864" s="43" t="str">
        <f>HYPERLINK("https://www.google.ru/search?q=00514-1325&amp;newwindow=1&amp;tbm=isch","Еще фото")</f>
        <v>Еще фото</v>
      </c>
      <c r="F864" s="34" t="s">
        <v>854</v>
      </c>
      <c r="G864" s="24" t="s">
        <v>237</v>
      </c>
      <c r="H864" s="24" t="s">
        <v>27</v>
      </c>
      <c r="I864" s="24" t="s">
        <v>237</v>
      </c>
      <c r="J864" s="15" t="s">
        <v>37</v>
      </c>
      <c r="K864" s="16" t="s">
        <v>57</v>
      </c>
      <c r="L864" s="62"/>
      <c r="M864" s="15"/>
      <c r="N864" s="15" t="s">
        <v>249</v>
      </c>
      <c r="O864" s="15"/>
      <c r="P864" s="16" t="s">
        <v>254</v>
      </c>
      <c r="Q864" s="17">
        <v>8699</v>
      </c>
      <c r="R864" s="18">
        <v>45</v>
      </c>
      <c r="S864" s="19">
        <v>5502.1174999999994</v>
      </c>
      <c r="T864" s="20" t="s">
        <v>75</v>
      </c>
      <c r="U864" s="21" t="s">
        <v>167</v>
      </c>
      <c r="V864" s="22">
        <v>52</v>
      </c>
      <c r="W864" s="22">
        <v>12</v>
      </c>
      <c r="X864" s="23"/>
    </row>
    <row r="865" spans="1:24" s="1" customFormat="1" ht="35" customHeight="1" x14ac:dyDescent="0.3">
      <c r="A865" s="11" t="s">
        <v>23</v>
      </c>
      <c r="B865" s="11" t="s">
        <v>915</v>
      </c>
      <c r="C865" s="12" t="s">
        <v>916</v>
      </c>
      <c r="D865" s="57"/>
      <c r="E865" s="43" t="str">
        <f>HYPERLINK("https://www.google.ru/search?q=00514-1780&amp;newwindow=1&amp;tbm=isch","Еще фото")</f>
        <v>Еще фото</v>
      </c>
      <c r="F865" s="14"/>
      <c r="G865" s="11" t="s">
        <v>237</v>
      </c>
      <c r="H865" s="11" t="s">
        <v>27</v>
      </c>
      <c r="I865" s="15" t="s">
        <v>237</v>
      </c>
      <c r="J865" s="15" t="s">
        <v>37</v>
      </c>
      <c r="K865" s="16" t="s">
        <v>57</v>
      </c>
      <c r="L865" s="60" t="s">
        <v>917</v>
      </c>
      <c r="M865" s="15"/>
      <c r="N865" s="15" t="s">
        <v>87</v>
      </c>
      <c r="O865" s="15"/>
      <c r="P865" s="16" t="s">
        <v>88</v>
      </c>
      <c r="Q865" s="17">
        <v>10899</v>
      </c>
      <c r="R865" s="18">
        <v>45</v>
      </c>
      <c r="S865" s="19">
        <v>6893.6174999999994</v>
      </c>
      <c r="T865" s="20" t="s">
        <v>75</v>
      </c>
      <c r="U865" s="21" t="s">
        <v>52</v>
      </c>
      <c r="V865" s="22">
        <v>46</v>
      </c>
      <c r="W865" s="22">
        <v>1</v>
      </c>
      <c r="X865" s="23"/>
    </row>
    <row r="866" spans="1:24" s="1" customFormat="1" ht="35" customHeight="1" x14ac:dyDescent="0.3">
      <c r="A866" s="24" t="s">
        <v>23</v>
      </c>
      <c r="B866" s="24" t="s">
        <v>915</v>
      </c>
      <c r="C866" s="12" t="s">
        <v>916</v>
      </c>
      <c r="D866" s="58"/>
      <c r="E866" s="43" t="str">
        <f>HYPERLINK("https://www.google.ru/search?q=00514-1780&amp;newwindow=1&amp;tbm=isch","Еще фото")</f>
        <v>Еще фото</v>
      </c>
      <c r="F866" s="14"/>
      <c r="G866" s="24" t="s">
        <v>237</v>
      </c>
      <c r="H866" s="24" t="s">
        <v>27</v>
      </c>
      <c r="I866" s="24" t="s">
        <v>237</v>
      </c>
      <c r="J866" s="15" t="s">
        <v>37</v>
      </c>
      <c r="K866" s="16" t="s">
        <v>57</v>
      </c>
      <c r="L866" s="61"/>
      <c r="M866" s="15"/>
      <c r="N866" s="15" t="s">
        <v>87</v>
      </c>
      <c r="O866" s="15"/>
      <c r="P866" s="16" t="s">
        <v>88</v>
      </c>
      <c r="Q866" s="17">
        <v>10899</v>
      </c>
      <c r="R866" s="18">
        <v>45</v>
      </c>
      <c r="S866" s="19">
        <v>6893.6174999999994</v>
      </c>
      <c r="T866" s="20" t="s">
        <v>75</v>
      </c>
      <c r="U866" s="21" t="s">
        <v>200</v>
      </c>
      <c r="V866" s="25" t="s">
        <v>96</v>
      </c>
      <c r="W866" s="22">
        <v>1</v>
      </c>
      <c r="X866" s="23"/>
    </row>
    <row r="867" spans="1:24" s="1" customFormat="1" ht="37.049999999999997" customHeight="1" x14ac:dyDescent="0.3">
      <c r="A867" s="24" t="s">
        <v>23</v>
      </c>
      <c r="B867" s="24" t="s">
        <v>915</v>
      </c>
      <c r="C867" s="12" t="s">
        <v>916</v>
      </c>
      <c r="D867" s="59"/>
      <c r="E867" s="43" t="str">
        <f>HYPERLINK("https://www.google.ru/search?q=00514-1780&amp;newwindow=1&amp;tbm=isch","Еще фото")</f>
        <v>Еще фото</v>
      </c>
      <c r="F867" s="14"/>
      <c r="G867" s="24" t="s">
        <v>237</v>
      </c>
      <c r="H867" s="24" t="s">
        <v>27</v>
      </c>
      <c r="I867" s="24" t="s">
        <v>237</v>
      </c>
      <c r="J867" s="15" t="s">
        <v>37</v>
      </c>
      <c r="K867" s="16" t="s">
        <v>57</v>
      </c>
      <c r="L867" s="62"/>
      <c r="M867" s="15"/>
      <c r="N867" s="15" t="s">
        <v>87</v>
      </c>
      <c r="O867" s="15"/>
      <c r="P867" s="16" t="s">
        <v>88</v>
      </c>
      <c r="Q867" s="17">
        <v>10899</v>
      </c>
      <c r="R867" s="18">
        <v>45</v>
      </c>
      <c r="S867" s="19">
        <v>6893.6174999999994</v>
      </c>
      <c r="T867" s="20" t="s">
        <v>75</v>
      </c>
      <c r="U867" s="21" t="s">
        <v>203</v>
      </c>
      <c r="V867" s="22">
        <v>50</v>
      </c>
      <c r="W867" s="22">
        <v>1</v>
      </c>
      <c r="X867" s="23"/>
    </row>
    <row r="868" spans="1:24" s="1" customFormat="1" ht="13.05" customHeight="1" x14ac:dyDescent="0.3">
      <c r="A868" s="11" t="s">
        <v>23</v>
      </c>
      <c r="B868" s="11" t="s">
        <v>918</v>
      </c>
      <c r="C868" s="12" t="s">
        <v>919</v>
      </c>
      <c r="D868" s="57"/>
      <c r="E868" s="43" t="str">
        <f t="shared" ref="E868:E875" si="45">HYPERLINK("https://www.google.ru/search?q=00514-2018&amp;newwindow=1&amp;tbm=isch","Еще фото")</f>
        <v>Еще фото</v>
      </c>
      <c r="F868" s="14" t="s">
        <v>182</v>
      </c>
      <c r="G868" s="11" t="s">
        <v>237</v>
      </c>
      <c r="H868" s="11" t="s">
        <v>27</v>
      </c>
      <c r="I868" s="15" t="s">
        <v>237</v>
      </c>
      <c r="J868" s="15" t="s">
        <v>37</v>
      </c>
      <c r="K868" s="16" t="s">
        <v>57</v>
      </c>
      <c r="L868" s="60" t="s">
        <v>911</v>
      </c>
      <c r="M868" s="15"/>
      <c r="N868" s="15" t="s">
        <v>130</v>
      </c>
      <c r="O868" s="15"/>
      <c r="P868" s="16" t="s">
        <v>254</v>
      </c>
      <c r="Q868" s="17">
        <v>9499</v>
      </c>
      <c r="R868" s="18">
        <v>45</v>
      </c>
      <c r="S868" s="19">
        <v>6008.1174999999994</v>
      </c>
      <c r="T868" s="20" t="s">
        <v>75</v>
      </c>
      <c r="U868" s="33" t="s">
        <v>53</v>
      </c>
      <c r="V868" s="22">
        <v>46</v>
      </c>
      <c r="W868" s="22">
        <v>2</v>
      </c>
      <c r="X868" s="23"/>
    </row>
    <row r="869" spans="1:24" s="1" customFormat="1" ht="13.05" customHeight="1" x14ac:dyDescent="0.3">
      <c r="A869" s="24" t="s">
        <v>23</v>
      </c>
      <c r="B869" s="24" t="s">
        <v>918</v>
      </c>
      <c r="C869" s="12" t="s">
        <v>919</v>
      </c>
      <c r="D869" s="58"/>
      <c r="E869" s="43" t="str">
        <f t="shared" si="45"/>
        <v>Еще фото</v>
      </c>
      <c r="F869" s="14" t="s">
        <v>182</v>
      </c>
      <c r="G869" s="24" t="s">
        <v>237</v>
      </c>
      <c r="H869" s="24" t="s">
        <v>27</v>
      </c>
      <c r="I869" s="24" t="s">
        <v>237</v>
      </c>
      <c r="J869" s="15" t="s">
        <v>37</v>
      </c>
      <c r="K869" s="16" t="s">
        <v>57</v>
      </c>
      <c r="L869" s="61"/>
      <c r="M869" s="15"/>
      <c r="N869" s="15" t="s">
        <v>130</v>
      </c>
      <c r="O869" s="15"/>
      <c r="P869" s="16" t="s">
        <v>254</v>
      </c>
      <c r="Q869" s="17">
        <v>9499</v>
      </c>
      <c r="R869" s="18">
        <v>45</v>
      </c>
      <c r="S869" s="19">
        <v>6008.1174999999994</v>
      </c>
      <c r="T869" s="20" t="s">
        <v>75</v>
      </c>
      <c r="U869" s="21" t="s">
        <v>109</v>
      </c>
      <c r="V869" s="25" t="s">
        <v>65</v>
      </c>
      <c r="W869" s="22">
        <v>1</v>
      </c>
      <c r="X869" s="23"/>
    </row>
    <row r="870" spans="1:24" s="1" customFormat="1" ht="13.05" customHeight="1" x14ac:dyDescent="0.3">
      <c r="A870" s="24" t="s">
        <v>23</v>
      </c>
      <c r="B870" s="24" t="s">
        <v>918</v>
      </c>
      <c r="C870" s="12" t="s">
        <v>919</v>
      </c>
      <c r="D870" s="58"/>
      <c r="E870" s="43" t="str">
        <f t="shared" si="45"/>
        <v>Еще фото</v>
      </c>
      <c r="F870" s="14" t="s">
        <v>182</v>
      </c>
      <c r="G870" s="24" t="s">
        <v>237</v>
      </c>
      <c r="H870" s="24" t="s">
        <v>27</v>
      </c>
      <c r="I870" s="24" t="s">
        <v>237</v>
      </c>
      <c r="J870" s="15" t="s">
        <v>37</v>
      </c>
      <c r="K870" s="16" t="s">
        <v>57</v>
      </c>
      <c r="L870" s="61"/>
      <c r="M870" s="15"/>
      <c r="N870" s="15" t="s">
        <v>130</v>
      </c>
      <c r="O870" s="15"/>
      <c r="P870" s="16" t="s">
        <v>254</v>
      </c>
      <c r="Q870" s="17">
        <v>9499</v>
      </c>
      <c r="R870" s="18">
        <v>45</v>
      </c>
      <c r="S870" s="19">
        <v>6008.1174999999994</v>
      </c>
      <c r="T870" s="20" t="s">
        <v>75</v>
      </c>
      <c r="U870" s="21" t="s">
        <v>104</v>
      </c>
      <c r="V870" s="22">
        <v>48</v>
      </c>
      <c r="W870" s="22">
        <v>1</v>
      </c>
      <c r="X870" s="23"/>
    </row>
    <row r="871" spans="1:24" s="1" customFormat="1" ht="13.05" customHeight="1" x14ac:dyDescent="0.3">
      <c r="A871" s="24" t="s">
        <v>23</v>
      </c>
      <c r="B871" s="24" t="s">
        <v>918</v>
      </c>
      <c r="C871" s="12" t="s">
        <v>919</v>
      </c>
      <c r="D871" s="58"/>
      <c r="E871" s="43" t="str">
        <f t="shared" si="45"/>
        <v>Еще фото</v>
      </c>
      <c r="F871" s="14" t="s">
        <v>182</v>
      </c>
      <c r="G871" s="24" t="s">
        <v>237</v>
      </c>
      <c r="H871" s="24" t="s">
        <v>27</v>
      </c>
      <c r="I871" s="24" t="s">
        <v>237</v>
      </c>
      <c r="J871" s="15" t="s">
        <v>37</v>
      </c>
      <c r="K871" s="16" t="s">
        <v>57</v>
      </c>
      <c r="L871" s="61"/>
      <c r="M871" s="15"/>
      <c r="N871" s="15" t="s">
        <v>130</v>
      </c>
      <c r="O871" s="15"/>
      <c r="P871" s="16" t="s">
        <v>254</v>
      </c>
      <c r="Q871" s="17">
        <v>9499</v>
      </c>
      <c r="R871" s="18">
        <v>45</v>
      </c>
      <c r="S871" s="19">
        <v>6008.1174999999994</v>
      </c>
      <c r="T871" s="20" t="s">
        <v>75</v>
      </c>
      <c r="U871" s="21" t="s">
        <v>359</v>
      </c>
      <c r="V871" s="25" t="s">
        <v>96</v>
      </c>
      <c r="W871" s="22">
        <v>1</v>
      </c>
      <c r="X871" s="23"/>
    </row>
    <row r="872" spans="1:24" s="1" customFormat="1" ht="13.05" customHeight="1" x14ac:dyDescent="0.3">
      <c r="A872" s="24" t="s">
        <v>23</v>
      </c>
      <c r="B872" s="24" t="s">
        <v>918</v>
      </c>
      <c r="C872" s="12" t="s">
        <v>919</v>
      </c>
      <c r="D872" s="58"/>
      <c r="E872" s="43" t="str">
        <f t="shared" si="45"/>
        <v>Еще фото</v>
      </c>
      <c r="F872" s="14" t="s">
        <v>182</v>
      </c>
      <c r="G872" s="24" t="s">
        <v>237</v>
      </c>
      <c r="H872" s="24" t="s">
        <v>27</v>
      </c>
      <c r="I872" s="24" t="s">
        <v>237</v>
      </c>
      <c r="J872" s="15" t="s">
        <v>37</v>
      </c>
      <c r="K872" s="16" t="s">
        <v>57</v>
      </c>
      <c r="L872" s="61"/>
      <c r="M872" s="15"/>
      <c r="N872" s="15" t="s">
        <v>130</v>
      </c>
      <c r="O872" s="15"/>
      <c r="P872" s="16" t="s">
        <v>254</v>
      </c>
      <c r="Q872" s="17">
        <v>9499</v>
      </c>
      <c r="R872" s="18">
        <v>45</v>
      </c>
      <c r="S872" s="19">
        <v>6008.1174999999994</v>
      </c>
      <c r="T872" s="20" t="s">
        <v>75</v>
      </c>
      <c r="U872" s="21" t="s">
        <v>89</v>
      </c>
      <c r="V872" s="22">
        <v>50</v>
      </c>
      <c r="W872" s="22">
        <v>1</v>
      </c>
      <c r="X872" s="23"/>
    </row>
    <row r="873" spans="1:24" s="1" customFormat="1" ht="13.05" customHeight="1" x14ac:dyDescent="0.3">
      <c r="A873" s="24" t="s">
        <v>23</v>
      </c>
      <c r="B873" s="24" t="s">
        <v>918</v>
      </c>
      <c r="C873" s="12" t="s">
        <v>919</v>
      </c>
      <c r="D873" s="58"/>
      <c r="E873" s="43" t="str">
        <f t="shared" si="45"/>
        <v>Еще фото</v>
      </c>
      <c r="F873" s="14" t="s">
        <v>182</v>
      </c>
      <c r="G873" s="24" t="s">
        <v>237</v>
      </c>
      <c r="H873" s="24" t="s">
        <v>27</v>
      </c>
      <c r="I873" s="24" t="s">
        <v>237</v>
      </c>
      <c r="J873" s="15" t="s">
        <v>37</v>
      </c>
      <c r="K873" s="16" t="s">
        <v>57</v>
      </c>
      <c r="L873" s="61"/>
      <c r="M873" s="15"/>
      <c r="N873" s="15" t="s">
        <v>130</v>
      </c>
      <c r="O873" s="15"/>
      <c r="P873" s="16" t="s">
        <v>254</v>
      </c>
      <c r="Q873" s="17">
        <v>9499</v>
      </c>
      <c r="R873" s="18">
        <v>45</v>
      </c>
      <c r="S873" s="19">
        <v>6008.1174999999994</v>
      </c>
      <c r="T873" s="20" t="s">
        <v>75</v>
      </c>
      <c r="U873" s="21" t="s">
        <v>100</v>
      </c>
      <c r="V873" s="22">
        <v>50</v>
      </c>
      <c r="W873" s="22">
        <v>1</v>
      </c>
      <c r="X873" s="23"/>
    </row>
    <row r="874" spans="1:24" s="1" customFormat="1" ht="13.05" customHeight="1" x14ac:dyDescent="0.3">
      <c r="A874" s="24" t="s">
        <v>23</v>
      </c>
      <c r="B874" s="24" t="s">
        <v>918</v>
      </c>
      <c r="C874" s="12" t="s">
        <v>919</v>
      </c>
      <c r="D874" s="58"/>
      <c r="E874" s="43" t="str">
        <f t="shared" si="45"/>
        <v>Еще фото</v>
      </c>
      <c r="F874" s="14" t="s">
        <v>182</v>
      </c>
      <c r="G874" s="24" t="s">
        <v>237</v>
      </c>
      <c r="H874" s="24" t="s">
        <v>27</v>
      </c>
      <c r="I874" s="24" t="s">
        <v>237</v>
      </c>
      <c r="J874" s="15" t="s">
        <v>37</v>
      </c>
      <c r="K874" s="16" t="s">
        <v>57</v>
      </c>
      <c r="L874" s="61"/>
      <c r="M874" s="15"/>
      <c r="N874" s="15" t="s">
        <v>130</v>
      </c>
      <c r="O874" s="15"/>
      <c r="P874" s="16" t="s">
        <v>254</v>
      </c>
      <c r="Q874" s="17">
        <v>9499</v>
      </c>
      <c r="R874" s="18">
        <v>45</v>
      </c>
      <c r="S874" s="19">
        <v>6008.1174999999994</v>
      </c>
      <c r="T874" s="20" t="s">
        <v>75</v>
      </c>
      <c r="U874" s="21" t="s">
        <v>167</v>
      </c>
      <c r="V874" s="22">
        <v>52</v>
      </c>
      <c r="W874" s="22">
        <v>2</v>
      </c>
      <c r="X874" s="23"/>
    </row>
    <row r="875" spans="1:24" s="1" customFormat="1" ht="18" customHeight="1" x14ac:dyDescent="0.3">
      <c r="A875" s="24" t="s">
        <v>23</v>
      </c>
      <c r="B875" s="24" t="s">
        <v>918</v>
      </c>
      <c r="C875" s="12" t="s">
        <v>919</v>
      </c>
      <c r="D875" s="59"/>
      <c r="E875" s="43" t="str">
        <f t="shared" si="45"/>
        <v>Еще фото</v>
      </c>
      <c r="F875" s="14" t="s">
        <v>182</v>
      </c>
      <c r="G875" s="24" t="s">
        <v>237</v>
      </c>
      <c r="H875" s="24" t="s">
        <v>27</v>
      </c>
      <c r="I875" s="24" t="s">
        <v>237</v>
      </c>
      <c r="J875" s="15" t="s">
        <v>37</v>
      </c>
      <c r="K875" s="16" t="s">
        <v>57</v>
      </c>
      <c r="L875" s="62"/>
      <c r="M875" s="15"/>
      <c r="N875" s="15" t="s">
        <v>130</v>
      </c>
      <c r="O875" s="15"/>
      <c r="P875" s="16" t="s">
        <v>254</v>
      </c>
      <c r="Q875" s="17">
        <v>9499</v>
      </c>
      <c r="R875" s="18">
        <v>45</v>
      </c>
      <c r="S875" s="19">
        <v>6008.1174999999994</v>
      </c>
      <c r="T875" s="20" t="s">
        <v>75</v>
      </c>
      <c r="U875" s="21" t="s">
        <v>196</v>
      </c>
      <c r="V875" s="22">
        <v>54</v>
      </c>
      <c r="W875" s="22">
        <v>1</v>
      </c>
      <c r="X875" s="23"/>
    </row>
    <row r="876" spans="1:24" s="1" customFormat="1" ht="13.05" customHeight="1" x14ac:dyDescent="0.3">
      <c r="A876" s="11" t="s">
        <v>23</v>
      </c>
      <c r="B876" s="11" t="s">
        <v>920</v>
      </c>
      <c r="C876" s="12" t="s">
        <v>921</v>
      </c>
      <c r="D876" s="57"/>
      <c r="E876" s="43" t="str">
        <f t="shared" ref="E876:E883" si="46">HYPERLINK("https://www.google.ru/search?q=00514-2022&amp;newwindow=1&amp;tbm=isch","Еще фото")</f>
        <v>Еще фото</v>
      </c>
      <c r="F876" s="14"/>
      <c r="G876" s="11" t="s">
        <v>237</v>
      </c>
      <c r="H876" s="11" t="s">
        <v>27</v>
      </c>
      <c r="I876" s="15" t="s">
        <v>237</v>
      </c>
      <c r="J876" s="15" t="s">
        <v>37</v>
      </c>
      <c r="K876" s="16" t="s">
        <v>57</v>
      </c>
      <c r="L876" s="60" t="s">
        <v>911</v>
      </c>
      <c r="M876" s="15"/>
      <c r="N876" s="15" t="s">
        <v>138</v>
      </c>
      <c r="O876" s="15"/>
      <c r="P876" s="16" t="s">
        <v>358</v>
      </c>
      <c r="Q876" s="17">
        <v>9499</v>
      </c>
      <c r="R876" s="18">
        <v>45</v>
      </c>
      <c r="S876" s="19">
        <v>6008.1174999999994</v>
      </c>
      <c r="T876" s="20" t="s">
        <v>75</v>
      </c>
      <c r="U876" s="33" t="s">
        <v>109</v>
      </c>
      <c r="V876" s="25" t="s">
        <v>65</v>
      </c>
      <c r="W876" s="22">
        <v>1</v>
      </c>
      <c r="X876" s="23"/>
    </row>
    <row r="877" spans="1:24" s="1" customFormat="1" ht="13.05" customHeight="1" x14ac:dyDescent="0.3">
      <c r="A877" s="24" t="s">
        <v>23</v>
      </c>
      <c r="B877" s="24" t="s">
        <v>920</v>
      </c>
      <c r="C877" s="12" t="s">
        <v>921</v>
      </c>
      <c r="D877" s="58"/>
      <c r="E877" s="43" t="str">
        <f t="shared" si="46"/>
        <v>Еще фото</v>
      </c>
      <c r="F877" s="14"/>
      <c r="G877" s="24" t="s">
        <v>237</v>
      </c>
      <c r="H877" s="24" t="s">
        <v>27</v>
      </c>
      <c r="I877" s="24" t="s">
        <v>237</v>
      </c>
      <c r="J877" s="15" t="s">
        <v>37</v>
      </c>
      <c r="K877" s="16" t="s">
        <v>57</v>
      </c>
      <c r="L877" s="61"/>
      <c r="M877" s="15"/>
      <c r="N877" s="15" t="s">
        <v>138</v>
      </c>
      <c r="O877" s="15"/>
      <c r="P877" s="16" t="s">
        <v>358</v>
      </c>
      <c r="Q877" s="17">
        <v>9499</v>
      </c>
      <c r="R877" s="18">
        <v>45</v>
      </c>
      <c r="S877" s="19">
        <v>6008.1174999999994</v>
      </c>
      <c r="T877" s="20" t="s">
        <v>75</v>
      </c>
      <c r="U877" s="21" t="s">
        <v>95</v>
      </c>
      <c r="V877" s="22">
        <v>48</v>
      </c>
      <c r="W877" s="22">
        <v>1</v>
      </c>
      <c r="X877" s="23"/>
    </row>
    <row r="878" spans="1:24" s="1" customFormat="1" ht="13.05" customHeight="1" x14ac:dyDescent="0.3">
      <c r="A878" s="24" t="s">
        <v>23</v>
      </c>
      <c r="B878" s="24" t="s">
        <v>920</v>
      </c>
      <c r="C878" s="12" t="s">
        <v>921</v>
      </c>
      <c r="D878" s="58"/>
      <c r="E878" s="43" t="str">
        <f t="shared" si="46"/>
        <v>Еще фото</v>
      </c>
      <c r="F878" s="14"/>
      <c r="G878" s="24" t="s">
        <v>237</v>
      </c>
      <c r="H878" s="24" t="s">
        <v>27</v>
      </c>
      <c r="I878" s="24" t="s">
        <v>237</v>
      </c>
      <c r="J878" s="15" t="s">
        <v>37</v>
      </c>
      <c r="K878" s="16" t="s">
        <v>57</v>
      </c>
      <c r="L878" s="61"/>
      <c r="M878" s="15"/>
      <c r="N878" s="15" t="s">
        <v>138</v>
      </c>
      <c r="O878" s="15"/>
      <c r="P878" s="16" t="s">
        <v>358</v>
      </c>
      <c r="Q878" s="17">
        <v>9499</v>
      </c>
      <c r="R878" s="18">
        <v>45</v>
      </c>
      <c r="S878" s="19">
        <v>6008.1174999999994</v>
      </c>
      <c r="T878" s="20" t="s">
        <v>75</v>
      </c>
      <c r="U878" s="21" t="s">
        <v>165</v>
      </c>
      <c r="V878" s="22">
        <v>48</v>
      </c>
      <c r="W878" s="22">
        <v>3</v>
      </c>
      <c r="X878" s="23"/>
    </row>
    <row r="879" spans="1:24" s="1" customFormat="1" ht="13.05" customHeight="1" x14ac:dyDescent="0.3">
      <c r="A879" s="24" t="s">
        <v>23</v>
      </c>
      <c r="B879" s="24" t="s">
        <v>920</v>
      </c>
      <c r="C879" s="12" t="s">
        <v>921</v>
      </c>
      <c r="D879" s="58"/>
      <c r="E879" s="43" t="str">
        <f t="shared" si="46"/>
        <v>Еще фото</v>
      </c>
      <c r="F879" s="14"/>
      <c r="G879" s="24" t="s">
        <v>237</v>
      </c>
      <c r="H879" s="24" t="s">
        <v>27</v>
      </c>
      <c r="I879" s="24" t="s">
        <v>237</v>
      </c>
      <c r="J879" s="15" t="s">
        <v>37</v>
      </c>
      <c r="K879" s="16" t="s">
        <v>57</v>
      </c>
      <c r="L879" s="61"/>
      <c r="M879" s="15"/>
      <c r="N879" s="15" t="s">
        <v>138</v>
      </c>
      <c r="O879" s="15"/>
      <c r="P879" s="16" t="s">
        <v>358</v>
      </c>
      <c r="Q879" s="17">
        <v>9499</v>
      </c>
      <c r="R879" s="18">
        <v>45</v>
      </c>
      <c r="S879" s="19">
        <v>6008.1174999999994</v>
      </c>
      <c r="T879" s="20" t="s">
        <v>75</v>
      </c>
      <c r="U879" s="21" t="s">
        <v>104</v>
      </c>
      <c r="V879" s="22">
        <v>48</v>
      </c>
      <c r="W879" s="22">
        <v>2</v>
      </c>
      <c r="X879" s="23"/>
    </row>
    <row r="880" spans="1:24" s="1" customFormat="1" ht="13.05" customHeight="1" x14ac:dyDescent="0.3">
      <c r="A880" s="24" t="s">
        <v>23</v>
      </c>
      <c r="B880" s="24" t="s">
        <v>920</v>
      </c>
      <c r="C880" s="12" t="s">
        <v>921</v>
      </c>
      <c r="D880" s="58"/>
      <c r="E880" s="43" t="str">
        <f t="shared" si="46"/>
        <v>Еще фото</v>
      </c>
      <c r="F880" s="14"/>
      <c r="G880" s="24" t="s">
        <v>237</v>
      </c>
      <c r="H880" s="24" t="s">
        <v>27</v>
      </c>
      <c r="I880" s="24" t="s">
        <v>237</v>
      </c>
      <c r="J880" s="15" t="s">
        <v>37</v>
      </c>
      <c r="K880" s="16" t="s">
        <v>57</v>
      </c>
      <c r="L880" s="61"/>
      <c r="M880" s="15"/>
      <c r="N880" s="15" t="s">
        <v>138</v>
      </c>
      <c r="O880" s="15"/>
      <c r="P880" s="16" t="s">
        <v>358</v>
      </c>
      <c r="Q880" s="17">
        <v>9499</v>
      </c>
      <c r="R880" s="18">
        <v>45</v>
      </c>
      <c r="S880" s="19">
        <v>6008.1174999999994</v>
      </c>
      <c r="T880" s="20" t="s">
        <v>75</v>
      </c>
      <c r="U880" s="21" t="s">
        <v>166</v>
      </c>
      <c r="V880" s="25" t="s">
        <v>96</v>
      </c>
      <c r="W880" s="22">
        <v>2</v>
      </c>
      <c r="X880" s="23"/>
    </row>
    <row r="881" spans="1:24" s="1" customFormat="1" ht="13.05" customHeight="1" x14ac:dyDescent="0.3">
      <c r="A881" s="24" t="s">
        <v>23</v>
      </c>
      <c r="B881" s="24" t="s">
        <v>920</v>
      </c>
      <c r="C881" s="12" t="s">
        <v>921</v>
      </c>
      <c r="D881" s="58"/>
      <c r="E881" s="43" t="str">
        <f t="shared" si="46"/>
        <v>Еще фото</v>
      </c>
      <c r="F881" s="14"/>
      <c r="G881" s="24" t="s">
        <v>237</v>
      </c>
      <c r="H881" s="24" t="s">
        <v>27</v>
      </c>
      <c r="I881" s="24" t="s">
        <v>237</v>
      </c>
      <c r="J881" s="15" t="s">
        <v>37</v>
      </c>
      <c r="K881" s="16" t="s">
        <v>57</v>
      </c>
      <c r="L881" s="61"/>
      <c r="M881" s="15"/>
      <c r="N881" s="15" t="s">
        <v>138</v>
      </c>
      <c r="O881" s="15"/>
      <c r="P881" s="16" t="s">
        <v>358</v>
      </c>
      <c r="Q881" s="17">
        <v>9499</v>
      </c>
      <c r="R881" s="18">
        <v>45</v>
      </c>
      <c r="S881" s="19">
        <v>6008.1174999999994</v>
      </c>
      <c r="T881" s="20" t="s">
        <v>75</v>
      </c>
      <c r="U881" s="21" t="s">
        <v>89</v>
      </c>
      <c r="V881" s="22">
        <v>50</v>
      </c>
      <c r="W881" s="22">
        <v>1</v>
      </c>
      <c r="X881" s="23"/>
    </row>
    <row r="882" spans="1:24" s="1" customFormat="1" ht="13.05" customHeight="1" x14ac:dyDescent="0.3">
      <c r="A882" s="24" t="s">
        <v>23</v>
      </c>
      <c r="B882" s="24" t="s">
        <v>920</v>
      </c>
      <c r="C882" s="12" t="s">
        <v>921</v>
      </c>
      <c r="D882" s="58"/>
      <c r="E882" s="43" t="str">
        <f t="shared" si="46"/>
        <v>Еще фото</v>
      </c>
      <c r="F882" s="14"/>
      <c r="G882" s="24" t="s">
        <v>237</v>
      </c>
      <c r="H882" s="24" t="s">
        <v>27</v>
      </c>
      <c r="I882" s="24" t="s">
        <v>237</v>
      </c>
      <c r="J882" s="15" t="s">
        <v>37</v>
      </c>
      <c r="K882" s="16" t="s">
        <v>57</v>
      </c>
      <c r="L882" s="61"/>
      <c r="M882" s="15"/>
      <c r="N882" s="15" t="s">
        <v>138</v>
      </c>
      <c r="O882" s="15"/>
      <c r="P882" s="16" t="s">
        <v>358</v>
      </c>
      <c r="Q882" s="17">
        <v>9499</v>
      </c>
      <c r="R882" s="18">
        <v>45</v>
      </c>
      <c r="S882" s="19">
        <v>6008.1174999999994</v>
      </c>
      <c r="T882" s="20" t="s">
        <v>75</v>
      </c>
      <c r="U882" s="21" t="s">
        <v>167</v>
      </c>
      <c r="V882" s="22">
        <v>52</v>
      </c>
      <c r="W882" s="22">
        <v>2</v>
      </c>
      <c r="X882" s="23"/>
    </row>
    <row r="883" spans="1:24" s="1" customFormat="1" ht="18" customHeight="1" x14ac:dyDescent="0.3">
      <c r="A883" s="24" t="s">
        <v>23</v>
      </c>
      <c r="B883" s="24" t="s">
        <v>920</v>
      </c>
      <c r="C883" s="12" t="s">
        <v>921</v>
      </c>
      <c r="D883" s="59"/>
      <c r="E883" s="43" t="str">
        <f t="shared" si="46"/>
        <v>Еще фото</v>
      </c>
      <c r="F883" s="14"/>
      <c r="G883" s="24" t="s">
        <v>237</v>
      </c>
      <c r="H883" s="24" t="s">
        <v>27</v>
      </c>
      <c r="I883" s="24" t="s">
        <v>237</v>
      </c>
      <c r="J883" s="15" t="s">
        <v>37</v>
      </c>
      <c r="K883" s="16" t="s">
        <v>57</v>
      </c>
      <c r="L883" s="62"/>
      <c r="M883" s="15"/>
      <c r="N883" s="15" t="s">
        <v>138</v>
      </c>
      <c r="O883" s="15"/>
      <c r="P883" s="16" t="s">
        <v>358</v>
      </c>
      <c r="Q883" s="17">
        <v>9499</v>
      </c>
      <c r="R883" s="18">
        <v>45</v>
      </c>
      <c r="S883" s="19">
        <v>6008.1174999999994</v>
      </c>
      <c r="T883" s="20" t="s">
        <v>75</v>
      </c>
      <c r="U883" s="21" t="s">
        <v>168</v>
      </c>
      <c r="V883" s="22">
        <v>52</v>
      </c>
      <c r="W883" s="22">
        <v>1</v>
      </c>
      <c r="X883" s="23"/>
    </row>
    <row r="884" spans="1:24" s="1" customFormat="1" ht="11" customHeight="1" x14ac:dyDescent="0.3">
      <c r="A884" s="11" t="s">
        <v>23</v>
      </c>
      <c r="B884" s="11" t="s">
        <v>922</v>
      </c>
      <c r="C884" s="12" t="s">
        <v>923</v>
      </c>
      <c r="D884" s="57"/>
      <c r="E884" s="43" t="str">
        <f t="shared" ref="E884:E894" si="47">HYPERLINK("https://www.google.ru/search?q=0057U-0005&amp;newwindow=1&amp;tbm=isch","Еще фото")</f>
        <v>Еще фото</v>
      </c>
      <c r="F884" s="14"/>
      <c r="G884" s="11" t="s">
        <v>237</v>
      </c>
      <c r="H884" s="11" t="s">
        <v>27</v>
      </c>
      <c r="I884" s="15" t="s">
        <v>237</v>
      </c>
      <c r="J884" s="15" t="s">
        <v>37</v>
      </c>
      <c r="K884" s="16" t="s">
        <v>57</v>
      </c>
      <c r="L884" s="60" t="s">
        <v>924</v>
      </c>
      <c r="M884" s="15"/>
      <c r="N884" s="15" t="s">
        <v>39</v>
      </c>
      <c r="O884" s="15"/>
      <c r="P884" s="16" t="s">
        <v>172</v>
      </c>
      <c r="Q884" s="17">
        <v>14699</v>
      </c>
      <c r="R884" s="18">
        <v>45</v>
      </c>
      <c r="S884" s="19">
        <v>9297.1174999999985</v>
      </c>
      <c r="T884" s="20" t="s">
        <v>75</v>
      </c>
      <c r="U884" s="21" t="s">
        <v>53</v>
      </c>
      <c r="V884" s="22">
        <v>46</v>
      </c>
      <c r="W884" s="22">
        <v>14</v>
      </c>
      <c r="X884" s="23"/>
    </row>
    <row r="885" spans="1:24" s="1" customFormat="1" ht="11" customHeight="1" x14ac:dyDescent="0.3">
      <c r="A885" s="24" t="s">
        <v>23</v>
      </c>
      <c r="B885" s="24" t="s">
        <v>922</v>
      </c>
      <c r="C885" s="12" t="s">
        <v>923</v>
      </c>
      <c r="D885" s="58"/>
      <c r="E885" s="43" t="str">
        <f t="shared" si="47"/>
        <v>Еще фото</v>
      </c>
      <c r="F885" s="14"/>
      <c r="G885" s="24" t="s">
        <v>237</v>
      </c>
      <c r="H885" s="24" t="s">
        <v>27</v>
      </c>
      <c r="I885" s="24" t="s">
        <v>237</v>
      </c>
      <c r="J885" s="15" t="s">
        <v>37</v>
      </c>
      <c r="K885" s="16" t="s">
        <v>57</v>
      </c>
      <c r="L885" s="61"/>
      <c r="M885" s="15"/>
      <c r="N885" s="15" t="s">
        <v>39</v>
      </c>
      <c r="O885" s="15"/>
      <c r="P885" s="16" t="s">
        <v>172</v>
      </c>
      <c r="Q885" s="17">
        <v>14699</v>
      </c>
      <c r="R885" s="18">
        <v>45</v>
      </c>
      <c r="S885" s="19">
        <v>9297.1174999999985</v>
      </c>
      <c r="T885" s="20" t="s">
        <v>75</v>
      </c>
      <c r="U885" s="21" t="s">
        <v>109</v>
      </c>
      <c r="V885" s="25" t="s">
        <v>65</v>
      </c>
      <c r="W885" s="22">
        <v>20</v>
      </c>
      <c r="X885" s="23"/>
    </row>
    <row r="886" spans="1:24" s="1" customFormat="1" ht="11" customHeight="1" x14ac:dyDescent="0.3">
      <c r="A886" s="24" t="s">
        <v>23</v>
      </c>
      <c r="B886" s="24" t="s">
        <v>922</v>
      </c>
      <c r="C886" s="12" t="s">
        <v>923</v>
      </c>
      <c r="D886" s="58"/>
      <c r="E886" s="43" t="str">
        <f t="shared" si="47"/>
        <v>Еще фото</v>
      </c>
      <c r="F886" s="14"/>
      <c r="G886" s="24" t="s">
        <v>237</v>
      </c>
      <c r="H886" s="24" t="s">
        <v>27</v>
      </c>
      <c r="I886" s="24" t="s">
        <v>237</v>
      </c>
      <c r="J886" s="15" t="s">
        <v>37</v>
      </c>
      <c r="K886" s="16" t="s">
        <v>57</v>
      </c>
      <c r="L886" s="61"/>
      <c r="M886" s="15"/>
      <c r="N886" s="15" t="s">
        <v>39</v>
      </c>
      <c r="O886" s="15"/>
      <c r="P886" s="16" t="s">
        <v>172</v>
      </c>
      <c r="Q886" s="17">
        <v>14699</v>
      </c>
      <c r="R886" s="18">
        <v>45</v>
      </c>
      <c r="S886" s="19">
        <v>9297.1174999999985</v>
      </c>
      <c r="T886" s="20" t="s">
        <v>75</v>
      </c>
      <c r="U886" s="21" t="s">
        <v>165</v>
      </c>
      <c r="V886" s="22">
        <v>48</v>
      </c>
      <c r="W886" s="22">
        <v>26</v>
      </c>
      <c r="X886" s="23"/>
    </row>
    <row r="887" spans="1:24" s="1" customFormat="1" ht="11" customHeight="1" x14ac:dyDescent="0.3">
      <c r="A887" s="24" t="s">
        <v>23</v>
      </c>
      <c r="B887" s="24" t="s">
        <v>922</v>
      </c>
      <c r="C887" s="12" t="s">
        <v>923</v>
      </c>
      <c r="D887" s="58"/>
      <c r="E887" s="43" t="str">
        <f t="shared" si="47"/>
        <v>Еще фото</v>
      </c>
      <c r="F887" s="14"/>
      <c r="G887" s="24" t="s">
        <v>237</v>
      </c>
      <c r="H887" s="24" t="s">
        <v>27</v>
      </c>
      <c r="I887" s="24" t="s">
        <v>237</v>
      </c>
      <c r="J887" s="15" t="s">
        <v>37</v>
      </c>
      <c r="K887" s="16" t="s">
        <v>57</v>
      </c>
      <c r="L887" s="61"/>
      <c r="M887" s="15"/>
      <c r="N887" s="15" t="s">
        <v>39</v>
      </c>
      <c r="O887" s="15"/>
      <c r="P887" s="16" t="s">
        <v>172</v>
      </c>
      <c r="Q887" s="17">
        <v>14699</v>
      </c>
      <c r="R887" s="18">
        <v>45</v>
      </c>
      <c r="S887" s="19">
        <v>9297.1174999999985</v>
      </c>
      <c r="T887" s="20" t="s">
        <v>75</v>
      </c>
      <c r="U887" s="21" t="s">
        <v>104</v>
      </c>
      <c r="V887" s="22">
        <v>48</v>
      </c>
      <c r="W887" s="22">
        <v>10</v>
      </c>
      <c r="X887" s="23"/>
    </row>
    <row r="888" spans="1:24" s="1" customFormat="1" ht="11" customHeight="1" x14ac:dyDescent="0.3">
      <c r="A888" s="24" t="s">
        <v>23</v>
      </c>
      <c r="B888" s="24" t="s">
        <v>922</v>
      </c>
      <c r="C888" s="12" t="s">
        <v>923</v>
      </c>
      <c r="D888" s="58"/>
      <c r="E888" s="43" t="str">
        <f t="shared" si="47"/>
        <v>Еще фото</v>
      </c>
      <c r="F888" s="14"/>
      <c r="G888" s="24" t="s">
        <v>237</v>
      </c>
      <c r="H888" s="24" t="s">
        <v>27</v>
      </c>
      <c r="I888" s="24" t="s">
        <v>237</v>
      </c>
      <c r="J888" s="15" t="s">
        <v>37</v>
      </c>
      <c r="K888" s="16" t="s">
        <v>57</v>
      </c>
      <c r="L888" s="61"/>
      <c r="M888" s="15"/>
      <c r="N888" s="15" t="s">
        <v>39</v>
      </c>
      <c r="O888" s="15"/>
      <c r="P888" s="16" t="s">
        <v>172</v>
      </c>
      <c r="Q888" s="17">
        <v>14699</v>
      </c>
      <c r="R888" s="18">
        <v>45</v>
      </c>
      <c r="S888" s="19">
        <v>9297.1174999999985</v>
      </c>
      <c r="T888" s="20" t="s">
        <v>75</v>
      </c>
      <c r="U888" s="21" t="s">
        <v>166</v>
      </c>
      <c r="V888" s="25" t="s">
        <v>96</v>
      </c>
      <c r="W888" s="22">
        <v>18</v>
      </c>
      <c r="X888" s="23"/>
    </row>
    <row r="889" spans="1:24" s="1" customFormat="1" ht="11" customHeight="1" x14ac:dyDescent="0.3">
      <c r="A889" s="24" t="s">
        <v>23</v>
      </c>
      <c r="B889" s="24" t="s">
        <v>922</v>
      </c>
      <c r="C889" s="12" t="s">
        <v>923</v>
      </c>
      <c r="D889" s="58"/>
      <c r="E889" s="43" t="str">
        <f t="shared" si="47"/>
        <v>Еще фото</v>
      </c>
      <c r="F889" s="14"/>
      <c r="G889" s="24" t="s">
        <v>237</v>
      </c>
      <c r="H889" s="24" t="s">
        <v>27</v>
      </c>
      <c r="I889" s="24" t="s">
        <v>237</v>
      </c>
      <c r="J889" s="15" t="s">
        <v>37</v>
      </c>
      <c r="K889" s="16" t="s">
        <v>57</v>
      </c>
      <c r="L889" s="61"/>
      <c r="M889" s="15"/>
      <c r="N889" s="15" t="s">
        <v>39</v>
      </c>
      <c r="O889" s="15"/>
      <c r="P889" s="16" t="s">
        <v>172</v>
      </c>
      <c r="Q889" s="17">
        <v>14699</v>
      </c>
      <c r="R889" s="18">
        <v>45</v>
      </c>
      <c r="S889" s="19">
        <v>9297.1174999999985</v>
      </c>
      <c r="T889" s="20" t="s">
        <v>75</v>
      </c>
      <c r="U889" s="21" t="s">
        <v>359</v>
      </c>
      <c r="V889" s="25" t="s">
        <v>96</v>
      </c>
      <c r="W889" s="22">
        <v>8</v>
      </c>
      <c r="X889" s="23"/>
    </row>
    <row r="890" spans="1:24" s="1" customFormat="1" ht="11" customHeight="1" x14ac:dyDescent="0.3">
      <c r="A890" s="24" t="s">
        <v>23</v>
      </c>
      <c r="B890" s="24" t="s">
        <v>922</v>
      </c>
      <c r="C890" s="12" t="s">
        <v>923</v>
      </c>
      <c r="D890" s="58"/>
      <c r="E890" s="43" t="str">
        <f t="shared" si="47"/>
        <v>Еще фото</v>
      </c>
      <c r="F890" s="14"/>
      <c r="G890" s="24" t="s">
        <v>237</v>
      </c>
      <c r="H890" s="24" t="s">
        <v>27</v>
      </c>
      <c r="I890" s="24" t="s">
        <v>237</v>
      </c>
      <c r="J890" s="15" t="s">
        <v>37</v>
      </c>
      <c r="K890" s="16" t="s">
        <v>57</v>
      </c>
      <c r="L890" s="61"/>
      <c r="M890" s="15"/>
      <c r="N890" s="15" t="s">
        <v>39</v>
      </c>
      <c r="O890" s="15"/>
      <c r="P890" s="16" t="s">
        <v>172</v>
      </c>
      <c r="Q890" s="17">
        <v>14699</v>
      </c>
      <c r="R890" s="18">
        <v>45</v>
      </c>
      <c r="S890" s="19">
        <v>9297.1174999999985</v>
      </c>
      <c r="T890" s="20" t="s">
        <v>75</v>
      </c>
      <c r="U890" s="21" t="s">
        <v>89</v>
      </c>
      <c r="V890" s="22">
        <v>50</v>
      </c>
      <c r="W890" s="22">
        <v>16</v>
      </c>
      <c r="X890" s="23"/>
    </row>
    <row r="891" spans="1:24" s="1" customFormat="1" ht="11" customHeight="1" x14ac:dyDescent="0.3">
      <c r="A891" s="24" t="s">
        <v>23</v>
      </c>
      <c r="B891" s="24" t="s">
        <v>922</v>
      </c>
      <c r="C891" s="12" t="s">
        <v>923</v>
      </c>
      <c r="D891" s="58"/>
      <c r="E891" s="43" t="str">
        <f t="shared" si="47"/>
        <v>Еще фото</v>
      </c>
      <c r="F891" s="14"/>
      <c r="G891" s="24" t="s">
        <v>237</v>
      </c>
      <c r="H891" s="24" t="s">
        <v>27</v>
      </c>
      <c r="I891" s="24" t="s">
        <v>237</v>
      </c>
      <c r="J891" s="15" t="s">
        <v>37</v>
      </c>
      <c r="K891" s="16" t="s">
        <v>57</v>
      </c>
      <c r="L891" s="61"/>
      <c r="M891" s="15"/>
      <c r="N891" s="15" t="s">
        <v>39</v>
      </c>
      <c r="O891" s="15"/>
      <c r="P891" s="16" t="s">
        <v>172</v>
      </c>
      <c r="Q891" s="17">
        <v>14699</v>
      </c>
      <c r="R891" s="18">
        <v>45</v>
      </c>
      <c r="S891" s="19">
        <v>9297.1174999999985</v>
      </c>
      <c r="T891" s="20" t="s">
        <v>75</v>
      </c>
      <c r="U891" s="21" t="s">
        <v>100</v>
      </c>
      <c r="V891" s="22">
        <v>50</v>
      </c>
      <c r="W891" s="22">
        <v>8</v>
      </c>
      <c r="X891" s="23"/>
    </row>
    <row r="892" spans="1:24" s="1" customFormat="1" ht="11" customHeight="1" x14ac:dyDescent="0.3">
      <c r="A892" s="24" t="s">
        <v>23</v>
      </c>
      <c r="B892" s="24" t="s">
        <v>922</v>
      </c>
      <c r="C892" s="12" t="s">
        <v>923</v>
      </c>
      <c r="D892" s="58"/>
      <c r="E892" s="43" t="str">
        <f t="shared" si="47"/>
        <v>Еще фото</v>
      </c>
      <c r="F892" s="14"/>
      <c r="G892" s="24" t="s">
        <v>237</v>
      </c>
      <c r="H892" s="24" t="s">
        <v>27</v>
      </c>
      <c r="I892" s="24" t="s">
        <v>237</v>
      </c>
      <c r="J892" s="15" t="s">
        <v>37</v>
      </c>
      <c r="K892" s="16" t="s">
        <v>57</v>
      </c>
      <c r="L892" s="61"/>
      <c r="M892" s="15"/>
      <c r="N892" s="15" t="s">
        <v>39</v>
      </c>
      <c r="O892" s="15"/>
      <c r="P892" s="16" t="s">
        <v>172</v>
      </c>
      <c r="Q892" s="17">
        <v>14699</v>
      </c>
      <c r="R892" s="18">
        <v>45</v>
      </c>
      <c r="S892" s="19">
        <v>9297.1174999999985</v>
      </c>
      <c r="T892" s="20" t="s">
        <v>75</v>
      </c>
      <c r="U892" s="21" t="s">
        <v>167</v>
      </c>
      <c r="V892" s="22">
        <v>52</v>
      </c>
      <c r="W892" s="22">
        <v>14</v>
      </c>
      <c r="X892" s="23"/>
    </row>
    <row r="893" spans="1:24" s="1" customFormat="1" ht="11" customHeight="1" x14ac:dyDescent="0.3">
      <c r="A893" s="15" t="s">
        <v>23</v>
      </c>
      <c r="B893" s="15" t="s">
        <v>922</v>
      </c>
      <c r="C893" s="12" t="s">
        <v>923</v>
      </c>
      <c r="D893" s="58"/>
      <c r="E893" s="43" t="str">
        <f t="shared" si="47"/>
        <v>Еще фото</v>
      </c>
      <c r="F893" s="26"/>
      <c r="G893" s="15" t="s">
        <v>237</v>
      </c>
      <c r="H893" s="15" t="s">
        <v>27</v>
      </c>
      <c r="I893" s="15" t="s">
        <v>237</v>
      </c>
      <c r="J893" s="15" t="s">
        <v>37</v>
      </c>
      <c r="K893" s="15" t="s">
        <v>57</v>
      </c>
      <c r="L893" s="61"/>
      <c r="M893" s="15"/>
      <c r="N893" s="15" t="s">
        <v>39</v>
      </c>
      <c r="O893" s="15"/>
      <c r="P893" s="15" t="s">
        <v>172</v>
      </c>
      <c r="Q893" s="27">
        <v>14699</v>
      </c>
      <c r="R893" s="28">
        <v>45</v>
      </c>
      <c r="S893" s="29">
        <v>9297.1174999999985</v>
      </c>
      <c r="T893" s="20" t="s">
        <v>75</v>
      </c>
      <c r="U893" s="21" t="s">
        <v>168</v>
      </c>
      <c r="V893" s="22">
        <v>52</v>
      </c>
      <c r="W893" s="22">
        <v>2</v>
      </c>
      <c r="X893" s="23"/>
    </row>
    <row r="894" spans="1:24" s="1" customFormat="1" ht="11" customHeight="1" x14ac:dyDescent="0.3">
      <c r="A894" s="15" t="s">
        <v>23</v>
      </c>
      <c r="B894" s="15" t="s">
        <v>922</v>
      </c>
      <c r="C894" s="12" t="s">
        <v>923</v>
      </c>
      <c r="D894" s="59"/>
      <c r="E894" s="43" t="str">
        <f t="shared" si="47"/>
        <v>Еще фото</v>
      </c>
      <c r="F894" s="26"/>
      <c r="G894" s="15" t="s">
        <v>237</v>
      </c>
      <c r="H894" s="15" t="s">
        <v>27</v>
      </c>
      <c r="I894" s="15" t="s">
        <v>237</v>
      </c>
      <c r="J894" s="15" t="s">
        <v>37</v>
      </c>
      <c r="K894" s="15" t="s">
        <v>57</v>
      </c>
      <c r="L894" s="62"/>
      <c r="M894" s="15"/>
      <c r="N894" s="15" t="s">
        <v>39</v>
      </c>
      <c r="O894" s="15"/>
      <c r="P894" s="15" t="s">
        <v>172</v>
      </c>
      <c r="Q894" s="27">
        <v>14699</v>
      </c>
      <c r="R894" s="28">
        <v>45</v>
      </c>
      <c r="S894" s="29">
        <v>9297.1174999999985</v>
      </c>
      <c r="T894" s="20" t="s">
        <v>75</v>
      </c>
      <c r="U894" s="21" t="s">
        <v>196</v>
      </c>
      <c r="V894" s="22">
        <v>54</v>
      </c>
      <c r="W894" s="22">
        <v>3</v>
      </c>
      <c r="X894" s="23"/>
    </row>
    <row r="895" spans="1:24" s="1" customFormat="1" ht="108" customHeight="1" x14ac:dyDescent="0.3">
      <c r="A895" s="11" t="s">
        <v>23</v>
      </c>
      <c r="B895" s="11" t="s">
        <v>925</v>
      </c>
      <c r="C895" s="12" t="s">
        <v>926</v>
      </c>
      <c r="D895" s="13"/>
      <c r="E895" s="43" t="str">
        <f>HYPERLINK("https://www.google.ru/search?q=0057U-0006&amp;newwindow=1&amp;tbm=isch","Еще фото")</f>
        <v>Еще фото</v>
      </c>
      <c r="F895" s="34" t="s">
        <v>469</v>
      </c>
      <c r="G895" s="11" t="s">
        <v>237</v>
      </c>
      <c r="H895" s="11" t="s">
        <v>27</v>
      </c>
      <c r="I895" s="15" t="s">
        <v>237</v>
      </c>
      <c r="J895" s="15" t="s">
        <v>37</v>
      </c>
      <c r="K895" s="16" t="s">
        <v>57</v>
      </c>
      <c r="L895" s="15" t="s">
        <v>924</v>
      </c>
      <c r="M895" s="15"/>
      <c r="N895" s="15" t="s">
        <v>130</v>
      </c>
      <c r="O895" s="15"/>
      <c r="P895" s="16" t="s">
        <v>172</v>
      </c>
      <c r="Q895" s="17">
        <v>16999</v>
      </c>
      <c r="R895" s="18">
        <v>45</v>
      </c>
      <c r="S895" s="19">
        <v>10751.8675</v>
      </c>
      <c r="T895" s="20" t="s">
        <v>75</v>
      </c>
      <c r="U895" s="21" t="s">
        <v>188</v>
      </c>
      <c r="V895" s="25" t="s">
        <v>65</v>
      </c>
      <c r="W895" s="22">
        <v>1</v>
      </c>
      <c r="X895" s="23"/>
    </row>
    <row r="896" spans="1:24" s="1" customFormat="1" ht="52.05" customHeight="1" x14ac:dyDescent="0.3">
      <c r="A896" s="11" t="s">
        <v>23</v>
      </c>
      <c r="B896" s="11" t="s">
        <v>927</v>
      </c>
      <c r="C896" s="12" t="s">
        <v>928</v>
      </c>
      <c r="D896" s="63"/>
      <c r="E896" s="43" t="str">
        <f>HYPERLINK("https://www.google.ru/search?q=0057U-0009&amp;newwindow=1&amp;tbm=isch","Еще фото")</f>
        <v>Еще фото</v>
      </c>
      <c r="F896" s="34" t="s">
        <v>469</v>
      </c>
      <c r="G896" s="11" t="s">
        <v>237</v>
      </c>
      <c r="H896" s="11" t="s">
        <v>27</v>
      </c>
      <c r="I896" s="15" t="s">
        <v>237</v>
      </c>
      <c r="J896" s="15" t="s">
        <v>37</v>
      </c>
      <c r="K896" s="16" t="s">
        <v>57</v>
      </c>
      <c r="L896" s="60" t="s">
        <v>924</v>
      </c>
      <c r="M896" s="15"/>
      <c r="N896" s="15" t="s">
        <v>138</v>
      </c>
      <c r="O896" s="15"/>
      <c r="P896" s="16" t="s">
        <v>172</v>
      </c>
      <c r="Q896" s="17">
        <v>16999</v>
      </c>
      <c r="R896" s="18">
        <v>45</v>
      </c>
      <c r="S896" s="19">
        <v>10751.8675</v>
      </c>
      <c r="T896" s="20" t="s">
        <v>75</v>
      </c>
      <c r="U896" s="21" t="s">
        <v>165</v>
      </c>
      <c r="V896" s="22">
        <v>48</v>
      </c>
      <c r="W896" s="22">
        <v>1</v>
      </c>
      <c r="X896" s="23"/>
    </row>
    <row r="897" spans="1:24" s="1" customFormat="1" ht="61.05" customHeight="1" x14ac:dyDescent="0.3">
      <c r="A897" s="24" t="s">
        <v>23</v>
      </c>
      <c r="B897" s="24" t="s">
        <v>927</v>
      </c>
      <c r="C897" s="12" t="s">
        <v>928</v>
      </c>
      <c r="D897" s="64"/>
      <c r="E897" s="43" t="str">
        <f>HYPERLINK("https://www.google.ru/search?q=0057U-0009&amp;newwindow=1&amp;tbm=isch","Еще фото")</f>
        <v>Еще фото</v>
      </c>
      <c r="F897" s="34" t="s">
        <v>469</v>
      </c>
      <c r="G897" s="24" t="s">
        <v>237</v>
      </c>
      <c r="H897" s="24" t="s">
        <v>27</v>
      </c>
      <c r="I897" s="24" t="s">
        <v>237</v>
      </c>
      <c r="J897" s="15" t="s">
        <v>37</v>
      </c>
      <c r="K897" s="16" t="s">
        <v>57</v>
      </c>
      <c r="L897" s="62"/>
      <c r="M897" s="15"/>
      <c r="N897" s="15" t="s">
        <v>138</v>
      </c>
      <c r="O897" s="15"/>
      <c r="P897" s="16" t="s">
        <v>172</v>
      </c>
      <c r="Q897" s="17">
        <v>16999</v>
      </c>
      <c r="R897" s="18">
        <v>45</v>
      </c>
      <c r="S897" s="19">
        <v>10751.8675</v>
      </c>
      <c r="T897" s="20" t="s">
        <v>75</v>
      </c>
      <c r="U897" s="21" t="s">
        <v>200</v>
      </c>
      <c r="V897" s="25" t="s">
        <v>96</v>
      </c>
      <c r="W897" s="22">
        <v>2</v>
      </c>
      <c r="X897" s="23"/>
    </row>
    <row r="898" spans="1:24" s="1" customFormat="1" ht="13.05" customHeight="1" x14ac:dyDescent="0.3">
      <c r="A898" s="11" t="s">
        <v>23</v>
      </c>
      <c r="B898" s="11" t="s">
        <v>929</v>
      </c>
      <c r="C898" s="12" t="s">
        <v>930</v>
      </c>
      <c r="D898" s="57"/>
      <c r="E898" s="43" t="str">
        <f t="shared" ref="E898:E905" si="48">HYPERLINK("https://www.google.ru/search?q=0057U-0026&amp;newwindow=1&amp;tbm=isch","Еще фото")</f>
        <v>Еще фото</v>
      </c>
      <c r="F898" s="14"/>
      <c r="G898" s="11" t="s">
        <v>237</v>
      </c>
      <c r="H898" s="11" t="s">
        <v>27</v>
      </c>
      <c r="I898" s="15" t="s">
        <v>237</v>
      </c>
      <c r="J898" s="15" t="s">
        <v>37</v>
      </c>
      <c r="K898" s="16" t="s">
        <v>57</v>
      </c>
      <c r="L898" s="60" t="s">
        <v>924</v>
      </c>
      <c r="M898" s="15"/>
      <c r="N898" s="15" t="s">
        <v>130</v>
      </c>
      <c r="O898" s="15"/>
      <c r="P898" s="16" t="s">
        <v>32</v>
      </c>
      <c r="Q898" s="17">
        <v>18899</v>
      </c>
      <c r="R898" s="18">
        <v>45</v>
      </c>
      <c r="S898" s="19">
        <v>11953.6175</v>
      </c>
      <c r="T898" s="20" t="s">
        <v>75</v>
      </c>
      <c r="U898" s="33" t="s">
        <v>53</v>
      </c>
      <c r="V898" s="22">
        <v>46</v>
      </c>
      <c r="W898" s="22">
        <v>7</v>
      </c>
      <c r="X898" s="23"/>
    </row>
    <row r="899" spans="1:24" s="1" customFormat="1" ht="13.05" customHeight="1" x14ac:dyDescent="0.3">
      <c r="A899" s="24" t="s">
        <v>23</v>
      </c>
      <c r="B899" s="24" t="s">
        <v>929</v>
      </c>
      <c r="C899" s="12" t="s">
        <v>930</v>
      </c>
      <c r="D899" s="58"/>
      <c r="E899" s="43" t="str">
        <f t="shared" si="48"/>
        <v>Еще фото</v>
      </c>
      <c r="F899" s="14"/>
      <c r="G899" s="24" t="s">
        <v>237</v>
      </c>
      <c r="H899" s="24" t="s">
        <v>27</v>
      </c>
      <c r="I899" s="24" t="s">
        <v>237</v>
      </c>
      <c r="J899" s="15" t="s">
        <v>37</v>
      </c>
      <c r="K899" s="16" t="s">
        <v>57</v>
      </c>
      <c r="L899" s="61"/>
      <c r="M899" s="15"/>
      <c r="N899" s="15" t="s">
        <v>130</v>
      </c>
      <c r="O899" s="15"/>
      <c r="P899" s="16" t="s">
        <v>32</v>
      </c>
      <c r="Q899" s="17">
        <v>18899</v>
      </c>
      <c r="R899" s="18">
        <v>45</v>
      </c>
      <c r="S899" s="19">
        <v>11953.6175</v>
      </c>
      <c r="T899" s="20" t="s">
        <v>75</v>
      </c>
      <c r="U899" s="21" t="s">
        <v>109</v>
      </c>
      <c r="V899" s="25" t="s">
        <v>65</v>
      </c>
      <c r="W899" s="22">
        <v>18</v>
      </c>
      <c r="X899" s="23"/>
    </row>
    <row r="900" spans="1:24" s="1" customFormat="1" ht="13.05" customHeight="1" x14ac:dyDescent="0.3">
      <c r="A900" s="24" t="s">
        <v>23</v>
      </c>
      <c r="B900" s="24" t="s">
        <v>929</v>
      </c>
      <c r="C900" s="12" t="s">
        <v>930</v>
      </c>
      <c r="D900" s="58"/>
      <c r="E900" s="43" t="str">
        <f t="shared" si="48"/>
        <v>Еще фото</v>
      </c>
      <c r="F900" s="14"/>
      <c r="G900" s="24" t="s">
        <v>237</v>
      </c>
      <c r="H900" s="24" t="s">
        <v>27</v>
      </c>
      <c r="I900" s="24" t="s">
        <v>237</v>
      </c>
      <c r="J900" s="15" t="s">
        <v>37</v>
      </c>
      <c r="K900" s="16" t="s">
        <v>57</v>
      </c>
      <c r="L900" s="61"/>
      <c r="M900" s="15"/>
      <c r="N900" s="15" t="s">
        <v>130</v>
      </c>
      <c r="O900" s="15"/>
      <c r="P900" s="16" t="s">
        <v>32</v>
      </c>
      <c r="Q900" s="17">
        <v>18899</v>
      </c>
      <c r="R900" s="18">
        <v>45</v>
      </c>
      <c r="S900" s="19">
        <v>11953.6175</v>
      </c>
      <c r="T900" s="20" t="s">
        <v>75</v>
      </c>
      <c r="U900" s="21" t="s">
        <v>165</v>
      </c>
      <c r="V900" s="22">
        <v>48</v>
      </c>
      <c r="W900" s="22">
        <v>8</v>
      </c>
      <c r="X900" s="23"/>
    </row>
    <row r="901" spans="1:24" s="1" customFormat="1" ht="13.05" customHeight="1" x14ac:dyDescent="0.3">
      <c r="A901" s="24" t="s">
        <v>23</v>
      </c>
      <c r="B901" s="24" t="s">
        <v>929</v>
      </c>
      <c r="C901" s="12" t="s">
        <v>930</v>
      </c>
      <c r="D901" s="58"/>
      <c r="E901" s="43" t="str">
        <f t="shared" si="48"/>
        <v>Еще фото</v>
      </c>
      <c r="F901" s="14"/>
      <c r="G901" s="24" t="s">
        <v>237</v>
      </c>
      <c r="H901" s="24" t="s">
        <v>27</v>
      </c>
      <c r="I901" s="24" t="s">
        <v>237</v>
      </c>
      <c r="J901" s="15" t="s">
        <v>37</v>
      </c>
      <c r="K901" s="16" t="s">
        <v>57</v>
      </c>
      <c r="L901" s="61"/>
      <c r="M901" s="15"/>
      <c r="N901" s="15" t="s">
        <v>130</v>
      </c>
      <c r="O901" s="15"/>
      <c r="P901" s="16" t="s">
        <v>32</v>
      </c>
      <c r="Q901" s="17">
        <v>18899</v>
      </c>
      <c r="R901" s="18">
        <v>45</v>
      </c>
      <c r="S901" s="19">
        <v>11953.6175</v>
      </c>
      <c r="T901" s="20" t="s">
        <v>75</v>
      </c>
      <c r="U901" s="21" t="s">
        <v>166</v>
      </c>
      <c r="V901" s="25" t="s">
        <v>96</v>
      </c>
      <c r="W901" s="22">
        <v>4</v>
      </c>
      <c r="X901" s="23"/>
    </row>
    <row r="902" spans="1:24" s="1" customFormat="1" ht="13.05" customHeight="1" x14ac:dyDescent="0.3">
      <c r="A902" s="24" t="s">
        <v>23</v>
      </c>
      <c r="B902" s="24" t="s">
        <v>929</v>
      </c>
      <c r="C902" s="12" t="s">
        <v>930</v>
      </c>
      <c r="D902" s="58"/>
      <c r="E902" s="43" t="str">
        <f t="shared" si="48"/>
        <v>Еще фото</v>
      </c>
      <c r="F902" s="14"/>
      <c r="G902" s="24" t="s">
        <v>237</v>
      </c>
      <c r="H902" s="24" t="s">
        <v>27</v>
      </c>
      <c r="I902" s="24" t="s">
        <v>237</v>
      </c>
      <c r="J902" s="15" t="s">
        <v>37</v>
      </c>
      <c r="K902" s="16" t="s">
        <v>57</v>
      </c>
      <c r="L902" s="61"/>
      <c r="M902" s="15"/>
      <c r="N902" s="15" t="s">
        <v>130</v>
      </c>
      <c r="O902" s="15"/>
      <c r="P902" s="16" t="s">
        <v>32</v>
      </c>
      <c r="Q902" s="17">
        <v>18899</v>
      </c>
      <c r="R902" s="18">
        <v>45</v>
      </c>
      <c r="S902" s="19">
        <v>11953.6175</v>
      </c>
      <c r="T902" s="20" t="s">
        <v>75</v>
      </c>
      <c r="U902" s="21" t="s">
        <v>89</v>
      </c>
      <c r="V902" s="22">
        <v>50</v>
      </c>
      <c r="W902" s="22">
        <v>6</v>
      </c>
      <c r="X902" s="23"/>
    </row>
    <row r="903" spans="1:24" s="1" customFormat="1" ht="13.05" customHeight="1" x14ac:dyDescent="0.3">
      <c r="A903" s="24" t="s">
        <v>23</v>
      </c>
      <c r="B903" s="24" t="s">
        <v>929</v>
      </c>
      <c r="C903" s="12" t="s">
        <v>930</v>
      </c>
      <c r="D903" s="58"/>
      <c r="E903" s="43" t="str">
        <f t="shared" si="48"/>
        <v>Еще фото</v>
      </c>
      <c r="F903" s="14"/>
      <c r="G903" s="24" t="s">
        <v>237</v>
      </c>
      <c r="H903" s="24" t="s">
        <v>27</v>
      </c>
      <c r="I903" s="24" t="s">
        <v>237</v>
      </c>
      <c r="J903" s="15" t="s">
        <v>37</v>
      </c>
      <c r="K903" s="16" t="s">
        <v>57</v>
      </c>
      <c r="L903" s="61"/>
      <c r="M903" s="15"/>
      <c r="N903" s="15" t="s">
        <v>130</v>
      </c>
      <c r="O903" s="15"/>
      <c r="P903" s="16" t="s">
        <v>32</v>
      </c>
      <c r="Q903" s="17">
        <v>18899</v>
      </c>
      <c r="R903" s="18">
        <v>45</v>
      </c>
      <c r="S903" s="19">
        <v>11953.6175</v>
      </c>
      <c r="T903" s="20" t="s">
        <v>75</v>
      </c>
      <c r="U903" s="21" t="s">
        <v>100</v>
      </c>
      <c r="V903" s="22">
        <v>50</v>
      </c>
      <c r="W903" s="22">
        <v>3</v>
      </c>
      <c r="X903" s="23"/>
    </row>
    <row r="904" spans="1:24" s="1" customFormat="1" ht="13.05" customHeight="1" x14ac:dyDescent="0.3">
      <c r="A904" s="24" t="s">
        <v>23</v>
      </c>
      <c r="B904" s="24" t="s">
        <v>929</v>
      </c>
      <c r="C904" s="12" t="s">
        <v>930</v>
      </c>
      <c r="D904" s="58"/>
      <c r="E904" s="43" t="str">
        <f t="shared" si="48"/>
        <v>Еще фото</v>
      </c>
      <c r="F904" s="14"/>
      <c r="G904" s="24" t="s">
        <v>237</v>
      </c>
      <c r="H904" s="24" t="s">
        <v>27</v>
      </c>
      <c r="I904" s="24" t="s">
        <v>237</v>
      </c>
      <c r="J904" s="15" t="s">
        <v>37</v>
      </c>
      <c r="K904" s="16" t="s">
        <v>57</v>
      </c>
      <c r="L904" s="61"/>
      <c r="M904" s="15"/>
      <c r="N904" s="15" t="s">
        <v>130</v>
      </c>
      <c r="O904" s="15"/>
      <c r="P904" s="16" t="s">
        <v>32</v>
      </c>
      <c r="Q904" s="17">
        <v>18899</v>
      </c>
      <c r="R904" s="18">
        <v>45</v>
      </c>
      <c r="S904" s="19">
        <v>11953.6175</v>
      </c>
      <c r="T904" s="20" t="s">
        <v>75</v>
      </c>
      <c r="U904" s="21" t="s">
        <v>167</v>
      </c>
      <c r="V904" s="22">
        <v>52</v>
      </c>
      <c r="W904" s="22">
        <v>4</v>
      </c>
      <c r="X904" s="23"/>
    </row>
    <row r="905" spans="1:24" s="1" customFormat="1" ht="18" customHeight="1" x14ac:dyDescent="0.3">
      <c r="A905" s="24" t="s">
        <v>23</v>
      </c>
      <c r="B905" s="24" t="s">
        <v>929</v>
      </c>
      <c r="C905" s="12" t="s">
        <v>930</v>
      </c>
      <c r="D905" s="59"/>
      <c r="E905" s="43" t="str">
        <f t="shared" si="48"/>
        <v>Еще фото</v>
      </c>
      <c r="F905" s="14"/>
      <c r="G905" s="24" t="s">
        <v>237</v>
      </c>
      <c r="H905" s="24" t="s">
        <v>27</v>
      </c>
      <c r="I905" s="24" t="s">
        <v>237</v>
      </c>
      <c r="J905" s="15" t="s">
        <v>37</v>
      </c>
      <c r="K905" s="16" t="s">
        <v>57</v>
      </c>
      <c r="L905" s="62"/>
      <c r="M905" s="15"/>
      <c r="N905" s="15" t="s">
        <v>130</v>
      </c>
      <c r="O905" s="15"/>
      <c r="P905" s="16" t="s">
        <v>32</v>
      </c>
      <c r="Q905" s="17">
        <v>18899</v>
      </c>
      <c r="R905" s="18">
        <v>45</v>
      </c>
      <c r="S905" s="19">
        <v>11953.6175</v>
      </c>
      <c r="T905" s="20" t="s">
        <v>75</v>
      </c>
      <c r="U905" s="21" t="s">
        <v>168</v>
      </c>
      <c r="V905" s="22">
        <v>52</v>
      </c>
      <c r="W905" s="22">
        <v>3</v>
      </c>
      <c r="X905" s="23"/>
    </row>
    <row r="906" spans="1:24" s="1" customFormat="1" ht="17" customHeight="1" x14ac:dyDescent="0.3">
      <c r="A906" s="11" t="s">
        <v>23</v>
      </c>
      <c r="B906" s="11" t="s">
        <v>931</v>
      </c>
      <c r="C906" s="12" t="s">
        <v>932</v>
      </c>
      <c r="D906" s="57"/>
      <c r="E906" s="43" t="str">
        <f t="shared" ref="E906:E911" si="49">HYPERLINK("https://www.google.ru/search?q=0057V-0008&amp;newwindow=1&amp;tbm=isch","Еще фото")</f>
        <v>Еще фото</v>
      </c>
      <c r="F906" s="34" t="s">
        <v>469</v>
      </c>
      <c r="G906" s="11" t="s">
        <v>237</v>
      </c>
      <c r="H906" s="11" t="s">
        <v>27</v>
      </c>
      <c r="I906" s="15" t="s">
        <v>237</v>
      </c>
      <c r="J906" s="15" t="s">
        <v>37</v>
      </c>
      <c r="K906" s="16" t="s">
        <v>57</v>
      </c>
      <c r="L906" s="60" t="s">
        <v>933</v>
      </c>
      <c r="M906" s="15"/>
      <c r="N906" s="15" t="s">
        <v>130</v>
      </c>
      <c r="O906" s="15"/>
      <c r="P906" s="16" t="s">
        <v>32</v>
      </c>
      <c r="Q906" s="17">
        <v>12999</v>
      </c>
      <c r="R906" s="18">
        <v>45</v>
      </c>
      <c r="S906" s="19">
        <v>8221.8674999999985</v>
      </c>
      <c r="T906" s="20" t="s">
        <v>75</v>
      </c>
      <c r="U906" s="21" t="s">
        <v>53</v>
      </c>
      <c r="V906" s="22">
        <v>46</v>
      </c>
      <c r="W906" s="22">
        <v>11</v>
      </c>
      <c r="X906" s="23"/>
    </row>
    <row r="907" spans="1:24" s="1" customFormat="1" ht="17" customHeight="1" x14ac:dyDescent="0.3">
      <c r="A907" s="24" t="s">
        <v>23</v>
      </c>
      <c r="B907" s="24" t="s">
        <v>931</v>
      </c>
      <c r="C907" s="12" t="s">
        <v>932</v>
      </c>
      <c r="D907" s="58"/>
      <c r="E907" s="43" t="str">
        <f t="shared" si="49"/>
        <v>Еще фото</v>
      </c>
      <c r="F907" s="34" t="s">
        <v>469</v>
      </c>
      <c r="G907" s="24" t="s">
        <v>237</v>
      </c>
      <c r="H907" s="24" t="s">
        <v>27</v>
      </c>
      <c r="I907" s="24" t="s">
        <v>237</v>
      </c>
      <c r="J907" s="15" t="s">
        <v>37</v>
      </c>
      <c r="K907" s="16" t="s">
        <v>57</v>
      </c>
      <c r="L907" s="61"/>
      <c r="M907" s="15"/>
      <c r="N907" s="15" t="s">
        <v>130</v>
      </c>
      <c r="O907" s="15"/>
      <c r="P907" s="16" t="s">
        <v>32</v>
      </c>
      <c r="Q907" s="17">
        <v>12999</v>
      </c>
      <c r="R907" s="18">
        <v>45</v>
      </c>
      <c r="S907" s="19">
        <v>8221.8674999999985</v>
      </c>
      <c r="T907" s="20" t="s">
        <v>75</v>
      </c>
      <c r="U907" s="21" t="s">
        <v>109</v>
      </c>
      <c r="V907" s="25" t="s">
        <v>65</v>
      </c>
      <c r="W907" s="22">
        <v>13</v>
      </c>
      <c r="X907" s="23"/>
    </row>
    <row r="908" spans="1:24" s="1" customFormat="1" ht="17" customHeight="1" x14ac:dyDescent="0.3">
      <c r="A908" s="24" t="s">
        <v>23</v>
      </c>
      <c r="B908" s="24" t="s">
        <v>931</v>
      </c>
      <c r="C908" s="12" t="s">
        <v>932</v>
      </c>
      <c r="D908" s="58"/>
      <c r="E908" s="43" t="str">
        <f t="shared" si="49"/>
        <v>Еще фото</v>
      </c>
      <c r="F908" s="34" t="s">
        <v>469</v>
      </c>
      <c r="G908" s="24" t="s">
        <v>237</v>
      </c>
      <c r="H908" s="24" t="s">
        <v>27</v>
      </c>
      <c r="I908" s="24" t="s">
        <v>237</v>
      </c>
      <c r="J908" s="15" t="s">
        <v>37</v>
      </c>
      <c r="K908" s="16" t="s">
        <v>57</v>
      </c>
      <c r="L908" s="61"/>
      <c r="M908" s="15"/>
      <c r="N908" s="15" t="s">
        <v>130</v>
      </c>
      <c r="O908" s="15"/>
      <c r="P908" s="16" t="s">
        <v>32</v>
      </c>
      <c r="Q908" s="17">
        <v>12999</v>
      </c>
      <c r="R908" s="18">
        <v>45</v>
      </c>
      <c r="S908" s="19">
        <v>8221.8674999999985</v>
      </c>
      <c r="T908" s="20" t="s">
        <v>75</v>
      </c>
      <c r="U908" s="21" t="s">
        <v>165</v>
      </c>
      <c r="V908" s="22">
        <v>48</v>
      </c>
      <c r="W908" s="22">
        <v>15</v>
      </c>
      <c r="X908" s="23"/>
    </row>
    <row r="909" spans="1:24" s="1" customFormat="1" ht="17" customHeight="1" x14ac:dyDescent="0.3">
      <c r="A909" s="24" t="s">
        <v>23</v>
      </c>
      <c r="B909" s="24" t="s">
        <v>931</v>
      </c>
      <c r="C909" s="12" t="s">
        <v>932</v>
      </c>
      <c r="D909" s="58"/>
      <c r="E909" s="43" t="str">
        <f t="shared" si="49"/>
        <v>Еще фото</v>
      </c>
      <c r="F909" s="34" t="s">
        <v>469</v>
      </c>
      <c r="G909" s="24" t="s">
        <v>237</v>
      </c>
      <c r="H909" s="24" t="s">
        <v>27</v>
      </c>
      <c r="I909" s="24" t="s">
        <v>237</v>
      </c>
      <c r="J909" s="15" t="s">
        <v>37</v>
      </c>
      <c r="K909" s="16" t="s">
        <v>57</v>
      </c>
      <c r="L909" s="61"/>
      <c r="M909" s="15"/>
      <c r="N909" s="15" t="s">
        <v>130</v>
      </c>
      <c r="O909" s="15"/>
      <c r="P909" s="16" t="s">
        <v>32</v>
      </c>
      <c r="Q909" s="17">
        <v>12999</v>
      </c>
      <c r="R909" s="18">
        <v>45</v>
      </c>
      <c r="S909" s="19">
        <v>8221.8674999999985</v>
      </c>
      <c r="T909" s="20" t="s">
        <v>75</v>
      </c>
      <c r="U909" s="21" t="s">
        <v>166</v>
      </c>
      <c r="V909" s="25" t="s">
        <v>96</v>
      </c>
      <c r="W909" s="22">
        <v>5</v>
      </c>
      <c r="X909" s="23"/>
    </row>
    <row r="910" spans="1:24" s="1" customFormat="1" ht="17" customHeight="1" x14ac:dyDescent="0.3">
      <c r="A910" s="24" t="s">
        <v>23</v>
      </c>
      <c r="B910" s="24" t="s">
        <v>931</v>
      </c>
      <c r="C910" s="12" t="s">
        <v>932</v>
      </c>
      <c r="D910" s="58"/>
      <c r="E910" s="43" t="str">
        <f t="shared" si="49"/>
        <v>Еще фото</v>
      </c>
      <c r="F910" s="34" t="s">
        <v>469</v>
      </c>
      <c r="G910" s="24" t="s">
        <v>237</v>
      </c>
      <c r="H910" s="24" t="s">
        <v>27</v>
      </c>
      <c r="I910" s="24" t="s">
        <v>237</v>
      </c>
      <c r="J910" s="15" t="s">
        <v>37</v>
      </c>
      <c r="K910" s="16" t="s">
        <v>57</v>
      </c>
      <c r="L910" s="61"/>
      <c r="M910" s="15"/>
      <c r="N910" s="15" t="s">
        <v>130</v>
      </c>
      <c r="O910" s="15"/>
      <c r="P910" s="16" t="s">
        <v>32</v>
      </c>
      <c r="Q910" s="17">
        <v>12999</v>
      </c>
      <c r="R910" s="18">
        <v>45</v>
      </c>
      <c r="S910" s="19">
        <v>8221.8674999999985</v>
      </c>
      <c r="T910" s="20" t="s">
        <v>75</v>
      </c>
      <c r="U910" s="21" t="s">
        <v>89</v>
      </c>
      <c r="V910" s="22">
        <v>50</v>
      </c>
      <c r="W910" s="22">
        <v>2</v>
      </c>
      <c r="X910" s="23"/>
    </row>
    <row r="911" spans="1:24" s="1" customFormat="1" ht="22.05" customHeight="1" x14ac:dyDescent="0.3">
      <c r="A911" s="24" t="s">
        <v>23</v>
      </c>
      <c r="B911" s="24" t="s">
        <v>931</v>
      </c>
      <c r="C911" s="12" t="s">
        <v>932</v>
      </c>
      <c r="D911" s="59"/>
      <c r="E911" s="43" t="str">
        <f t="shared" si="49"/>
        <v>Еще фото</v>
      </c>
      <c r="F911" s="34" t="s">
        <v>469</v>
      </c>
      <c r="G911" s="24" t="s">
        <v>237</v>
      </c>
      <c r="H911" s="24" t="s">
        <v>27</v>
      </c>
      <c r="I911" s="24" t="s">
        <v>237</v>
      </c>
      <c r="J911" s="15" t="s">
        <v>37</v>
      </c>
      <c r="K911" s="16" t="s">
        <v>57</v>
      </c>
      <c r="L911" s="62"/>
      <c r="M911" s="15"/>
      <c r="N911" s="15" t="s">
        <v>130</v>
      </c>
      <c r="O911" s="15"/>
      <c r="P911" s="16" t="s">
        <v>32</v>
      </c>
      <c r="Q911" s="17">
        <v>12999</v>
      </c>
      <c r="R911" s="18">
        <v>45</v>
      </c>
      <c r="S911" s="19">
        <v>8221.8674999999985</v>
      </c>
      <c r="T911" s="20" t="s">
        <v>75</v>
      </c>
      <c r="U911" s="21" t="s">
        <v>167</v>
      </c>
      <c r="V911" s="22">
        <v>52</v>
      </c>
      <c r="W911" s="22">
        <v>2</v>
      </c>
      <c r="X911" s="23"/>
    </row>
    <row r="912" spans="1:24" s="1" customFormat="1" ht="13.05" customHeight="1" x14ac:dyDescent="0.3">
      <c r="A912" s="11" t="s">
        <v>23</v>
      </c>
      <c r="B912" s="11" t="s">
        <v>931</v>
      </c>
      <c r="C912" s="12" t="s">
        <v>934</v>
      </c>
      <c r="D912" s="57"/>
      <c r="E912" s="43" t="str">
        <f t="shared" ref="E912:E919" si="50">HYPERLINK("https://www.google.ru/search?q=0057V-0009&amp;newwindow=1&amp;tbm=isch","Еще фото")</f>
        <v>Еще фото</v>
      </c>
      <c r="F912" s="34" t="s">
        <v>469</v>
      </c>
      <c r="G912" s="11" t="s">
        <v>237</v>
      </c>
      <c r="H912" s="11" t="s">
        <v>27</v>
      </c>
      <c r="I912" s="15" t="s">
        <v>237</v>
      </c>
      <c r="J912" s="15" t="s">
        <v>37</v>
      </c>
      <c r="K912" s="16" t="s">
        <v>57</v>
      </c>
      <c r="L912" s="60"/>
      <c r="M912" s="15"/>
      <c r="N912" s="15" t="s">
        <v>39</v>
      </c>
      <c r="O912" s="15"/>
      <c r="P912" s="16" t="s">
        <v>32</v>
      </c>
      <c r="Q912" s="17">
        <v>18899</v>
      </c>
      <c r="R912" s="18">
        <v>45</v>
      </c>
      <c r="S912" s="19">
        <v>11953.6175</v>
      </c>
      <c r="T912" s="20" t="s">
        <v>75</v>
      </c>
      <c r="U912" s="33" t="s">
        <v>53</v>
      </c>
      <c r="V912" s="22">
        <v>46</v>
      </c>
      <c r="W912" s="22">
        <v>18</v>
      </c>
      <c r="X912" s="23"/>
    </row>
    <row r="913" spans="1:24" s="1" customFormat="1" ht="13.05" customHeight="1" x14ac:dyDescent="0.3">
      <c r="A913" s="24" t="s">
        <v>23</v>
      </c>
      <c r="B913" s="24" t="s">
        <v>931</v>
      </c>
      <c r="C913" s="12" t="s">
        <v>934</v>
      </c>
      <c r="D913" s="58"/>
      <c r="E913" s="43" t="str">
        <f t="shared" si="50"/>
        <v>Еще фото</v>
      </c>
      <c r="F913" s="34" t="s">
        <v>469</v>
      </c>
      <c r="G913" s="24" t="s">
        <v>237</v>
      </c>
      <c r="H913" s="24" t="s">
        <v>27</v>
      </c>
      <c r="I913" s="24" t="s">
        <v>237</v>
      </c>
      <c r="J913" s="15" t="s">
        <v>37</v>
      </c>
      <c r="K913" s="16" t="s">
        <v>57</v>
      </c>
      <c r="L913" s="61"/>
      <c r="M913" s="15"/>
      <c r="N913" s="15" t="s">
        <v>39</v>
      </c>
      <c r="O913" s="15"/>
      <c r="P913" s="16" t="s">
        <v>32</v>
      </c>
      <c r="Q913" s="17">
        <v>18899</v>
      </c>
      <c r="R913" s="18">
        <v>45</v>
      </c>
      <c r="S913" s="19">
        <v>11953.6175</v>
      </c>
      <c r="T913" s="20" t="s">
        <v>75</v>
      </c>
      <c r="U913" s="21" t="s">
        <v>109</v>
      </c>
      <c r="V913" s="25" t="s">
        <v>65</v>
      </c>
      <c r="W913" s="22">
        <v>20</v>
      </c>
      <c r="X913" s="23"/>
    </row>
    <row r="914" spans="1:24" s="1" customFormat="1" ht="13.05" customHeight="1" x14ac:dyDescent="0.3">
      <c r="A914" s="24" t="s">
        <v>23</v>
      </c>
      <c r="B914" s="24" t="s">
        <v>931</v>
      </c>
      <c r="C914" s="12" t="s">
        <v>934</v>
      </c>
      <c r="D914" s="58"/>
      <c r="E914" s="43" t="str">
        <f t="shared" si="50"/>
        <v>Еще фото</v>
      </c>
      <c r="F914" s="34" t="s">
        <v>469</v>
      </c>
      <c r="G914" s="24" t="s">
        <v>237</v>
      </c>
      <c r="H914" s="24" t="s">
        <v>27</v>
      </c>
      <c r="I914" s="24" t="s">
        <v>237</v>
      </c>
      <c r="J914" s="15" t="s">
        <v>37</v>
      </c>
      <c r="K914" s="16" t="s">
        <v>57</v>
      </c>
      <c r="L914" s="61"/>
      <c r="M914" s="15"/>
      <c r="N914" s="15" t="s">
        <v>39</v>
      </c>
      <c r="O914" s="15"/>
      <c r="P914" s="16" t="s">
        <v>32</v>
      </c>
      <c r="Q914" s="17">
        <v>18899</v>
      </c>
      <c r="R914" s="18">
        <v>45</v>
      </c>
      <c r="S914" s="19">
        <v>11953.6175</v>
      </c>
      <c r="T914" s="20" t="s">
        <v>75</v>
      </c>
      <c r="U914" s="21" t="s">
        <v>165</v>
      </c>
      <c r="V914" s="22">
        <v>48</v>
      </c>
      <c r="W914" s="22">
        <v>30</v>
      </c>
      <c r="X914" s="23"/>
    </row>
    <row r="915" spans="1:24" s="1" customFormat="1" ht="13.05" customHeight="1" x14ac:dyDescent="0.3">
      <c r="A915" s="24" t="s">
        <v>23</v>
      </c>
      <c r="B915" s="24" t="s">
        <v>931</v>
      </c>
      <c r="C915" s="12" t="s">
        <v>934</v>
      </c>
      <c r="D915" s="58"/>
      <c r="E915" s="43" t="str">
        <f t="shared" si="50"/>
        <v>Еще фото</v>
      </c>
      <c r="F915" s="34" t="s">
        <v>469</v>
      </c>
      <c r="G915" s="24" t="s">
        <v>237</v>
      </c>
      <c r="H915" s="24" t="s">
        <v>27</v>
      </c>
      <c r="I915" s="24" t="s">
        <v>237</v>
      </c>
      <c r="J915" s="15" t="s">
        <v>37</v>
      </c>
      <c r="K915" s="16" t="s">
        <v>57</v>
      </c>
      <c r="L915" s="61"/>
      <c r="M915" s="15"/>
      <c r="N915" s="15" t="s">
        <v>39</v>
      </c>
      <c r="O915" s="15"/>
      <c r="P915" s="16" t="s">
        <v>32</v>
      </c>
      <c r="Q915" s="17">
        <v>18899</v>
      </c>
      <c r="R915" s="18">
        <v>45</v>
      </c>
      <c r="S915" s="19">
        <v>11953.6175</v>
      </c>
      <c r="T915" s="20" t="s">
        <v>75</v>
      </c>
      <c r="U915" s="21" t="s">
        <v>166</v>
      </c>
      <c r="V915" s="25" t="s">
        <v>96</v>
      </c>
      <c r="W915" s="22">
        <v>19</v>
      </c>
      <c r="X915" s="23"/>
    </row>
    <row r="916" spans="1:24" s="1" customFormat="1" ht="13.05" customHeight="1" x14ac:dyDescent="0.3">
      <c r="A916" s="24" t="s">
        <v>23</v>
      </c>
      <c r="B916" s="24" t="s">
        <v>931</v>
      </c>
      <c r="C916" s="12" t="s">
        <v>934</v>
      </c>
      <c r="D916" s="58"/>
      <c r="E916" s="43" t="str">
        <f t="shared" si="50"/>
        <v>Еще фото</v>
      </c>
      <c r="F916" s="34" t="s">
        <v>469</v>
      </c>
      <c r="G916" s="24" t="s">
        <v>237</v>
      </c>
      <c r="H916" s="24" t="s">
        <v>27</v>
      </c>
      <c r="I916" s="24" t="s">
        <v>237</v>
      </c>
      <c r="J916" s="15" t="s">
        <v>37</v>
      </c>
      <c r="K916" s="16" t="s">
        <v>57</v>
      </c>
      <c r="L916" s="61"/>
      <c r="M916" s="15"/>
      <c r="N916" s="15" t="s">
        <v>39</v>
      </c>
      <c r="O916" s="15"/>
      <c r="P916" s="16" t="s">
        <v>32</v>
      </c>
      <c r="Q916" s="17">
        <v>18899</v>
      </c>
      <c r="R916" s="18">
        <v>45</v>
      </c>
      <c r="S916" s="19">
        <v>11953.6175</v>
      </c>
      <c r="T916" s="20" t="s">
        <v>75</v>
      </c>
      <c r="U916" s="21" t="s">
        <v>89</v>
      </c>
      <c r="V916" s="22">
        <v>50</v>
      </c>
      <c r="W916" s="22">
        <v>16</v>
      </c>
      <c r="X916" s="23"/>
    </row>
    <row r="917" spans="1:24" s="1" customFormat="1" ht="13.05" customHeight="1" x14ac:dyDescent="0.3">
      <c r="A917" s="24" t="s">
        <v>23</v>
      </c>
      <c r="B917" s="24" t="s">
        <v>931</v>
      </c>
      <c r="C917" s="12" t="s">
        <v>934</v>
      </c>
      <c r="D917" s="58"/>
      <c r="E917" s="43" t="str">
        <f t="shared" si="50"/>
        <v>Еще фото</v>
      </c>
      <c r="F917" s="34" t="s">
        <v>469</v>
      </c>
      <c r="G917" s="24" t="s">
        <v>237</v>
      </c>
      <c r="H917" s="24" t="s">
        <v>27</v>
      </c>
      <c r="I917" s="24" t="s">
        <v>237</v>
      </c>
      <c r="J917" s="15" t="s">
        <v>37</v>
      </c>
      <c r="K917" s="16" t="s">
        <v>57</v>
      </c>
      <c r="L917" s="61"/>
      <c r="M917" s="15"/>
      <c r="N917" s="15" t="s">
        <v>39</v>
      </c>
      <c r="O917" s="15"/>
      <c r="P917" s="16" t="s">
        <v>32</v>
      </c>
      <c r="Q917" s="17">
        <v>18899</v>
      </c>
      <c r="R917" s="18">
        <v>45</v>
      </c>
      <c r="S917" s="19">
        <v>11953.6175</v>
      </c>
      <c r="T917" s="20" t="s">
        <v>75</v>
      </c>
      <c r="U917" s="21" t="s">
        <v>100</v>
      </c>
      <c r="V917" s="22">
        <v>50</v>
      </c>
      <c r="W917" s="22">
        <v>5</v>
      </c>
      <c r="X917" s="23"/>
    </row>
    <row r="918" spans="1:24" s="1" customFormat="1" ht="13.05" customHeight="1" x14ac:dyDescent="0.3">
      <c r="A918" s="24" t="s">
        <v>23</v>
      </c>
      <c r="B918" s="24" t="s">
        <v>931</v>
      </c>
      <c r="C918" s="12" t="s">
        <v>934</v>
      </c>
      <c r="D918" s="58"/>
      <c r="E918" s="43" t="str">
        <f t="shared" si="50"/>
        <v>Еще фото</v>
      </c>
      <c r="F918" s="34" t="s">
        <v>469</v>
      </c>
      <c r="G918" s="24" t="s">
        <v>237</v>
      </c>
      <c r="H918" s="24" t="s">
        <v>27</v>
      </c>
      <c r="I918" s="24" t="s">
        <v>237</v>
      </c>
      <c r="J918" s="15" t="s">
        <v>37</v>
      </c>
      <c r="K918" s="16" t="s">
        <v>57</v>
      </c>
      <c r="L918" s="61"/>
      <c r="M918" s="15"/>
      <c r="N918" s="15" t="s">
        <v>39</v>
      </c>
      <c r="O918" s="15"/>
      <c r="P918" s="16" t="s">
        <v>32</v>
      </c>
      <c r="Q918" s="17">
        <v>18899</v>
      </c>
      <c r="R918" s="18">
        <v>45</v>
      </c>
      <c r="S918" s="19">
        <v>11953.6175</v>
      </c>
      <c r="T918" s="20" t="s">
        <v>75</v>
      </c>
      <c r="U918" s="21" t="s">
        <v>167</v>
      </c>
      <c r="V918" s="22">
        <v>52</v>
      </c>
      <c r="W918" s="22">
        <v>9</v>
      </c>
      <c r="X918" s="23"/>
    </row>
    <row r="919" spans="1:24" s="1" customFormat="1" ht="18" customHeight="1" x14ac:dyDescent="0.3">
      <c r="A919" s="24" t="s">
        <v>23</v>
      </c>
      <c r="B919" s="24" t="s">
        <v>931</v>
      </c>
      <c r="C919" s="12" t="s">
        <v>934</v>
      </c>
      <c r="D919" s="59"/>
      <c r="E919" s="43" t="str">
        <f t="shared" si="50"/>
        <v>Еще фото</v>
      </c>
      <c r="F919" s="34" t="s">
        <v>469</v>
      </c>
      <c r="G919" s="24" t="s">
        <v>237</v>
      </c>
      <c r="H919" s="24" t="s">
        <v>27</v>
      </c>
      <c r="I919" s="24" t="s">
        <v>237</v>
      </c>
      <c r="J919" s="15" t="s">
        <v>37</v>
      </c>
      <c r="K919" s="16" t="s">
        <v>57</v>
      </c>
      <c r="L919" s="62"/>
      <c r="M919" s="15"/>
      <c r="N919" s="15" t="s">
        <v>39</v>
      </c>
      <c r="O919" s="15"/>
      <c r="P919" s="16" t="s">
        <v>32</v>
      </c>
      <c r="Q919" s="17">
        <v>18899</v>
      </c>
      <c r="R919" s="18">
        <v>45</v>
      </c>
      <c r="S919" s="19">
        <v>11953.6175</v>
      </c>
      <c r="T919" s="20" t="s">
        <v>75</v>
      </c>
      <c r="U919" s="21" t="s">
        <v>168</v>
      </c>
      <c r="V919" s="22">
        <v>52</v>
      </c>
      <c r="W919" s="22">
        <v>5</v>
      </c>
      <c r="X919" s="23"/>
    </row>
    <row r="920" spans="1:24" s="1" customFormat="1" ht="14" customHeight="1" x14ac:dyDescent="0.3">
      <c r="A920" s="11" t="s">
        <v>23</v>
      </c>
      <c r="B920" s="11" t="s">
        <v>931</v>
      </c>
      <c r="C920" s="12" t="s">
        <v>935</v>
      </c>
      <c r="D920" s="57"/>
      <c r="E920" s="43" t="str">
        <f t="shared" ref="E920:E926" si="51">HYPERLINK("https://www.google.ru/search?q=0057V-0011&amp;newwindow=1&amp;tbm=isch","Еще фото")</f>
        <v>Еще фото</v>
      </c>
      <c r="F920" s="34" t="s">
        <v>469</v>
      </c>
      <c r="G920" s="11" t="s">
        <v>237</v>
      </c>
      <c r="H920" s="11" t="s">
        <v>27</v>
      </c>
      <c r="I920" s="15" t="s">
        <v>237</v>
      </c>
      <c r="J920" s="15" t="s">
        <v>37</v>
      </c>
      <c r="K920" s="16" t="s">
        <v>57</v>
      </c>
      <c r="L920" s="60" t="s">
        <v>933</v>
      </c>
      <c r="M920" s="15"/>
      <c r="N920" s="15" t="s">
        <v>87</v>
      </c>
      <c r="O920" s="15"/>
      <c r="P920" s="16" t="s">
        <v>32</v>
      </c>
      <c r="Q920" s="17">
        <v>25299</v>
      </c>
      <c r="R920" s="18">
        <v>45</v>
      </c>
      <c r="S920" s="19">
        <v>16001.6175</v>
      </c>
      <c r="T920" s="20" t="s">
        <v>75</v>
      </c>
      <c r="U920" s="21" t="s">
        <v>173</v>
      </c>
      <c r="V920" s="25" t="s">
        <v>63</v>
      </c>
      <c r="W920" s="22">
        <v>5</v>
      </c>
      <c r="X920" s="23"/>
    </row>
    <row r="921" spans="1:24" s="1" customFormat="1" ht="14" customHeight="1" x14ac:dyDescent="0.3">
      <c r="A921" s="24" t="s">
        <v>23</v>
      </c>
      <c r="B921" s="24" t="s">
        <v>931</v>
      </c>
      <c r="C921" s="12" t="s">
        <v>935</v>
      </c>
      <c r="D921" s="58"/>
      <c r="E921" s="43" t="str">
        <f t="shared" si="51"/>
        <v>Еще фото</v>
      </c>
      <c r="F921" s="34" t="s">
        <v>469</v>
      </c>
      <c r="G921" s="24" t="s">
        <v>237</v>
      </c>
      <c r="H921" s="24" t="s">
        <v>27</v>
      </c>
      <c r="I921" s="24" t="s">
        <v>237</v>
      </c>
      <c r="J921" s="15" t="s">
        <v>37</v>
      </c>
      <c r="K921" s="16" t="s">
        <v>57</v>
      </c>
      <c r="L921" s="61"/>
      <c r="M921" s="15"/>
      <c r="N921" s="15" t="s">
        <v>87</v>
      </c>
      <c r="O921" s="15"/>
      <c r="P921" s="16" t="s">
        <v>32</v>
      </c>
      <c r="Q921" s="17">
        <v>25299</v>
      </c>
      <c r="R921" s="18">
        <v>45</v>
      </c>
      <c r="S921" s="19">
        <v>16001.6175</v>
      </c>
      <c r="T921" s="20" t="s">
        <v>75</v>
      </c>
      <c r="U921" s="21" t="s">
        <v>53</v>
      </c>
      <c r="V921" s="22">
        <v>46</v>
      </c>
      <c r="W921" s="22">
        <v>7</v>
      </c>
      <c r="X921" s="23"/>
    </row>
    <row r="922" spans="1:24" s="1" customFormat="1" ht="14" customHeight="1" x14ac:dyDescent="0.3">
      <c r="A922" s="24" t="s">
        <v>23</v>
      </c>
      <c r="B922" s="24" t="s">
        <v>931</v>
      </c>
      <c r="C922" s="12" t="s">
        <v>935</v>
      </c>
      <c r="D922" s="58"/>
      <c r="E922" s="43" t="str">
        <f t="shared" si="51"/>
        <v>Еще фото</v>
      </c>
      <c r="F922" s="34" t="s">
        <v>469</v>
      </c>
      <c r="G922" s="24" t="s">
        <v>237</v>
      </c>
      <c r="H922" s="24" t="s">
        <v>27</v>
      </c>
      <c r="I922" s="24" t="s">
        <v>237</v>
      </c>
      <c r="J922" s="15" t="s">
        <v>37</v>
      </c>
      <c r="K922" s="16" t="s">
        <v>57</v>
      </c>
      <c r="L922" s="61"/>
      <c r="M922" s="15"/>
      <c r="N922" s="15" t="s">
        <v>87</v>
      </c>
      <c r="O922" s="15"/>
      <c r="P922" s="16" t="s">
        <v>32</v>
      </c>
      <c r="Q922" s="17">
        <v>25299</v>
      </c>
      <c r="R922" s="18">
        <v>45</v>
      </c>
      <c r="S922" s="19">
        <v>16001.6175</v>
      </c>
      <c r="T922" s="20" t="s">
        <v>75</v>
      </c>
      <c r="U922" s="21" t="s">
        <v>109</v>
      </c>
      <c r="V922" s="25" t="s">
        <v>65</v>
      </c>
      <c r="W922" s="22">
        <v>9</v>
      </c>
      <c r="X922" s="23"/>
    </row>
    <row r="923" spans="1:24" s="1" customFormat="1" ht="14" customHeight="1" x14ac:dyDescent="0.3">
      <c r="A923" s="24" t="s">
        <v>23</v>
      </c>
      <c r="B923" s="24" t="s">
        <v>931</v>
      </c>
      <c r="C923" s="12" t="s">
        <v>935</v>
      </c>
      <c r="D923" s="58"/>
      <c r="E923" s="43" t="str">
        <f t="shared" si="51"/>
        <v>Еще фото</v>
      </c>
      <c r="F923" s="34" t="s">
        <v>469</v>
      </c>
      <c r="G923" s="24" t="s">
        <v>237</v>
      </c>
      <c r="H923" s="24" t="s">
        <v>27</v>
      </c>
      <c r="I923" s="24" t="s">
        <v>237</v>
      </c>
      <c r="J923" s="15" t="s">
        <v>37</v>
      </c>
      <c r="K923" s="16" t="s">
        <v>57</v>
      </c>
      <c r="L923" s="61"/>
      <c r="M923" s="15"/>
      <c r="N923" s="15" t="s">
        <v>87</v>
      </c>
      <c r="O923" s="15"/>
      <c r="P923" s="16" t="s">
        <v>32</v>
      </c>
      <c r="Q923" s="17">
        <v>25299</v>
      </c>
      <c r="R923" s="18">
        <v>45</v>
      </c>
      <c r="S923" s="19">
        <v>16001.6175</v>
      </c>
      <c r="T923" s="20" t="s">
        <v>75</v>
      </c>
      <c r="U923" s="21" t="s">
        <v>165</v>
      </c>
      <c r="V923" s="22">
        <v>48</v>
      </c>
      <c r="W923" s="22">
        <v>19</v>
      </c>
      <c r="X923" s="23"/>
    </row>
    <row r="924" spans="1:24" s="1" customFormat="1" ht="14" customHeight="1" x14ac:dyDescent="0.3">
      <c r="A924" s="24" t="s">
        <v>23</v>
      </c>
      <c r="B924" s="24" t="s">
        <v>931</v>
      </c>
      <c r="C924" s="12" t="s">
        <v>935</v>
      </c>
      <c r="D924" s="58"/>
      <c r="E924" s="43" t="str">
        <f t="shared" si="51"/>
        <v>Еще фото</v>
      </c>
      <c r="F924" s="34" t="s">
        <v>469</v>
      </c>
      <c r="G924" s="24" t="s">
        <v>237</v>
      </c>
      <c r="H924" s="24" t="s">
        <v>27</v>
      </c>
      <c r="I924" s="24" t="s">
        <v>237</v>
      </c>
      <c r="J924" s="15" t="s">
        <v>37</v>
      </c>
      <c r="K924" s="16" t="s">
        <v>57</v>
      </c>
      <c r="L924" s="61"/>
      <c r="M924" s="15"/>
      <c r="N924" s="15" t="s">
        <v>87</v>
      </c>
      <c r="O924" s="15"/>
      <c r="P924" s="16" t="s">
        <v>32</v>
      </c>
      <c r="Q924" s="17">
        <v>25299</v>
      </c>
      <c r="R924" s="18">
        <v>45</v>
      </c>
      <c r="S924" s="19">
        <v>16001.6175</v>
      </c>
      <c r="T924" s="20" t="s">
        <v>75</v>
      </c>
      <c r="U924" s="21" t="s">
        <v>166</v>
      </c>
      <c r="V924" s="25" t="s">
        <v>96</v>
      </c>
      <c r="W924" s="22">
        <v>4</v>
      </c>
      <c r="X924" s="23"/>
    </row>
    <row r="925" spans="1:24" s="1" customFormat="1" ht="14" customHeight="1" x14ac:dyDescent="0.3">
      <c r="A925" s="24" t="s">
        <v>23</v>
      </c>
      <c r="B925" s="24" t="s">
        <v>931</v>
      </c>
      <c r="C925" s="12" t="s">
        <v>935</v>
      </c>
      <c r="D925" s="58"/>
      <c r="E925" s="43" t="str">
        <f t="shared" si="51"/>
        <v>Еще фото</v>
      </c>
      <c r="F925" s="34" t="s">
        <v>469</v>
      </c>
      <c r="G925" s="24" t="s">
        <v>237</v>
      </c>
      <c r="H925" s="24" t="s">
        <v>27</v>
      </c>
      <c r="I925" s="24" t="s">
        <v>237</v>
      </c>
      <c r="J925" s="15" t="s">
        <v>37</v>
      </c>
      <c r="K925" s="16" t="s">
        <v>57</v>
      </c>
      <c r="L925" s="61"/>
      <c r="M925" s="15"/>
      <c r="N925" s="15" t="s">
        <v>87</v>
      </c>
      <c r="O925" s="15"/>
      <c r="P925" s="16" t="s">
        <v>32</v>
      </c>
      <c r="Q925" s="17">
        <v>25299</v>
      </c>
      <c r="R925" s="18">
        <v>45</v>
      </c>
      <c r="S925" s="19">
        <v>16001.6175</v>
      </c>
      <c r="T925" s="20" t="s">
        <v>75</v>
      </c>
      <c r="U925" s="21" t="s">
        <v>89</v>
      </c>
      <c r="V925" s="22">
        <v>50</v>
      </c>
      <c r="W925" s="22">
        <v>3</v>
      </c>
      <c r="X925" s="23"/>
    </row>
    <row r="926" spans="1:24" s="1" customFormat="1" ht="17" customHeight="1" x14ac:dyDescent="0.3">
      <c r="A926" s="24" t="s">
        <v>23</v>
      </c>
      <c r="B926" s="24" t="s">
        <v>931</v>
      </c>
      <c r="C926" s="12" t="s">
        <v>935</v>
      </c>
      <c r="D926" s="59"/>
      <c r="E926" s="43" t="str">
        <f t="shared" si="51"/>
        <v>Еще фото</v>
      </c>
      <c r="F926" s="34" t="s">
        <v>469</v>
      </c>
      <c r="G926" s="24" t="s">
        <v>237</v>
      </c>
      <c r="H926" s="24" t="s">
        <v>27</v>
      </c>
      <c r="I926" s="24" t="s">
        <v>237</v>
      </c>
      <c r="J926" s="15" t="s">
        <v>37</v>
      </c>
      <c r="K926" s="16" t="s">
        <v>57</v>
      </c>
      <c r="L926" s="62"/>
      <c r="M926" s="15"/>
      <c r="N926" s="15" t="s">
        <v>87</v>
      </c>
      <c r="O926" s="15"/>
      <c r="P926" s="16" t="s">
        <v>32</v>
      </c>
      <c r="Q926" s="17">
        <v>25299</v>
      </c>
      <c r="R926" s="18">
        <v>45</v>
      </c>
      <c r="S926" s="19">
        <v>16001.6175</v>
      </c>
      <c r="T926" s="20" t="s">
        <v>75</v>
      </c>
      <c r="U926" s="21" t="s">
        <v>167</v>
      </c>
      <c r="V926" s="22">
        <v>52</v>
      </c>
      <c r="W926" s="22">
        <v>8</v>
      </c>
      <c r="X926" s="23"/>
    </row>
    <row r="927" spans="1:24" s="1" customFormat="1" ht="21" customHeight="1" x14ac:dyDescent="0.3">
      <c r="A927" s="11" t="s">
        <v>23</v>
      </c>
      <c r="B927" s="11" t="s">
        <v>931</v>
      </c>
      <c r="C927" s="30" t="s">
        <v>936</v>
      </c>
      <c r="D927" s="57"/>
      <c r="E927" s="43" t="str">
        <f>HYPERLINK("https://www.google.ru/search?q=0057V-0014&amp;newwindow=1&amp;tbm=isch","Еще фото")</f>
        <v>Еще фото</v>
      </c>
      <c r="F927" s="14"/>
      <c r="G927" s="11" t="s">
        <v>237</v>
      </c>
      <c r="H927" s="11" t="s">
        <v>27</v>
      </c>
      <c r="I927" s="15" t="s">
        <v>237</v>
      </c>
      <c r="J927" s="15" t="s">
        <v>37</v>
      </c>
      <c r="K927" s="16" t="s">
        <v>57</v>
      </c>
      <c r="L927" s="60" t="s">
        <v>933</v>
      </c>
      <c r="M927" s="15"/>
      <c r="N927" s="15" t="s">
        <v>130</v>
      </c>
      <c r="O927" s="15"/>
      <c r="P927" s="16" t="s">
        <v>32</v>
      </c>
      <c r="Q927" s="17">
        <v>23299</v>
      </c>
      <c r="R927" s="18">
        <v>45</v>
      </c>
      <c r="S927" s="19">
        <v>14736.6175</v>
      </c>
      <c r="T927" s="20" t="s">
        <v>75</v>
      </c>
      <c r="U927" s="21" t="s">
        <v>53</v>
      </c>
      <c r="V927" s="22">
        <v>46</v>
      </c>
      <c r="W927" s="22">
        <v>7</v>
      </c>
      <c r="X927" s="23"/>
    </row>
    <row r="928" spans="1:24" s="1" customFormat="1" ht="21" customHeight="1" x14ac:dyDescent="0.3">
      <c r="A928" s="24" t="s">
        <v>23</v>
      </c>
      <c r="B928" s="24" t="s">
        <v>931</v>
      </c>
      <c r="C928" s="31" t="s">
        <v>936</v>
      </c>
      <c r="D928" s="58"/>
      <c r="E928" s="43" t="str">
        <f>HYPERLINK("https://www.google.ru/search?q=0057V-0014&amp;newwindow=1&amp;tbm=isch","Еще фото")</f>
        <v>Еще фото</v>
      </c>
      <c r="F928" s="14"/>
      <c r="G928" s="24" t="s">
        <v>237</v>
      </c>
      <c r="H928" s="24" t="s">
        <v>27</v>
      </c>
      <c r="I928" s="24" t="s">
        <v>237</v>
      </c>
      <c r="J928" s="15" t="s">
        <v>37</v>
      </c>
      <c r="K928" s="16" t="s">
        <v>57</v>
      </c>
      <c r="L928" s="61"/>
      <c r="M928" s="15"/>
      <c r="N928" s="15" t="s">
        <v>130</v>
      </c>
      <c r="O928" s="15"/>
      <c r="P928" s="16" t="s">
        <v>32</v>
      </c>
      <c r="Q928" s="17">
        <v>23299</v>
      </c>
      <c r="R928" s="18">
        <v>45</v>
      </c>
      <c r="S928" s="19">
        <v>14736.6175</v>
      </c>
      <c r="T928" s="20" t="s">
        <v>75</v>
      </c>
      <c r="U928" s="21" t="s">
        <v>109</v>
      </c>
      <c r="V928" s="25" t="s">
        <v>65</v>
      </c>
      <c r="W928" s="22">
        <v>11</v>
      </c>
      <c r="X928" s="23"/>
    </row>
    <row r="929" spans="1:24" s="1" customFormat="1" ht="21" customHeight="1" x14ac:dyDescent="0.3">
      <c r="A929" s="24" t="s">
        <v>23</v>
      </c>
      <c r="B929" s="24" t="s">
        <v>931</v>
      </c>
      <c r="C929" s="31" t="s">
        <v>936</v>
      </c>
      <c r="D929" s="58"/>
      <c r="E929" s="43" t="str">
        <f>HYPERLINK("https://www.google.ru/search?q=0057V-0014&amp;newwindow=1&amp;tbm=isch","Еще фото")</f>
        <v>Еще фото</v>
      </c>
      <c r="F929" s="14"/>
      <c r="G929" s="24" t="s">
        <v>237</v>
      </c>
      <c r="H929" s="24" t="s">
        <v>27</v>
      </c>
      <c r="I929" s="24" t="s">
        <v>237</v>
      </c>
      <c r="J929" s="15" t="s">
        <v>37</v>
      </c>
      <c r="K929" s="16" t="s">
        <v>57</v>
      </c>
      <c r="L929" s="61"/>
      <c r="M929" s="15"/>
      <c r="N929" s="15" t="s">
        <v>130</v>
      </c>
      <c r="O929" s="15"/>
      <c r="P929" s="16" t="s">
        <v>32</v>
      </c>
      <c r="Q929" s="17">
        <v>23299</v>
      </c>
      <c r="R929" s="18">
        <v>45</v>
      </c>
      <c r="S929" s="19">
        <v>14736.6175</v>
      </c>
      <c r="T929" s="20" t="s">
        <v>75</v>
      </c>
      <c r="U929" s="21" t="s">
        <v>165</v>
      </c>
      <c r="V929" s="22">
        <v>48</v>
      </c>
      <c r="W929" s="22">
        <v>18</v>
      </c>
      <c r="X929" s="23"/>
    </row>
    <row r="930" spans="1:24" s="1" customFormat="1" ht="21" customHeight="1" x14ac:dyDescent="0.3">
      <c r="A930" s="24" t="s">
        <v>23</v>
      </c>
      <c r="B930" s="24" t="s">
        <v>931</v>
      </c>
      <c r="C930" s="31" t="s">
        <v>936</v>
      </c>
      <c r="D930" s="58"/>
      <c r="E930" s="43" t="str">
        <f>HYPERLINK("https://www.google.ru/search?q=0057V-0014&amp;newwindow=1&amp;tbm=isch","Еще фото")</f>
        <v>Еще фото</v>
      </c>
      <c r="F930" s="14"/>
      <c r="G930" s="24" t="s">
        <v>237</v>
      </c>
      <c r="H930" s="24" t="s">
        <v>27</v>
      </c>
      <c r="I930" s="24" t="s">
        <v>237</v>
      </c>
      <c r="J930" s="15" t="s">
        <v>37</v>
      </c>
      <c r="K930" s="16" t="s">
        <v>57</v>
      </c>
      <c r="L930" s="61"/>
      <c r="M930" s="15"/>
      <c r="N930" s="15" t="s">
        <v>130</v>
      </c>
      <c r="O930" s="15"/>
      <c r="P930" s="16" t="s">
        <v>32</v>
      </c>
      <c r="Q930" s="17">
        <v>23299</v>
      </c>
      <c r="R930" s="18">
        <v>45</v>
      </c>
      <c r="S930" s="19">
        <v>14736.6175</v>
      </c>
      <c r="T930" s="20" t="s">
        <v>75</v>
      </c>
      <c r="U930" s="21" t="s">
        <v>166</v>
      </c>
      <c r="V930" s="25" t="s">
        <v>96</v>
      </c>
      <c r="W930" s="22">
        <v>1</v>
      </c>
      <c r="X930" s="23"/>
    </row>
    <row r="931" spans="1:24" s="1" customFormat="1" ht="32" customHeight="1" x14ac:dyDescent="0.3">
      <c r="A931" s="24" t="s">
        <v>23</v>
      </c>
      <c r="B931" s="24" t="s">
        <v>931</v>
      </c>
      <c r="C931" s="31" t="s">
        <v>936</v>
      </c>
      <c r="D931" s="59"/>
      <c r="E931" s="43" t="str">
        <f>HYPERLINK("https://www.google.ru/search?q=0057V-0014&amp;newwindow=1&amp;tbm=isch","Еще фото")</f>
        <v>Еще фото</v>
      </c>
      <c r="F931" s="14"/>
      <c r="G931" s="24" t="s">
        <v>237</v>
      </c>
      <c r="H931" s="24" t="s">
        <v>27</v>
      </c>
      <c r="I931" s="24" t="s">
        <v>237</v>
      </c>
      <c r="J931" s="15" t="s">
        <v>37</v>
      </c>
      <c r="K931" s="16" t="s">
        <v>57</v>
      </c>
      <c r="L931" s="62"/>
      <c r="M931" s="15"/>
      <c r="N931" s="15" t="s">
        <v>130</v>
      </c>
      <c r="O931" s="15"/>
      <c r="P931" s="16" t="s">
        <v>32</v>
      </c>
      <c r="Q931" s="17">
        <v>23299</v>
      </c>
      <c r="R931" s="18">
        <v>45</v>
      </c>
      <c r="S931" s="19">
        <v>14736.6175</v>
      </c>
      <c r="T931" s="20" t="s">
        <v>75</v>
      </c>
      <c r="U931" s="21" t="s">
        <v>167</v>
      </c>
      <c r="V931" s="22">
        <v>52</v>
      </c>
      <c r="W931" s="22">
        <v>3</v>
      </c>
      <c r="X931" s="23"/>
    </row>
    <row r="932" spans="1:24" s="1" customFormat="1" ht="11" customHeight="1" x14ac:dyDescent="0.3">
      <c r="A932" s="11" t="s">
        <v>23</v>
      </c>
      <c r="B932" s="11" t="s">
        <v>937</v>
      </c>
      <c r="C932" s="12" t="s">
        <v>938</v>
      </c>
      <c r="D932" s="57"/>
      <c r="E932" s="43" t="str">
        <f t="shared" ref="E932:E940" si="52">HYPERLINK("https://www.google.ru/search?q=005DO-0004&amp;newwindow=1&amp;tbm=isch","Еще фото")</f>
        <v>Еще фото</v>
      </c>
      <c r="F932" s="14"/>
      <c r="G932" s="11" t="s">
        <v>237</v>
      </c>
      <c r="H932" s="11" t="s">
        <v>27</v>
      </c>
      <c r="I932" s="15" t="s">
        <v>237</v>
      </c>
      <c r="J932" s="15" t="s">
        <v>37</v>
      </c>
      <c r="K932" s="16" t="s">
        <v>29</v>
      </c>
      <c r="L932" s="60"/>
      <c r="M932" s="15"/>
      <c r="N932" s="15" t="s">
        <v>39</v>
      </c>
      <c r="O932" s="15"/>
      <c r="P932" s="16" t="s">
        <v>172</v>
      </c>
      <c r="Q932" s="17">
        <v>17399</v>
      </c>
      <c r="R932" s="18">
        <v>45</v>
      </c>
      <c r="S932" s="19">
        <v>11004.8675</v>
      </c>
      <c r="T932" s="20" t="s">
        <v>75</v>
      </c>
      <c r="U932" s="21" t="s">
        <v>401</v>
      </c>
      <c r="V932" s="22">
        <v>40</v>
      </c>
      <c r="W932" s="22">
        <v>1</v>
      </c>
      <c r="X932" s="23"/>
    </row>
    <row r="933" spans="1:24" s="1" customFormat="1" ht="11" customHeight="1" x14ac:dyDescent="0.3">
      <c r="A933" s="24" t="s">
        <v>23</v>
      </c>
      <c r="B933" s="24" t="s">
        <v>937</v>
      </c>
      <c r="C933" s="12" t="s">
        <v>938</v>
      </c>
      <c r="D933" s="58"/>
      <c r="E933" s="43" t="str">
        <f t="shared" si="52"/>
        <v>Еще фото</v>
      </c>
      <c r="F933" s="14"/>
      <c r="G933" s="24" t="s">
        <v>237</v>
      </c>
      <c r="H933" s="24" t="s">
        <v>27</v>
      </c>
      <c r="I933" s="24" t="s">
        <v>237</v>
      </c>
      <c r="J933" s="15" t="s">
        <v>37</v>
      </c>
      <c r="K933" s="16" t="s">
        <v>29</v>
      </c>
      <c r="L933" s="61"/>
      <c r="M933" s="15"/>
      <c r="N933" s="15" t="s">
        <v>39</v>
      </c>
      <c r="O933" s="15"/>
      <c r="P933" s="16" t="s">
        <v>172</v>
      </c>
      <c r="Q933" s="17">
        <v>17399</v>
      </c>
      <c r="R933" s="18">
        <v>45</v>
      </c>
      <c r="S933" s="19">
        <v>11004.8675</v>
      </c>
      <c r="T933" s="20" t="s">
        <v>75</v>
      </c>
      <c r="U933" s="21" t="s">
        <v>402</v>
      </c>
      <c r="V933" s="22">
        <v>40</v>
      </c>
      <c r="W933" s="22">
        <v>5</v>
      </c>
      <c r="X933" s="23"/>
    </row>
    <row r="934" spans="1:24" s="1" customFormat="1" ht="11" customHeight="1" x14ac:dyDescent="0.3">
      <c r="A934" s="24" t="s">
        <v>23</v>
      </c>
      <c r="B934" s="24" t="s">
        <v>937</v>
      </c>
      <c r="C934" s="12" t="s">
        <v>938</v>
      </c>
      <c r="D934" s="58"/>
      <c r="E934" s="43" t="str">
        <f t="shared" si="52"/>
        <v>Еще фото</v>
      </c>
      <c r="F934" s="14"/>
      <c r="G934" s="24" t="s">
        <v>237</v>
      </c>
      <c r="H934" s="24" t="s">
        <v>27</v>
      </c>
      <c r="I934" s="24" t="s">
        <v>237</v>
      </c>
      <c r="J934" s="15" t="s">
        <v>37</v>
      </c>
      <c r="K934" s="16" t="s">
        <v>29</v>
      </c>
      <c r="L934" s="61"/>
      <c r="M934" s="15"/>
      <c r="N934" s="15" t="s">
        <v>39</v>
      </c>
      <c r="O934" s="15"/>
      <c r="P934" s="16" t="s">
        <v>172</v>
      </c>
      <c r="Q934" s="17">
        <v>17399</v>
      </c>
      <c r="R934" s="18">
        <v>45</v>
      </c>
      <c r="S934" s="19">
        <v>11004.8675</v>
      </c>
      <c r="T934" s="20" t="s">
        <v>75</v>
      </c>
      <c r="U934" s="21" t="s">
        <v>939</v>
      </c>
      <c r="V934" s="25" t="s">
        <v>44</v>
      </c>
      <c r="W934" s="22">
        <v>4</v>
      </c>
      <c r="X934" s="23"/>
    </row>
    <row r="935" spans="1:24" s="1" customFormat="1" ht="11" customHeight="1" x14ac:dyDescent="0.3">
      <c r="A935" s="24" t="s">
        <v>23</v>
      </c>
      <c r="B935" s="24" t="s">
        <v>937</v>
      </c>
      <c r="C935" s="12" t="s">
        <v>938</v>
      </c>
      <c r="D935" s="58"/>
      <c r="E935" s="43" t="str">
        <f t="shared" si="52"/>
        <v>Еще фото</v>
      </c>
      <c r="F935" s="14"/>
      <c r="G935" s="24" t="s">
        <v>237</v>
      </c>
      <c r="H935" s="24" t="s">
        <v>27</v>
      </c>
      <c r="I935" s="24" t="s">
        <v>237</v>
      </c>
      <c r="J935" s="15" t="s">
        <v>37</v>
      </c>
      <c r="K935" s="16" t="s">
        <v>29</v>
      </c>
      <c r="L935" s="61"/>
      <c r="M935" s="15"/>
      <c r="N935" s="15" t="s">
        <v>39</v>
      </c>
      <c r="O935" s="15"/>
      <c r="P935" s="16" t="s">
        <v>172</v>
      </c>
      <c r="Q935" s="17">
        <v>17399</v>
      </c>
      <c r="R935" s="18">
        <v>45</v>
      </c>
      <c r="S935" s="19">
        <v>11004.8675</v>
      </c>
      <c r="T935" s="20" t="s">
        <v>75</v>
      </c>
      <c r="U935" s="21" t="s">
        <v>659</v>
      </c>
      <c r="V935" s="22">
        <v>42</v>
      </c>
      <c r="W935" s="22">
        <v>3</v>
      </c>
      <c r="X935" s="23"/>
    </row>
    <row r="936" spans="1:24" s="1" customFormat="1" ht="11" customHeight="1" x14ac:dyDescent="0.3">
      <c r="A936" s="24" t="s">
        <v>23</v>
      </c>
      <c r="B936" s="24" t="s">
        <v>937</v>
      </c>
      <c r="C936" s="12" t="s">
        <v>938</v>
      </c>
      <c r="D936" s="58"/>
      <c r="E936" s="43" t="str">
        <f t="shared" si="52"/>
        <v>Еще фото</v>
      </c>
      <c r="F936" s="14"/>
      <c r="G936" s="24" t="s">
        <v>237</v>
      </c>
      <c r="H936" s="24" t="s">
        <v>27</v>
      </c>
      <c r="I936" s="24" t="s">
        <v>237</v>
      </c>
      <c r="J936" s="15" t="s">
        <v>37</v>
      </c>
      <c r="K936" s="16" t="s">
        <v>29</v>
      </c>
      <c r="L936" s="61"/>
      <c r="M936" s="15"/>
      <c r="N936" s="15" t="s">
        <v>39</v>
      </c>
      <c r="O936" s="15"/>
      <c r="P936" s="16" t="s">
        <v>172</v>
      </c>
      <c r="Q936" s="17">
        <v>17399</v>
      </c>
      <c r="R936" s="18">
        <v>45</v>
      </c>
      <c r="S936" s="19">
        <v>11004.8675</v>
      </c>
      <c r="T936" s="20" t="s">
        <v>75</v>
      </c>
      <c r="U936" s="21" t="s">
        <v>234</v>
      </c>
      <c r="V936" s="25" t="s">
        <v>48</v>
      </c>
      <c r="W936" s="22">
        <v>6</v>
      </c>
      <c r="X936" s="23"/>
    </row>
    <row r="937" spans="1:24" s="1" customFormat="1" ht="11" customHeight="1" x14ac:dyDescent="0.3">
      <c r="A937" s="24" t="s">
        <v>23</v>
      </c>
      <c r="B937" s="24" t="s">
        <v>937</v>
      </c>
      <c r="C937" s="12" t="s">
        <v>938</v>
      </c>
      <c r="D937" s="58"/>
      <c r="E937" s="43" t="str">
        <f t="shared" si="52"/>
        <v>Еще фото</v>
      </c>
      <c r="F937" s="14"/>
      <c r="G937" s="24" t="s">
        <v>237</v>
      </c>
      <c r="H937" s="24" t="s">
        <v>27</v>
      </c>
      <c r="I937" s="24" t="s">
        <v>237</v>
      </c>
      <c r="J937" s="15" t="s">
        <v>37</v>
      </c>
      <c r="K937" s="16" t="s">
        <v>29</v>
      </c>
      <c r="L937" s="61"/>
      <c r="M937" s="15"/>
      <c r="N937" s="15" t="s">
        <v>39</v>
      </c>
      <c r="O937" s="15"/>
      <c r="P937" s="16" t="s">
        <v>172</v>
      </c>
      <c r="Q937" s="17">
        <v>17399</v>
      </c>
      <c r="R937" s="18">
        <v>45</v>
      </c>
      <c r="S937" s="19">
        <v>11004.8675</v>
      </c>
      <c r="T937" s="20" t="s">
        <v>75</v>
      </c>
      <c r="U937" s="21" t="s">
        <v>719</v>
      </c>
      <c r="V937" s="22">
        <v>44</v>
      </c>
      <c r="W937" s="22">
        <v>1</v>
      </c>
      <c r="X937" s="23"/>
    </row>
    <row r="938" spans="1:24" s="1" customFormat="1" ht="11" customHeight="1" x14ac:dyDescent="0.3">
      <c r="A938" s="24" t="s">
        <v>23</v>
      </c>
      <c r="B938" s="24" t="s">
        <v>937</v>
      </c>
      <c r="C938" s="12" t="s">
        <v>938</v>
      </c>
      <c r="D938" s="58"/>
      <c r="E938" s="43" t="str">
        <f t="shared" si="52"/>
        <v>Еще фото</v>
      </c>
      <c r="F938" s="14"/>
      <c r="G938" s="24" t="s">
        <v>237</v>
      </c>
      <c r="H938" s="24" t="s">
        <v>27</v>
      </c>
      <c r="I938" s="24" t="s">
        <v>237</v>
      </c>
      <c r="J938" s="15" t="s">
        <v>37</v>
      </c>
      <c r="K938" s="16" t="s">
        <v>29</v>
      </c>
      <c r="L938" s="61"/>
      <c r="M938" s="15"/>
      <c r="N938" s="15" t="s">
        <v>39</v>
      </c>
      <c r="O938" s="15"/>
      <c r="P938" s="16" t="s">
        <v>172</v>
      </c>
      <c r="Q938" s="17">
        <v>17399</v>
      </c>
      <c r="R938" s="18">
        <v>45</v>
      </c>
      <c r="S938" s="19">
        <v>11004.8675</v>
      </c>
      <c r="T938" s="20" t="s">
        <v>75</v>
      </c>
      <c r="U938" s="21" t="s">
        <v>660</v>
      </c>
      <c r="V938" s="25" t="s">
        <v>63</v>
      </c>
      <c r="W938" s="22">
        <v>6</v>
      </c>
      <c r="X938" s="23"/>
    </row>
    <row r="939" spans="1:24" s="1" customFormat="1" ht="11" customHeight="1" x14ac:dyDescent="0.3">
      <c r="A939" s="24" t="s">
        <v>23</v>
      </c>
      <c r="B939" s="24" t="s">
        <v>937</v>
      </c>
      <c r="C939" s="12" t="s">
        <v>938</v>
      </c>
      <c r="D939" s="58"/>
      <c r="E939" s="43" t="str">
        <f t="shared" si="52"/>
        <v>Еще фото</v>
      </c>
      <c r="F939" s="14"/>
      <c r="G939" s="24" t="s">
        <v>237</v>
      </c>
      <c r="H939" s="24" t="s">
        <v>27</v>
      </c>
      <c r="I939" s="24" t="s">
        <v>237</v>
      </c>
      <c r="J939" s="15" t="s">
        <v>37</v>
      </c>
      <c r="K939" s="16" t="s">
        <v>29</v>
      </c>
      <c r="L939" s="61"/>
      <c r="M939" s="15"/>
      <c r="N939" s="15" t="s">
        <v>39</v>
      </c>
      <c r="O939" s="15"/>
      <c r="P939" s="16" t="s">
        <v>172</v>
      </c>
      <c r="Q939" s="17">
        <v>17399</v>
      </c>
      <c r="R939" s="18">
        <v>45</v>
      </c>
      <c r="S939" s="19">
        <v>11004.8675</v>
      </c>
      <c r="T939" s="20" t="s">
        <v>75</v>
      </c>
      <c r="U939" s="21" t="s">
        <v>134</v>
      </c>
      <c r="V939" s="22">
        <v>48</v>
      </c>
      <c r="W939" s="22">
        <v>6</v>
      </c>
      <c r="X939" s="23"/>
    </row>
    <row r="940" spans="1:24" s="1" customFormat="1" ht="11" customHeight="1" x14ac:dyDescent="0.3">
      <c r="A940" s="24" t="s">
        <v>23</v>
      </c>
      <c r="B940" s="24" t="s">
        <v>937</v>
      </c>
      <c r="C940" s="12" t="s">
        <v>938</v>
      </c>
      <c r="D940" s="59"/>
      <c r="E940" s="43" t="str">
        <f t="shared" si="52"/>
        <v>Еще фото</v>
      </c>
      <c r="F940" s="14"/>
      <c r="G940" s="24" t="s">
        <v>237</v>
      </c>
      <c r="H940" s="24" t="s">
        <v>27</v>
      </c>
      <c r="I940" s="24" t="s">
        <v>237</v>
      </c>
      <c r="J940" s="15" t="s">
        <v>37</v>
      </c>
      <c r="K940" s="16" t="s">
        <v>29</v>
      </c>
      <c r="L940" s="62"/>
      <c r="M940" s="15"/>
      <c r="N940" s="15" t="s">
        <v>39</v>
      </c>
      <c r="O940" s="15"/>
      <c r="P940" s="16" t="s">
        <v>172</v>
      </c>
      <c r="Q940" s="17">
        <v>17399</v>
      </c>
      <c r="R940" s="18">
        <v>45</v>
      </c>
      <c r="S940" s="19">
        <v>11004.8675</v>
      </c>
      <c r="T940" s="20" t="s">
        <v>75</v>
      </c>
      <c r="U940" s="21" t="s">
        <v>940</v>
      </c>
      <c r="V940" s="22">
        <v>50</v>
      </c>
      <c r="W940" s="22">
        <v>5</v>
      </c>
      <c r="X940" s="23"/>
    </row>
    <row r="941" spans="1:24" s="1" customFormat="1" ht="108" customHeight="1" x14ac:dyDescent="0.3">
      <c r="A941" s="11" t="s">
        <v>23</v>
      </c>
      <c r="B941" s="11" t="s">
        <v>941</v>
      </c>
      <c r="C941" s="12" t="s">
        <v>942</v>
      </c>
      <c r="D941" s="13"/>
      <c r="E941" s="43" t="str">
        <f>HYPERLINK("https://www.google.ru/search?q=0066J-0001&amp;newwindow=1&amp;tbm=isch","Еще фото")</f>
        <v>Еще фото</v>
      </c>
      <c r="F941" s="14"/>
      <c r="G941" s="11" t="s">
        <v>237</v>
      </c>
      <c r="H941" s="11" t="s">
        <v>27</v>
      </c>
      <c r="I941" s="15" t="s">
        <v>237</v>
      </c>
      <c r="J941" s="15" t="s">
        <v>37</v>
      </c>
      <c r="K941" s="16" t="s">
        <v>29</v>
      </c>
      <c r="L941" s="15"/>
      <c r="M941" s="15"/>
      <c r="N941" s="15" t="s">
        <v>130</v>
      </c>
      <c r="O941" s="15"/>
      <c r="P941" s="16" t="s">
        <v>943</v>
      </c>
      <c r="Q941" s="17">
        <v>10299</v>
      </c>
      <c r="R941" s="18">
        <v>45</v>
      </c>
      <c r="S941" s="19">
        <v>6514.1174999999994</v>
      </c>
      <c r="T941" s="20" t="s">
        <v>75</v>
      </c>
      <c r="U941" s="21" t="s">
        <v>45</v>
      </c>
      <c r="V941" s="25" t="s">
        <v>44</v>
      </c>
      <c r="W941" s="22">
        <v>1</v>
      </c>
      <c r="X941" s="23"/>
    </row>
    <row r="942" spans="1:24" s="1" customFormat="1" ht="13.05" customHeight="1" x14ac:dyDescent="0.3">
      <c r="A942" s="11" t="s">
        <v>23</v>
      </c>
      <c r="B942" s="11" t="s">
        <v>944</v>
      </c>
      <c r="C942" s="12" t="s">
        <v>945</v>
      </c>
      <c r="D942" s="57"/>
      <c r="E942" s="43" t="str">
        <f t="shared" ref="E942:E949" si="53">HYPERLINK("https://www.google.ru/search?q=006KC-0000&amp;newwindow=1&amp;tbm=isch","Еще фото")</f>
        <v>Еще фото</v>
      </c>
      <c r="F942" s="14"/>
      <c r="G942" s="11" t="s">
        <v>237</v>
      </c>
      <c r="H942" s="11" t="s">
        <v>27</v>
      </c>
      <c r="I942" s="15" t="s">
        <v>237</v>
      </c>
      <c r="J942" s="15" t="s">
        <v>37</v>
      </c>
      <c r="K942" s="16" t="s">
        <v>29</v>
      </c>
      <c r="L942" s="60" t="s">
        <v>946</v>
      </c>
      <c r="M942" s="15"/>
      <c r="N942" s="15" t="s">
        <v>39</v>
      </c>
      <c r="O942" s="15"/>
      <c r="P942" s="16" t="s">
        <v>88</v>
      </c>
      <c r="Q942" s="17">
        <v>10899</v>
      </c>
      <c r="R942" s="18">
        <v>45</v>
      </c>
      <c r="S942" s="19">
        <v>6893.6174999999994</v>
      </c>
      <c r="T942" s="20" t="s">
        <v>75</v>
      </c>
      <c r="U942" s="33" t="s">
        <v>47</v>
      </c>
      <c r="V942" s="25" t="s">
        <v>48</v>
      </c>
      <c r="W942" s="22">
        <v>3</v>
      </c>
      <c r="X942" s="23"/>
    </row>
    <row r="943" spans="1:24" s="1" customFormat="1" ht="13.05" customHeight="1" x14ac:dyDescent="0.3">
      <c r="A943" s="24" t="s">
        <v>23</v>
      </c>
      <c r="B943" s="24" t="s">
        <v>944</v>
      </c>
      <c r="C943" s="12" t="s">
        <v>945</v>
      </c>
      <c r="D943" s="58"/>
      <c r="E943" s="43" t="str">
        <f t="shared" si="53"/>
        <v>Еще фото</v>
      </c>
      <c r="F943" s="14"/>
      <c r="G943" s="24" t="s">
        <v>237</v>
      </c>
      <c r="H943" s="24" t="s">
        <v>27</v>
      </c>
      <c r="I943" s="24" t="s">
        <v>237</v>
      </c>
      <c r="J943" s="15" t="s">
        <v>37</v>
      </c>
      <c r="K943" s="16" t="s">
        <v>29</v>
      </c>
      <c r="L943" s="61"/>
      <c r="M943" s="15"/>
      <c r="N943" s="15" t="s">
        <v>39</v>
      </c>
      <c r="O943" s="15"/>
      <c r="P943" s="16" t="s">
        <v>88</v>
      </c>
      <c r="Q943" s="17">
        <v>10899</v>
      </c>
      <c r="R943" s="18">
        <v>45</v>
      </c>
      <c r="S943" s="19">
        <v>6893.6174999999994</v>
      </c>
      <c r="T943" s="20" t="s">
        <v>75</v>
      </c>
      <c r="U943" s="21" t="s">
        <v>50</v>
      </c>
      <c r="V943" s="22">
        <v>44</v>
      </c>
      <c r="W943" s="22">
        <v>2</v>
      </c>
      <c r="X943" s="23"/>
    </row>
    <row r="944" spans="1:24" s="1" customFormat="1" ht="13.05" customHeight="1" x14ac:dyDescent="0.3">
      <c r="A944" s="24" t="s">
        <v>23</v>
      </c>
      <c r="B944" s="24" t="s">
        <v>944</v>
      </c>
      <c r="C944" s="12" t="s">
        <v>945</v>
      </c>
      <c r="D944" s="58"/>
      <c r="E944" s="43" t="str">
        <f t="shared" si="53"/>
        <v>Еще фото</v>
      </c>
      <c r="F944" s="14"/>
      <c r="G944" s="24" t="s">
        <v>237</v>
      </c>
      <c r="H944" s="24" t="s">
        <v>27</v>
      </c>
      <c r="I944" s="24" t="s">
        <v>237</v>
      </c>
      <c r="J944" s="15" t="s">
        <v>37</v>
      </c>
      <c r="K944" s="16" t="s">
        <v>29</v>
      </c>
      <c r="L944" s="61"/>
      <c r="M944" s="15"/>
      <c r="N944" s="15" t="s">
        <v>39</v>
      </c>
      <c r="O944" s="15"/>
      <c r="P944" s="16" t="s">
        <v>88</v>
      </c>
      <c r="Q944" s="17">
        <v>10899</v>
      </c>
      <c r="R944" s="18">
        <v>45</v>
      </c>
      <c r="S944" s="19">
        <v>6893.6174999999994</v>
      </c>
      <c r="T944" s="20" t="s">
        <v>75</v>
      </c>
      <c r="U944" s="21" t="s">
        <v>51</v>
      </c>
      <c r="V944" s="22">
        <v>44</v>
      </c>
      <c r="W944" s="22">
        <v>1</v>
      </c>
      <c r="X944" s="23"/>
    </row>
    <row r="945" spans="1:24" s="1" customFormat="1" ht="13.05" customHeight="1" x14ac:dyDescent="0.3">
      <c r="A945" s="24" t="s">
        <v>23</v>
      </c>
      <c r="B945" s="24" t="s">
        <v>944</v>
      </c>
      <c r="C945" s="12" t="s">
        <v>945</v>
      </c>
      <c r="D945" s="58"/>
      <c r="E945" s="43" t="str">
        <f t="shared" si="53"/>
        <v>Еще фото</v>
      </c>
      <c r="F945" s="14"/>
      <c r="G945" s="24" t="s">
        <v>237</v>
      </c>
      <c r="H945" s="24" t="s">
        <v>27</v>
      </c>
      <c r="I945" s="24" t="s">
        <v>237</v>
      </c>
      <c r="J945" s="15" t="s">
        <v>37</v>
      </c>
      <c r="K945" s="16" t="s">
        <v>29</v>
      </c>
      <c r="L945" s="61"/>
      <c r="M945" s="15"/>
      <c r="N945" s="15" t="s">
        <v>39</v>
      </c>
      <c r="O945" s="15"/>
      <c r="P945" s="16" t="s">
        <v>88</v>
      </c>
      <c r="Q945" s="17">
        <v>10899</v>
      </c>
      <c r="R945" s="18">
        <v>45</v>
      </c>
      <c r="S945" s="19">
        <v>6893.6174999999994</v>
      </c>
      <c r="T945" s="20" t="s">
        <v>75</v>
      </c>
      <c r="U945" s="21" t="s">
        <v>230</v>
      </c>
      <c r="V945" s="22">
        <v>46</v>
      </c>
      <c r="W945" s="22">
        <v>1</v>
      </c>
      <c r="X945" s="23"/>
    </row>
    <row r="946" spans="1:24" s="1" customFormat="1" ht="13.05" customHeight="1" x14ac:dyDescent="0.3">
      <c r="A946" s="24" t="s">
        <v>23</v>
      </c>
      <c r="B946" s="24" t="s">
        <v>944</v>
      </c>
      <c r="C946" s="12" t="s">
        <v>945</v>
      </c>
      <c r="D946" s="58"/>
      <c r="E946" s="43" t="str">
        <f t="shared" si="53"/>
        <v>Еще фото</v>
      </c>
      <c r="F946" s="14"/>
      <c r="G946" s="24" t="s">
        <v>237</v>
      </c>
      <c r="H946" s="24" t="s">
        <v>27</v>
      </c>
      <c r="I946" s="24" t="s">
        <v>237</v>
      </c>
      <c r="J946" s="15" t="s">
        <v>37</v>
      </c>
      <c r="K946" s="16" t="s">
        <v>29</v>
      </c>
      <c r="L946" s="61"/>
      <c r="M946" s="15"/>
      <c r="N946" s="15" t="s">
        <v>39</v>
      </c>
      <c r="O946" s="15"/>
      <c r="P946" s="16" t="s">
        <v>88</v>
      </c>
      <c r="Q946" s="17">
        <v>10899</v>
      </c>
      <c r="R946" s="18">
        <v>45</v>
      </c>
      <c r="S946" s="19">
        <v>6893.6174999999994</v>
      </c>
      <c r="T946" s="20" t="s">
        <v>75</v>
      </c>
      <c r="U946" s="21" t="s">
        <v>173</v>
      </c>
      <c r="V946" s="22">
        <v>46</v>
      </c>
      <c r="W946" s="22">
        <v>1</v>
      </c>
      <c r="X946" s="23"/>
    </row>
    <row r="947" spans="1:24" s="1" customFormat="1" ht="13.05" customHeight="1" x14ac:dyDescent="0.3">
      <c r="A947" s="24" t="s">
        <v>23</v>
      </c>
      <c r="B947" s="24" t="s">
        <v>944</v>
      </c>
      <c r="C947" s="12" t="s">
        <v>945</v>
      </c>
      <c r="D947" s="58"/>
      <c r="E947" s="43" t="str">
        <f t="shared" si="53"/>
        <v>Еще фото</v>
      </c>
      <c r="F947" s="14"/>
      <c r="G947" s="24" t="s">
        <v>237</v>
      </c>
      <c r="H947" s="24" t="s">
        <v>27</v>
      </c>
      <c r="I947" s="24" t="s">
        <v>237</v>
      </c>
      <c r="J947" s="15" t="s">
        <v>37</v>
      </c>
      <c r="K947" s="16" t="s">
        <v>29</v>
      </c>
      <c r="L947" s="61"/>
      <c r="M947" s="15"/>
      <c r="N947" s="15" t="s">
        <v>39</v>
      </c>
      <c r="O947" s="15"/>
      <c r="P947" s="16" t="s">
        <v>88</v>
      </c>
      <c r="Q947" s="17">
        <v>10899</v>
      </c>
      <c r="R947" s="18">
        <v>45</v>
      </c>
      <c r="S947" s="19">
        <v>6893.6174999999994</v>
      </c>
      <c r="T947" s="20" t="s">
        <v>75</v>
      </c>
      <c r="U947" s="21" t="s">
        <v>52</v>
      </c>
      <c r="V947" s="22">
        <v>48</v>
      </c>
      <c r="W947" s="22">
        <v>1</v>
      </c>
      <c r="X947" s="23"/>
    </row>
    <row r="948" spans="1:24" s="1" customFormat="1" ht="13.05" customHeight="1" x14ac:dyDescent="0.3">
      <c r="A948" s="24" t="s">
        <v>23</v>
      </c>
      <c r="B948" s="24" t="s">
        <v>944</v>
      </c>
      <c r="C948" s="12" t="s">
        <v>945</v>
      </c>
      <c r="D948" s="58"/>
      <c r="E948" s="43" t="str">
        <f t="shared" si="53"/>
        <v>Еще фото</v>
      </c>
      <c r="F948" s="14"/>
      <c r="G948" s="24" t="s">
        <v>237</v>
      </c>
      <c r="H948" s="24" t="s">
        <v>27</v>
      </c>
      <c r="I948" s="24" t="s">
        <v>237</v>
      </c>
      <c r="J948" s="15" t="s">
        <v>37</v>
      </c>
      <c r="K948" s="16" t="s">
        <v>29</v>
      </c>
      <c r="L948" s="61"/>
      <c r="M948" s="15"/>
      <c r="N948" s="15" t="s">
        <v>39</v>
      </c>
      <c r="O948" s="15"/>
      <c r="P948" s="16" t="s">
        <v>88</v>
      </c>
      <c r="Q948" s="17">
        <v>10899</v>
      </c>
      <c r="R948" s="18">
        <v>45</v>
      </c>
      <c r="S948" s="19">
        <v>6893.6174999999994</v>
      </c>
      <c r="T948" s="20" t="s">
        <v>75</v>
      </c>
      <c r="U948" s="21" t="s">
        <v>188</v>
      </c>
      <c r="V948" s="25" t="s">
        <v>96</v>
      </c>
      <c r="W948" s="22">
        <v>2</v>
      </c>
      <c r="X948" s="23"/>
    </row>
    <row r="949" spans="1:24" s="1" customFormat="1" ht="18" customHeight="1" x14ac:dyDescent="0.3">
      <c r="A949" s="24" t="s">
        <v>23</v>
      </c>
      <c r="B949" s="24" t="s">
        <v>944</v>
      </c>
      <c r="C949" s="12" t="s">
        <v>945</v>
      </c>
      <c r="D949" s="59"/>
      <c r="E949" s="43" t="str">
        <f t="shared" si="53"/>
        <v>Еще фото</v>
      </c>
      <c r="F949" s="14"/>
      <c r="G949" s="24" t="s">
        <v>237</v>
      </c>
      <c r="H949" s="24" t="s">
        <v>27</v>
      </c>
      <c r="I949" s="24" t="s">
        <v>237</v>
      </c>
      <c r="J949" s="15" t="s">
        <v>37</v>
      </c>
      <c r="K949" s="16" t="s">
        <v>29</v>
      </c>
      <c r="L949" s="62"/>
      <c r="M949" s="15"/>
      <c r="N949" s="15" t="s">
        <v>39</v>
      </c>
      <c r="O949" s="15"/>
      <c r="P949" s="16" t="s">
        <v>88</v>
      </c>
      <c r="Q949" s="17">
        <v>10899</v>
      </c>
      <c r="R949" s="18">
        <v>45</v>
      </c>
      <c r="S949" s="19">
        <v>6893.6174999999994</v>
      </c>
      <c r="T949" s="20" t="s">
        <v>75</v>
      </c>
      <c r="U949" s="21" t="s">
        <v>109</v>
      </c>
      <c r="V949" s="25" t="s">
        <v>96</v>
      </c>
      <c r="W949" s="22">
        <v>1</v>
      </c>
      <c r="X949" s="23"/>
    </row>
    <row r="950" spans="1:24" s="1" customFormat="1" ht="26" customHeight="1" x14ac:dyDescent="0.3">
      <c r="A950" s="11" t="s">
        <v>23</v>
      </c>
      <c r="B950" s="11" t="s">
        <v>947</v>
      </c>
      <c r="C950" s="12" t="s">
        <v>948</v>
      </c>
      <c r="D950" s="57"/>
      <c r="E950" s="43" t="str">
        <f>HYPERLINK("https://www.google.ru/search?q=006KC-0002&amp;newwindow=1&amp;tbm=isch","Еще фото")</f>
        <v>Еще фото</v>
      </c>
      <c r="F950" s="14"/>
      <c r="G950" s="11" t="s">
        <v>237</v>
      </c>
      <c r="H950" s="11" t="s">
        <v>27</v>
      </c>
      <c r="I950" s="15" t="s">
        <v>237</v>
      </c>
      <c r="J950" s="15" t="s">
        <v>37</v>
      </c>
      <c r="K950" s="16" t="s">
        <v>29</v>
      </c>
      <c r="L950" s="60" t="s">
        <v>946</v>
      </c>
      <c r="M950" s="15"/>
      <c r="N950" s="15" t="s">
        <v>130</v>
      </c>
      <c r="O950" s="15"/>
      <c r="P950" s="16" t="s">
        <v>88</v>
      </c>
      <c r="Q950" s="17">
        <v>10899</v>
      </c>
      <c r="R950" s="18">
        <v>45</v>
      </c>
      <c r="S950" s="19">
        <v>6893.6174999999994</v>
      </c>
      <c r="T950" s="20" t="s">
        <v>75</v>
      </c>
      <c r="U950" s="21" t="s">
        <v>49</v>
      </c>
      <c r="V950" s="25" t="s">
        <v>48</v>
      </c>
      <c r="W950" s="22">
        <v>1</v>
      </c>
      <c r="X950" s="23"/>
    </row>
    <row r="951" spans="1:24" s="1" customFormat="1" ht="26" customHeight="1" x14ac:dyDescent="0.3">
      <c r="A951" s="24" t="s">
        <v>23</v>
      </c>
      <c r="B951" s="24" t="s">
        <v>947</v>
      </c>
      <c r="C951" s="12" t="s">
        <v>948</v>
      </c>
      <c r="D951" s="58"/>
      <c r="E951" s="43" t="str">
        <f>HYPERLINK("https://www.google.ru/search?q=006KC-0002&amp;newwindow=1&amp;tbm=isch","Еще фото")</f>
        <v>Еще фото</v>
      </c>
      <c r="F951" s="14"/>
      <c r="G951" s="24" t="s">
        <v>237</v>
      </c>
      <c r="H951" s="24" t="s">
        <v>27</v>
      </c>
      <c r="I951" s="24" t="s">
        <v>237</v>
      </c>
      <c r="J951" s="15" t="s">
        <v>37</v>
      </c>
      <c r="K951" s="16" t="s">
        <v>29</v>
      </c>
      <c r="L951" s="61"/>
      <c r="M951" s="15"/>
      <c r="N951" s="15" t="s">
        <v>130</v>
      </c>
      <c r="O951" s="15"/>
      <c r="P951" s="16" t="s">
        <v>88</v>
      </c>
      <c r="Q951" s="17">
        <v>10899</v>
      </c>
      <c r="R951" s="18">
        <v>45</v>
      </c>
      <c r="S951" s="19">
        <v>6893.6174999999994</v>
      </c>
      <c r="T951" s="20" t="s">
        <v>75</v>
      </c>
      <c r="U951" s="21" t="s">
        <v>230</v>
      </c>
      <c r="V951" s="22">
        <v>46</v>
      </c>
      <c r="W951" s="22">
        <v>2</v>
      </c>
      <c r="X951" s="23"/>
    </row>
    <row r="952" spans="1:24" s="1" customFormat="1" ht="26" customHeight="1" x14ac:dyDescent="0.3">
      <c r="A952" s="24" t="s">
        <v>23</v>
      </c>
      <c r="B952" s="24" t="s">
        <v>947</v>
      </c>
      <c r="C952" s="12" t="s">
        <v>948</v>
      </c>
      <c r="D952" s="58"/>
      <c r="E952" s="43" t="str">
        <f>HYPERLINK("https://www.google.ru/search?q=006KC-0002&amp;newwindow=1&amp;tbm=isch","Еще фото")</f>
        <v>Еще фото</v>
      </c>
      <c r="F952" s="14"/>
      <c r="G952" s="24" t="s">
        <v>237</v>
      </c>
      <c r="H952" s="24" t="s">
        <v>27</v>
      </c>
      <c r="I952" s="24" t="s">
        <v>237</v>
      </c>
      <c r="J952" s="15" t="s">
        <v>37</v>
      </c>
      <c r="K952" s="16" t="s">
        <v>29</v>
      </c>
      <c r="L952" s="61"/>
      <c r="M952" s="15"/>
      <c r="N952" s="15" t="s">
        <v>130</v>
      </c>
      <c r="O952" s="15"/>
      <c r="P952" s="16" t="s">
        <v>88</v>
      </c>
      <c r="Q952" s="17">
        <v>10899</v>
      </c>
      <c r="R952" s="18">
        <v>45</v>
      </c>
      <c r="S952" s="19">
        <v>6893.6174999999994</v>
      </c>
      <c r="T952" s="20" t="s">
        <v>75</v>
      </c>
      <c r="U952" s="21" t="s">
        <v>173</v>
      </c>
      <c r="V952" s="22">
        <v>46</v>
      </c>
      <c r="W952" s="22">
        <v>1</v>
      </c>
      <c r="X952" s="23"/>
    </row>
    <row r="953" spans="1:24" s="1" customFormat="1" ht="26" customHeight="1" x14ac:dyDescent="0.3">
      <c r="A953" s="24" t="s">
        <v>23</v>
      </c>
      <c r="B953" s="24" t="s">
        <v>947</v>
      </c>
      <c r="C953" s="12" t="s">
        <v>948</v>
      </c>
      <c r="D953" s="59"/>
      <c r="E953" s="43" t="str">
        <f>HYPERLINK("https://www.google.ru/search?q=006KC-0002&amp;newwindow=1&amp;tbm=isch","Еще фото")</f>
        <v>Еще фото</v>
      </c>
      <c r="F953" s="14"/>
      <c r="G953" s="24" t="s">
        <v>237</v>
      </c>
      <c r="H953" s="24" t="s">
        <v>27</v>
      </c>
      <c r="I953" s="24" t="s">
        <v>237</v>
      </c>
      <c r="J953" s="15" t="s">
        <v>37</v>
      </c>
      <c r="K953" s="16" t="s">
        <v>29</v>
      </c>
      <c r="L953" s="62"/>
      <c r="M953" s="15"/>
      <c r="N953" s="15" t="s">
        <v>130</v>
      </c>
      <c r="O953" s="15"/>
      <c r="P953" s="16" t="s">
        <v>88</v>
      </c>
      <c r="Q953" s="17">
        <v>10899</v>
      </c>
      <c r="R953" s="18">
        <v>45</v>
      </c>
      <c r="S953" s="19">
        <v>6893.6174999999994</v>
      </c>
      <c r="T953" s="20" t="s">
        <v>75</v>
      </c>
      <c r="U953" s="21" t="s">
        <v>109</v>
      </c>
      <c r="V953" s="25" t="s">
        <v>96</v>
      </c>
      <c r="W953" s="22">
        <v>3</v>
      </c>
      <c r="X953" s="23"/>
    </row>
    <row r="954" spans="1:24" s="1" customFormat="1" ht="21" customHeight="1" x14ac:dyDescent="0.3">
      <c r="A954" s="11" t="s">
        <v>23</v>
      </c>
      <c r="B954" s="11" t="s">
        <v>949</v>
      </c>
      <c r="C954" s="30" t="s">
        <v>950</v>
      </c>
      <c r="D954" s="57"/>
      <c r="E954" s="43" t="str">
        <f>HYPERLINK("https://www.google.ru/search?q=0088N-0000&amp;newwindow=1&amp;tbm=isch","Еще фото")</f>
        <v>Еще фото</v>
      </c>
      <c r="F954" s="14"/>
      <c r="G954" s="11" t="s">
        <v>237</v>
      </c>
      <c r="H954" s="11" t="s">
        <v>27</v>
      </c>
      <c r="I954" s="15" t="s">
        <v>237</v>
      </c>
      <c r="J954" s="15" t="s">
        <v>37</v>
      </c>
      <c r="K954" s="16" t="s">
        <v>57</v>
      </c>
      <c r="L954" s="60" t="s">
        <v>951</v>
      </c>
      <c r="M954" s="15"/>
      <c r="N954" s="15" t="s">
        <v>39</v>
      </c>
      <c r="O954" s="15"/>
      <c r="P954" s="16" t="s">
        <v>635</v>
      </c>
      <c r="Q954" s="17">
        <v>18799</v>
      </c>
      <c r="R954" s="18">
        <v>45</v>
      </c>
      <c r="S954" s="19">
        <v>11890.3675</v>
      </c>
      <c r="T954" s="20" t="s">
        <v>75</v>
      </c>
      <c r="U954" s="21" t="s">
        <v>53</v>
      </c>
      <c r="V954" s="22">
        <v>46</v>
      </c>
      <c r="W954" s="22">
        <v>1</v>
      </c>
      <c r="X954" s="23"/>
    </row>
    <row r="955" spans="1:24" s="1" customFormat="1" ht="21" customHeight="1" x14ac:dyDescent="0.3">
      <c r="A955" s="24" t="s">
        <v>23</v>
      </c>
      <c r="B955" s="24" t="s">
        <v>949</v>
      </c>
      <c r="C955" s="31" t="s">
        <v>950</v>
      </c>
      <c r="D955" s="58"/>
      <c r="E955" s="43" t="str">
        <f>HYPERLINK("https://www.google.ru/search?q=0088N-0000&amp;newwindow=1&amp;tbm=isch","Еще фото")</f>
        <v>Еще фото</v>
      </c>
      <c r="F955" s="14"/>
      <c r="G955" s="24" t="s">
        <v>237</v>
      </c>
      <c r="H955" s="24" t="s">
        <v>27</v>
      </c>
      <c r="I955" s="24" t="s">
        <v>237</v>
      </c>
      <c r="J955" s="15" t="s">
        <v>37</v>
      </c>
      <c r="K955" s="16" t="s">
        <v>57</v>
      </c>
      <c r="L955" s="61"/>
      <c r="M955" s="15"/>
      <c r="N955" s="15" t="s">
        <v>39</v>
      </c>
      <c r="O955" s="15"/>
      <c r="P955" s="16" t="s">
        <v>635</v>
      </c>
      <c r="Q955" s="17">
        <v>18799</v>
      </c>
      <c r="R955" s="18">
        <v>45</v>
      </c>
      <c r="S955" s="19">
        <v>11890.3675</v>
      </c>
      <c r="T955" s="20" t="s">
        <v>75</v>
      </c>
      <c r="U955" s="21" t="s">
        <v>109</v>
      </c>
      <c r="V955" s="25" t="s">
        <v>65</v>
      </c>
      <c r="W955" s="22">
        <v>4</v>
      </c>
      <c r="X955" s="23"/>
    </row>
    <row r="956" spans="1:24" s="1" customFormat="1" ht="21" customHeight="1" x14ac:dyDescent="0.3">
      <c r="A956" s="24" t="s">
        <v>23</v>
      </c>
      <c r="B956" s="24" t="s">
        <v>949</v>
      </c>
      <c r="C956" s="31" t="s">
        <v>950</v>
      </c>
      <c r="D956" s="58"/>
      <c r="E956" s="43" t="str">
        <f>HYPERLINK("https://www.google.ru/search?q=0088N-0000&amp;newwindow=1&amp;tbm=isch","Еще фото")</f>
        <v>Еще фото</v>
      </c>
      <c r="F956" s="14"/>
      <c r="G956" s="24" t="s">
        <v>237</v>
      </c>
      <c r="H956" s="24" t="s">
        <v>27</v>
      </c>
      <c r="I956" s="24" t="s">
        <v>237</v>
      </c>
      <c r="J956" s="15" t="s">
        <v>37</v>
      </c>
      <c r="K956" s="16" t="s">
        <v>57</v>
      </c>
      <c r="L956" s="61"/>
      <c r="M956" s="15"/>
      <c r="N956" s="15" t="s">
        <v>39</v>
      </c>
      <c r="O956" s="15"/>
      <c r="P956" s="16" t="s">
        <v>635</v>
      </c>
      <c r="Q956" s="17">
        <v>18799</v>
      </c>
      <c r="R956" s="18">
        <v>45</v>
      </c>
      <c r="S956" s="19">
        <v>11890.3675</v>
      </c>
      <c r="T956" s="20" t="s">
        <v>75</v>
      </c>
      <c r="U956" s="21" t="s">
        <v>165</v>
      </c>
      <c r="V956" s="22">
        <v>48</v>
      </c>
      <c r="W956" s="22">
        <v>13</v>
      </c>
      <c r="X956" s="23"/>
    </row>
    <row r="957" spans="1:24" s="1" customFormat="1" ht="21" customHeight="1" x14ac:dyDescent="0.3">
      <c r="A957" s="24" t="s">
        <v>23</v>
      </c>
      <c r="B957" s="24" t="s">
        <v>949</v>
      </c>
      <c r="C957" s="31" t="s">
        <v>950</v>
      </c>
      <c r="D957" s="58"/>
      <c r="E957" s="43" t="str">
        <f>HYPERLINK("https://www.google.ru/search?q=0088N-0000&amp;newwindow=1&amp;tbm=isch","Еще фото")</f>
        <v>Еще фото</v>
      </c>
      <c r="F957" s="14"/>
      <c r="G957" s="24" t="s">
        <v>237</v>
      </c>
      <c r="H957" s="24" t="s">
        <v>27</v>
      </c>
      <c r="I957" s="24" t="s">
        <v>237</v>
      </c>
      <c r="J957" s="15" t="s">
        <v>37</v>
      </c>
      <c r="K957" s="16" t="s">
        <v>57</v>
      </c>
      <c r="L957" s="61"/>
      <c r="M957" s="15"/>
      <c r="N957" s="15" t="s">
        <v>39</v>
      </c>
      <c r="O957" s="15"/>
      <c r="P957" s="16" t="s">
        <v>635</v>
      </c>
      <c r="Q957" s="17">
        <v>18799</v>
      </c>
      <c r="R957" s="18">
        <v>45</v>
      </c>
      <c r="S957" s="19">
        <v>11890.3675</v>
      </c>
      <c r="T957" s="20" t="s">
        <v>75</v>
      </c>
      <c r="U957" s="21" t="s">
        <v>166</v>
      </c>
      <c r="V957" s="25" t="s">
        <v>96</v>
      </c>
      <c r="W957" s="22">
        <v>6</v>
      </c>
      <c r="X957" s="23"/>
    </row>
    <row r="958" spans="1:24" s="1" customFormat="1" ht="32" customHeight="1" x14ac:dyDescent="0.3">
      <c r="A958" s="24" t="s">
        <v>23</v>
      </c>
      <c r="B958" s="24" t="s">
        <v>949</v>
      </c>
      <c r="C958" s="31" t="s">
        <v>950</v>
      </c>
      <c r="D958" s="59"/>
      <c r="E958" s="43" t="str">
        <f>HYPERLINK("https://www.google.ru/search?q=0088N-0000&amp;newwindow=1&amp;tbm=isch","Еще фото")</f>
        <v>Еще фото</v>
      </c>
      <c r="F958" s="14"/>
      <c r="G958" s="24" t="s">
        <v>237</v>
      </c>
      <c r="H958" s="24" t="s">
        <v>27</v>
      </c>
      <c r="I958" s="24" t="s">
        <v>237</v>
      </c>
      <c r="J958" s="15" t="s">
        <v>37</v>
      </c>
      <c r="K958" s="16" t="s">
        <v>57</v>
      </c>
      <c r="L958" s="62"/>
      <c r="M958" s="15"/>
      <c r="N958" s="15" t="s">
        <v>39</v>
      </c>
      <c r="O958" s="15"/>
      <c r="P958" s="16" t="s">
        <v>635</v>
      </c>
      <c r="Q958" s="17">
        <v>18799</v>
      </c>
      <c r="R958" s="18">
        <v>45</v>
      </c>
      <c r="S958" s="19">
        <v>11890.3675</v>
      </c>
      <c r="T958" s="20" t="s">
        <v>75</v>
      </c>
      <c r="U958" s="21" t="s">
        <v>167</v>
      </c>
      <c r="V958" s="22">
        <v>52</v>
      </c>
      <c r="W958" s="22">
        <v>1</v>
      </c>
      <c r="X958" s="23"/>
    </row>
    <row r="959" spans="1:24" s="1" customFormat="1" ht="14" customHeight="1" x14ac:dyDescent="0.3">
      <c r="A959" s="11" t="s">
        <v>23</v>
      </c>
      <c r="B959" s="11" t="s">
        <v>952</v>
      </c>
      <c r="C959" s="12" t="s">
        <v>953</v>
      </c>
      <c r="D959" s="57"/>
      <c r="E959" s="43" t="str">
        <f t="shared" ref="E959:E965" si="54">HYPERLINK("https://www.google.ru/search?q=008SY-0002&amp;newwindow=1&amp;tbm=isch","Еще фото")</f>
        <v>Еще фото</v>
      </c>
      <c r="F959" s="14" t="s">
        <v>182</v>
      </c>
      <c r="G959" s="11" t="s">
        <v>237</v>
      </c>
      <c r="H959" s="11" t="s">
        <v>27</v>
      </c>
      <c r="I959" s="15" t="s">
        <v>237</v>
      </c>
      <c r="J959" s="15" t="s">
        <v>37</v>
      </c>
      <c r="K959" s="16" t="s">
        <v>29</v>
      </c>
      <c r="L959" s="60" t="s">
        <v>954</v>
      </c>
      <c r="M959" s="15"/>
      <c r="N959" s="15" t="s">
        <v>130</v>
      </c>
      <c r="O959" s="15"/>
      <c r="P959" s="16" t="s">
        <v>955</v>
      </c>
      <c r="Q959" s="17">
        <v>17499</v>
      </c>
      <c r="R959" s="18">
        <v>45</v>
      </c>
      <c r="S959" s="19">
        <v>11068.1175</v>
      </c>
      <c r="T959" s="20" t="s">
        <v>75</v>
      </c>
      <c r="U959" s="21" t="s">
        <v>311</v>
      </c>
      <c r="V959" s="25" t="s">
        <v>44</v>
      </c>
      <c r="W959" s="22">
        <v>1</v>
      </c>
      <c r="X959" s="23"/>
    </row>
    <row r="960" spans="1:24" s="1" customFormat="1" ht="14" customHeight="1" x14ac:dyDescent="0.3">
      <c r="A960" s="24" t="s">
        <v>23</v>
      </c>
      <c r="B960" s="24" t="s">
        <v>952</v>
      </c>
      <c r="C960" s="12" t="s">
        <v>953</v>
      </c>
      <c r="D960" s="58"/>
      <c r="E960" s="43" t="str">
        <f t="shared" si="54"/>
        <v>Еще фото</v>
      </c>
      <c r="F960" s="14" t="s">
        <v>182</v>
      </c>
      <c r="G960" s="24" t="s">
        <v>237</v>
      </c>
      <c r="H960" s="24" t="s">
        <v>27</v>
      </c>
      <c r="I960" s="24" t="s">
        <v>237</v>
      </c>
      <c r="J960" s="15" t="s">
        <v>37</v>
      </c>
      <c r="K960" s="16" t="s">
        <v>29</v>
      </c>
      <c r="L960" s="61"/>
      <c r="M960" s="15"/>
      <c r="N960" s="15" t="s">
        <v>130</v>
      </c>
      <c r="O960" s="15"/>
      <c r="P960" s="16" t="s">
        <v>955</v>
      </c>
      <c r="Q960" s="17">
        <v>17499</v>
      </c>
      <c r="R960" s="18">
        <v>45</v>
      </c>
      <c r="S960" s="19">
        <v>11068.1175</v>
      </c>
      <c r="T960" s="20" t="s">
        <v>75</v>
      </c>
      <c r="U960" s="21" t="s">
        <v>43</v>
      </c>
      <c r="V960" s="25" t="s">
        <v>44</v>
      </c>
      <c r="W960" s="22">
        <v>1</v>
      </c>
      <c r="X960" s="23"/>
    </row>
    <row r="961" spans="1:24" s="1" customFormat="1" ht="14" customHeight="1" x14ac:dyDescent="0.3">
      <c r="A961" s="24" t="s">
        <v>23</v>
      </c>
      <c r="B961" s="24" t="s">
        <v>952</v>
      </c>
      <c r="C961" s="12" t="s">
        <v>953</v>
      </c>
      <c r="D961" s="58"/>
      <c r="E961" s="43" t="str">
        <f t="shared" si="54"/>
        <v>Еще фото</v>
      </c>
      <c r="F961" s="14" t="s">
        <v>182</v>
      </c>
      <c r="G961" s="24" t="s">
        <v>237</v>
      </c>
      <c r="H961" s="24" t="s">
        <v>27</v>
      </c>
      <c r="I961" s="24" t="s">
        <v>237</v>
      </c>
      <c r="J961" s="15" t="s">
        <v>37</v>
      </c>
      <c r="K961" s="16" t="s">
        <v>29</v>
      </c>
      <c r="L961" s="61"/>
      <c r="M961" s="15"/>
      <c r="N961" s="15" t="s">
        <v>130</v>
      </c>
      <c r="O961" s="15"/>
      <c r="P961" s="16" t="s">
        <v>955</v>
      </c>
      <c r="Q961" s="17">
        <v>17499</v>
      </c>
      <c r="R961" s="18">
        <v>45</v>
      </c>
      <c r="S961" s="19">
        <v>11068.1175</v>
      </c>
      <c r="T961" s="20" t="s">
        <v>75</v>
      </c>
      <c r="U961" s="21" t="s">
        <v>45</v>
      </c>
      <c r="V961" s="25" t="s">
        <v>44</v>
      </c>
      <c r="W961" s="22">
        <v>1</v>
      </c>
      <c r="X961" s="23"/>
    </row>
    <row r="962" spans="1:24" s="1" customFormat="1" ht="14" customHeight="1" x14ac:dyDescent="0.3">
      <c r="A962" s="24" t="s">
        <v>23</v>
      </c>
      <c r="B962" s="24" t="s">
        <v>952</v>
      </c>
      <c r="C962" s="12" t="s">
        <v>953</v>
      </c>
      <c r="D962" s="58"/>
      <c r="E962" s="43" t="str">
        <f t="shared" si="54"/>
        <v>Еще фото</v>
      </c>
      <c r="F962" s="14" t="s">
        <v>182</v>
      </c>
      <c r="G962" s="24" t="s">
        <v>237</v>
      </c>
      <c r="H962" s="24" t="s">
        <v>27</v>
      </c>
      <c r="I962" s="24" t="s">
        <v>237</v>
      </c>
      <c r="J962" s="15" t="s">
        <v>37</v>
      </c>
      <c r="K962" s="16" t="s">
        <v>29</v>
      </c>
      <c r="L962" s="61"/>
      <c r="M962" s="15"/>
      <c r="N962" s="15" t="s">
        <v>130</v>
      </c>
      <c r="O962" s="15"/>
      <c r="P962" s="16" t="s">
        <v>955</v>
      </c>
      <c r="Q962" s="17">
        <v>17499</v>
      </c>
      <c r="R962" s="18">
        <v>45</v>
      </c>
      <c r="S962" s="19">
        <v>11068.1175</v>
      </c>
      <c r="T962" s="20" t="s">
        <v>75</v>
      </c>
      <c r="U962" s="21" t="s">
        <v>158</v>
      </c>
      <c r="V962" s="22">
        <v>42</v>
      </c>
      <c r="W962" s="22">
        <v>1</v>
      </c>
      <c r="X962" s="23"/>
    </row>
    <row r="963" spans="1:24" s="1" customFormat="1" ht="14" customHeight="1" x14ac:dyDescent="0.3">
      <c r="A963" s="24" t="s">
        <v>23</v>
      </c>
      <c r="B963" s="24" t="s">
        <v>952</v>
      </c>
      <c r="C963" s="12" t="s">
        <v>953</v>
      </c>
      <c r="D963" s="58"/>
      <c r="E963" s="43" t="str">
        <f t="shared" si="54"/>
        <v>Еще фото</v>
      </c>
      <c r="F963" s="14" t="s">
        <v>182</v>
      </c>
      <c r="G963" s="24" t="s">
        <v>237</v>
      </c>
      <c r="H963" s="24" t="s">
        <v>27</v>
      </c>
      <c r="I963" s="24" t="s">
        <v>237</v>
      </c>
      <c r="J963" s="15" t="s">
        <v>37</v>
      </c>
      <c r="K963" s="16" t="s">
        <v>29</v>
      </c>
      <c r="L963" s="61"/>
      <c r="M963" s="15"/>
      <c r="N963" s="15" t="s">
        <v>130</v>
      </c>
      <c r="O963" s="15"/>
      <c r="P963" s="16" t="s">
        <v>955</v>
      </c>
      <c r="Q963" s="17">
        <v>17499</v>
      </c>
      <c r="R963" s="18">
        <v>45</v>
      </c>
      <c r="S963" s="19">
        <v>11068.1175</v>
      </c>
      <c r="T963" s="20" t="s">
        <v>75</v>
      </c>
      <c r="U963" s="21" t="s">
        <v>47</v>
      </c>
      <c r="V963" s="25" t="s">
        <v>48</v>
      </c>
      <c r="W963" s="22">
        <v>2</v>
      </c>
      <c r="X963" s="23"/>
    </row>
    <row r="964" spans="1:24" s="1" customFormat="1" ht="14" customHeight="1" x14ac:dyDescent="0.3">
      <c r="A964" s="24" t="s">
        <v>23</v>
      </c>
      <c r="B964" s="24" t="s">
        <v>952</v>
      </c>
      <c r="C964" s="12" t="s">
        <v>953</v>
      </c>
      <c r="D964" s="58"/>
      <c r="E964" s="43" t="str">
        <f t="shared" si="54"/>
        <v>Еще фото</v>
      </c>
      <c r="F964" s="14" t="s">
        <v>182</v>
      </c>
      <c r="G964" s="24" t="s">
        <v>237</v>
      </c>
      <c r="H964" s="24" t="s">
        <v>27</v>
      </c>
      <c r="I964" s="24" t="s">
        <v>237</v>
      </c>
      <c r="J964" s="15" t="s">
        <v>37</v>
      </c>
      <c r="K964" s="16" t="s">
        <v>29</v>
      </c>
      <c r="L964" s="61"/>
      <c r="M964" s="15"/>
      <c r="N964" s="15" t="s">
        <v>130</v>
      </c>
      <c r="O964" s="15"/>
      <c r="P964" s="16" t="s">
        <v>955</v>
      </c>
      <c r="Q964" s="17">
        <v>17499</v>
      </c>
      <c r="R964" s="18">
        <v>45</v>
      </c>
      <c r="S964" s="19">
        <v>11068.1175</v>
      </c>
      <c r="T964" s="20" t="s">
        <v>75</v>
      </c>
      <c r="U964" s="21" t="s">
        <v>49</v>
      </c>
      <c r="V964" s="25" t="s">
        <v>48</v>
      </c>
      <c r="W964" s="22">
        <v>1</v>
      </c>
      <c r="X964" s="23"/>
    </row>
    <row r="965" spans="1:24" s="1" customFormat="1" ht="17" customHeight="1" x14ac:dyDescent="0.3">
      <c r="A965" s="24" t="s">
        <v>23</v>
      </c>
      <c r="B965" s="24" t="s">
        <v>952</v>
      </c>
      <c r="C965" s="12" t="s">
        <v>953</v>
      </c>
      <c r="D965" s="59"/>
      <c r="E965" s="43" t="str">
        <f t="shared" si="54"/>
        <v>Еще фото</v>
      </c>
      <c r="F965" s="14" t="s">
        <v>182</v>
      </c>
      <c r="G965" s="24" t="s">
        <v>237</v>
      </c>
      <c r="H965" s="24" t="s">
        <v>27</v>
      </c>
      <c r="I965" s="24" t="s">
        <v>237</v>
      </c>
      <c r="J965" s="15" t="s">
        <v>37</v>
      </c>
      <c r="K965" s="16" t="s">
        <v>29</v>
      </c>
      <c r="L965" s="62"/>
      <c r="M965" s="15"/>
      <c r="N965" s="15" t="s">
        <v>130</v>
      </c>
      <c r="O965" s="15"/>
      <c r="P965" s="16" t="s">
        <v>955</v>
      </c>
      <c r="Q965" s="17">
        <v>17499</v>
      </c>
      <c r="R965" s="18">
        <v>45</v>
      </c>
      <c r="S965" s="19">
        <v>11068.1175</v>
      </c>
      <c r="T965" s="20" t="s">
        <v>75</v>
      </c>
      <c r="U965" s="21" t="s">
        <v>337</v>
      </c>
      <c r="V965" s="25" t="s">
        <v>48</v>
      </c>
      <c r="W965" s="22">
        <v>2</v>
      </c>
      <c r="X965" s="23"/>
    </row>
    <row r="966" spans="1:24" s="1" customFormat="1" ht="35" customHeight="1" x14ac:dyDescent="0.3">
      <c r="A966" s="11" t="s">
        <v>23</v>
      </c>
      <c r="B966" s="11" t="s">
        <v>956</v>
      </c>
      <c r="C966" s="12" t="s">
        <v>957</v>
      </c>
      <c r="D966" s="57"/>
      <c r="E966" s="43" t="str">
        <f>HYPERLINK("https://www.google.ru/search?q=008T4-0000&amp;newwindow=1&amp;tbm=isch","Еще фото")</f>
        <v>Еще фото</v>
      </c>
      <c r="F966" s="14"/>
      <c r="G966" s="11" t="s">
        <v>237</v>
      </c>
      <c r="H966" s="11" t="s">
        <v>27</v>
      </c>
      <c r="I966" s="15" t="s">
        <v>237</v>
      </c>
      <c r="J966" s="15" t="s">
        <v>37</v>
      </c>
      <c r="K966" s="16" t="s">
        <v>29</v>
      </c>
      <c r="L966" s="60" t="s">
        <v>958</v>
      </c>
      <c r="M966" s="15"/>
      <c r="N966" s="15" t="s">
        <v>39</v>
      </c>
      <c r="O966" s="15"/>
      <c r="P966" s="16" t="s">
        <v>959</v>
      </c>
      <c r="Q966" s="17">
        <v>18799</v>
      </c>
      <c r="R966" s="18">
        <v>45</v>
      </c>
      <c r="S966" s="19">
        <v>11890.3675</v>
      </c>
      <c r="T966" s="20" t="s">
        <v>75</v>
      </c>
      <c r="U966" s="21" t="s">
        <v>49</v>
      </c>
      <c r="V966" s="25" t="s">
        <v>48</v>
      </c>
      <c r="W966" s="22">
        <v>4</v>
      </c>
      <c r="X966" s="23"/>
    </row>
    <row r="967" spans="1:24" s="1" customFormat="1" ht="35" customHeight="1" x14ac:dyDescent="0.3">
      <c r="A967" s="24" t="s">
        <v>23</v>
      </c>
      <c r="B967" s="24" t="s">
        <v>956</v>
      </c>
      <c r="C967" s="12" t="s">
        <v>957</v>
      </c>
      <c r="D967" s="58"/>
      <c r="E967" s="43" t="str">
        <f>HYPERLINK("https://www.google.ru/search?q=008T4-0000&amp;newwindow=1&amp;tbm=isch","Еще фото")</f>
        <v>Еще фото</v>
      </c>
      <c r="F967" s="14"/>
      <c r="G967" s="24" t="s">
        <v>237</v>
      </c>
      <c r="H967" s="24" t="s">
        <v>27</v>
      </c>
      <c r="I967" s="24" t="s">
        <v>237</v>
      </c>
      <c r="J967" s="15" t="s">
        <v>37</v>
      </c>
      <c r="K967" s="16" t="s">
        <v>29</v>
      </c>
      <c r="L967" s="61"/>
      <c r="M967" s="15"/>
      <c r="N967" s="15" t="s">
        <v>39</v>
      </c>
      <c r="O967" s="15"/>
      <c r="P967" s="16" t="s">
        <v>959</v>
      </c>
      <c r="Q967" s="17">
        <v>18799</v>
      </c>
      <c r="R967" s="18">
        <v>45</v>
      </c>
      <c r="S967" s="19">
        <v>11890.3675</v>
      </c>
      <c r="T967" s="20" t="s">
        <v>75</v>
      </c>
      <c r="U967" s="21" t="s">
        <v>51</v>
      </c>
      <c r="V967" s="22">
        <v>44</v>
      </c>
      <c r="W967" s="22">
        <v>15</v>
      </c>
      <c r="X967" s="23"/>
    </row>
    <row r="968" spans="1:24" s="1" customFormat="1" ht="37.049999999999997" customHeight="1" x14ac:dyDescent="0.3">
      <c r="A968" s="24" t="s">
        <v>23</v>
      </c>
      <c r="B968" s="24" t="s">
        <v>956</v>
      </c>
      <c r="C968" s="12" t="s">
        <v>957</v>
      </c>
      <c r="D968" s="59"/>
      <c r="E968" s="43" t="str">
        <f>HYPERLINK("https://www.google.ru/search?q=008T4-0000&amp;newwindow=1&amp;tbm=isch","Еще фото")</f>
        <v>Еще фото</v>
      </c>
      <c r="F968" s="14"/>
      <c r="G968" s="24" t="s">
        <v>237</v>
      </c>
      <c r="H968" s="24" t="s">
        <v>27</v>
      </c>
      <c r="I968" s="24" t="s">
        <v>237</v>
      </c>
      <c r="J968" s="15" t="s">
        <v>37</v>
      </c>
      <c r="K968" s="16" t="s">
        <v>29</v>
      </c>
      <c r="L968" s="62"/>
      <c r="M968" s="15"/>
      <c r="N968" s="15" t="s">
        <v>39</v>
      </c>
      <c r="O968" s="15"/>
      <c r="P968" s="16" t="s">
        <v>959</v>
      </c>
      <c r="Q968" s="17">
        <v>18799</v>
      </c>
      <c r="R968" s="18">
        <v>45</v>
      </c>
      <c r="S968" s="19">
        <v>11890.3675</v>
      </c>
      <c r="T968" s="20" t="s">
        <v>75</v>
      </c>
      <c r="U968" s="21" t="s">
        <v>173</v>
      </c>
      <c r="V968" s="22">
        <v>46</v>
      </c>
      <c r="W968" s="22">
        <v>3</v>
      </c>
      <c r="X968" s="23"/>
    </row>
    <row r="969" spans="1:24" s="1" customFormat="1" ht="108" customHeight="1" x14ac:dyDescent="0.3">
      <c r="A969" s="11" t="s">
        <v>23</v>
      </c>
      <c r="B969" s="11" t="s">
        <v>960</v>
      </c>
      <c r="C969" s="12" t="s">
        <v>961</v>
      </c>
      <c r="D969" s="13"/>
      <c r="E969" s="43" t="str">
        <f>HYPERLINK("https://www.google.ru/search?q=04511-1042&amp;newwindow=1&amp;tbm=isch","Еще фото")</f>
        <v>Еще фото</v>
      </c>
      <c r="F969" s="14" t="s">
        <v>182</v>
      </c>
      <c r="G969" s="11" t="s">
        <v>237</v>
      </c>
      <c r="H969" s="11" t="s">
        <v>27</v>
      </c>
      <c r="I969" s="15" t="s">
        <v>237</v>
      </c>
      <c r="J969" s="15" t="s">
        <v>28</v>
      </c>
      <c r="K969" s="16" t="s">
        <v>57</v>
      </c>
      <c r="L969" s="15" t="s">
        <v>962</v>
      </c>
      <c r="M969" s="15" t="s">
        <v>72</v>
      </c>
      <c r="N969" s="15" t="s">
        <v>249</v>
      </c>
      <c r="O969" s="15" t="s">
        <v>121</v>
      </c>
      <c r="P969" s="16" t="s">
        <v>635</v>
      </c>
      <c r="Q969" s="17">
        <v>9899</v>
      </c>
      <c r="R969" s="18">
        <v>45</v>
      </c>
      <c r="S969" s="19">
        <v>6261.1174999999994</v>
      </c>
      <c r="T969" s="20" t="s">
        <v>75</v>
      </c>
      <c r="U969" s="21" t="s">
        <v>104</v>
      </c>
      <c r="V969" s="22">
        <v>48</v>
      </c>
      <c r="W969" s="22">
        <v>1</v>
      </c>
      <c r="X969" s="23"/>
    </row>
    <row r="970" spans="1:24" s="1" customFormat="1" ht="21" customHeight="1" x14ac:dyDescent="0.3">
      <c r="A970" s="11" t="s">
        <v>23</v>
      </c>
      <c r="B970" s="11" t="s">
        <v>963</v>
      </c>
      <c r="C970" s="30" t="s">
        <v>964</v>
      </c>
      <c r="D970" s="57"/>
      <c r="E970" s="43" t="str">
        <f>HYPERLINK("https://www.google.ru/search?q=04511-1163&amp;newwindow=1&amp;tbm=isch","Еще фото")</f>
        <v>Еще фото</v>
      </c>
      <c r="F970" s="34" t="s">
        <v>469</v>
      </c>
      <c r="G970" s="11" t="s">
        <v>237</v>
      </c>
      <c r="H970" s="11" t="s">
        <v>27</v>
      </c>
      <c r="I970" s="15" t="s">
        <v>237</v>
      </c>
      <c r="J970" s="15" t="s">
        <v>28</v>
      </c>
      <c r="K970" s="16" t="s">
        <v>57</v>
      </c>
      <c r="L970" s="60" t="s">
        <v>592</v>
      </c>
      <c r="M970" s="15" t="s">
        <v>72</v>
      </c>
      <c r="N970" s="15" t="s">
        <v>130</v>
      </c>
      <c r="O970" s="15" t="s">
        <v>121</v>
      </c>
      <c r="P970" s="16" t="s">
        <v>254</v>
      </c>
      <c r="Q970" s="17">
        <v>14199</v>
      </c>
      <c r="R970" s="18">
        <v>45</v>
      </c>
      <c r="S970" s="19">
        <v>8980.8674999999985</v>
      </c>
      <c r="T970" s="20" t="s">
        <v>75</v>
      </c>
      <c r="U970" s="21" t="s">
        <v>52</v>
      </c>
      <c r="V970" s="22">
        <v>46</v>
      </c>
      <c r="W970" s="22">
        <v>2</v>
      </c>
      <c r="X970" s="23"/>
    </row>
    <row r="971" spans="1:24" s="1" customFormat="1" ht="21" customHeight="1" x14ac:dyDescent="0.3">
      <c r="A971" s="24" t="s">
        <v>23</v>
      </c>
      <c r="B971" s="24" t="s">
        <v>963</v>
      </c>
      <c r="C971" s="31" t="s">
        <v>964</v>
      </c>
      <c r="D971" s="58"/>
      <c r="E971" s="43" t="str">
        <f>HYPERLINK("https://www.google.ru/search?q=04511-1163&amp;newwindow=1&amp;tbm=isch","Еще фото")</f>
        <v>Еще фото</v>
      </c>
      <c r="F971" s="34" t="s">
        <v>469</v>
      </c>
      <c r="G971" s="24" t="s">
        <v>237</v>
      </c>
      <c r="H971" s="24" t="s">
        <v>27</v>
      </c>
      <c r="I971" s="24" t="s">
        <v>237</v>
      </c>
      <c r="J971" s="15" t="s">
        <v>28</v>
      </c>
      <c r="K971" s="16" t="s">
        <v>57</v>
      </c>
      <c r="L971" s="61"/>
      <c r="M971" s="15" t="s">
        <v>72</v>
      </c>
      <c r="N971" s="15" t="s">
        <v>130</v>
      </c>
      <c r="O971" s="15" t="s">
        <v>121</v>
      </c>
      <c r="P971" s="16" t="s">
        <v>254</v>
      </c>
      <c r="Q971" s="17">
        <v>14199</v>
      </c>
      <c r="R971" s="18">
        <v>45</v>
      </c>
      <c r="S971" s="19">
        <v>8980.8674999999985</v>
      </c>
      <c r="T971" s="20" t="s">
        <v>75</v>
      </c>
      <c r="U971" s="21" t="s">
        <v>53</v>
      </c>
      <c r="V971" s="22">
        <v>46</v>
      </c>
      <c r="W971" s="22">
        <v>4</v>
      </c>
      <c r="X971" s="23"/>
    </row>
    <row r="972" spans="1:24" s="1" customFormat="1" ht="21" customHeight="1" x14ac:dyDescent="0.3">
      <c r="A972" s="24" t="s">
        <v>23</v>
      </c>
      <c r="B972" s="24" t="s">
        <v>963</v>
      </c>
      <c r="C972" s="31" t="s">
        <v>964</v>
      </c>
      <c r="D972" s="58"/>
      <c r="E972" s="43" t="str">
        <f>HYPERLINK("https://www.google.ru/search?q=04511-1163&amp;newwindow=1&amp;tbm=isch","Еще фото")</f>
        <v>Еще фото</v>
      </c>
      <c r="F972" s="34" t="s">
        <v>469</v>
      </c>
      <c r="G972" s="24" t="s">
        <v>237</v>
      </c>
      <c r="H972" s="24" t="s">
        <v>27</v>
      </c>
      <c r="I972" s="24" t="s">
        <v>237</v>
      </c>
      <c r="J972" s="15" t="s">
        <v>28</v>
      </c>
      <c r="K972" s="16" t="s">
        <v>57</v>
      </c>
      <c r="L972" s="61"/>
      <c r="M972" s="15" t="s">
        <v>72</v>
      </c>
      <c r="N972" s="15" t="s">
        <v>130</v>
      </c>
      <c r="O972" s="15" t="s">
        <v>121</v>
      </c>
      <c r="P972" s="16" t="s">
        <v>254</v>
      </c>
      <c r="Q972" s="17">
        <v>14199</v>
      </c>
      <c r="R972" s="18">
        <v>45</v>
      </c>
      <c r="S972" s="19">
        <v>8980.8674999999985</v>
      </c>
      <c r="T972" s="20" t="s">
        <v>75</v>
      </c>
      <c r="U972" s="21" t="s">
        <v>109</v>
      </c>
      <c r="V972" s="25" t="s">
        <v>65</v>
      </c>
      <c r="W972" s="22">
        <v>1</v>
      </c>
      <c r="X972" s="23"/>
    </row>
    <row r="973" spans="1:24" s="1" customFormat="1" ht="21" customHeight="1" x14ac:dyDescent="0.3">
      <c r="A973" s="24" t="s">
        <v>23</v>
      </c>
      <c r="B973" s="24" t="s">
        <v>963</v>
      </c>
      <c r="C973" s="31" t="s">
        <v>964</v>
      </c>
      <c r="D973" s="58"/>
      <c r="E973" s="43" t="str">
        <f>HYPERLINK("https://www.google.ru/search?q=04511-1163&amp;newwindow=1&amp;tbm=isch","Еще фото")</f>
        <v>Еще фото</v>
      </c>
      <c r="F973" s="34" t="s">
        <v>469</v>
      </c>
      <c r="G973" s="24" t="s">
        <v>237</v>
      </c>
      <c r="H973" s="24" t="s">
        <v>27</v>
      </c>
      <c r="I973" s="24" t="s">
        <v>237</v>
      </c>
      <c r="J973" s="15" t="s">
        <v>28</v>
      </c>
      <c r="K973" s="16" t="s">
        <v>57</v>
      </c>
      <c r="L973" s="61"/>
      <c r="M973" s="15" t="s">
        <v>72</v>
      </c>
      <c r="N973" s="15" t="s">
        <v>130</v>
      </c>
      <c r="O973" s="15" t="s">
        <v>121</v>
      </c>
      <c r="P973" s="16" t="s">
        <v>254</v>
      </c>
      <c r="Q973" s="17">
        <v>14199</v>
      </c>
      <c r="R973" s="18">
        <v>45</v>
      </c>
      <c r="S973" s="19">
        <v>8980.8674999999985</v>
      </c>
      <c r="T973" s="20" t="s">
        <v>75</v>
      </c>
      <c r="U973" s="21" t="s">
        <v>140</v>
      </c>
      <c r="V973" s="25" t="s">
        <v>65</v>
      </c>
      <c r="W973" s="22">
        <v>2</v>
      </c>
      <c r="X973" s="23"/>
    </row>
    <row r="974" spans="1:24" s="1" customFormat="1" ht="32" customHeight="1" x14ac:dyDescent="0.3">
      <c r="A974" s="24" t="s">
        <v>23</v>
      </c>
      <c r="B974" s="24" t="s">
        <v>963</v>
      </c>
      <c r="C974" s="31" t="s">
        <v>964</v>
      </c>
      <c r="D974" s="59"/>
      <c r="E974" s="43" t="str">
        <f>HYPERLINK("https://www.google.ru/search?q=04511-1163&amp;newwindow=1&amp;tbm=isch","Еще фото")</f>
        <v>Еще фото</v>
      </c>
      <c r="F974" s="34" t="s">
        <v>469</v>
      </c>
      <c r="G974" s="24" t="s">
        <v>237</v>
      </c>
      <c r="H974" s="24" t="s">
        <v>27</v>
      </c>
      <c r="I974" s="24" t="s">
        <v>237</v>
      </c>
      <c r="J974" s="15" t="s">
        <v>28</v>
      </c>
      <c r="K974" s="16" t="s">
        <v>57</v>
      </c>
      <c r="L974" s="62"/>
      <c r="M974" s="15" t="s">
        <v>72</v>
      </c>
      <c r="N974" s="15" t="s">
        <v>130</v>
      </c>
      <c r="O974" s="15" t="s">
        <v>121</v>
      </c>
      <c r="P974" s="16" t="s">
        <v>254</v>
      </c>
      <c r="Q974" s="17">
        <v>14199</v>
      </c>
      <c r="R974" s="18">
        <v>45</v>
      </c>
      <c r="S974" s="19">
        <v>8980.8674999999985</v>
      </c>
      <c r="T974" s="20" t="s">
        <v>75</v>
      </c>
      <c r="U974" s="21" t="s">
        <v>104</v>
      </c>
      <c r="V974" s="22">
        <v>48</v>
      </c>
      <c r="W974" s="22">
        <v>1</v>
      </c>
      <c r="X974" s="23"/>
    </row>
    <row r="975" spans="1:24" s="1" customFormat="1" ht="35" customHeight="1" x14ac:dyDescent="0.3">
      <c r="A975" s="11" t="s">
        <v>23</v>
      </c>
      <c r="B975" s="11" t="s">
        <v>960</v>
      </c>
      <c r="C975" s="12" t="s">
        <v>965</v>
      </c>
      <c r="D975" s="57"/>
      <c r="E975" s="43" t="str">
        <f>HYPERLINK("https://www.google.ru/search?q=04511-1390&amp;newwindow=1&amp;tbm=isch","Еще фото")</f>
        <v>Еще фото</v>
      </c>
      <c r="F975" s="14" t="s">
        <v>854</v>
      </c>
      <c r="G975" s="11" t="s">
        <v>237</v>
      </c>
      <c r="H975" s="11" t="s">
        <v>27</v>
      </c>
      <c r="I975" s="15" t="s">
        <v>237</v>
      </c>
      <c r="J975" s="15" t="s">
        <v>28</v>
      </c>
      <c r="K975" s="16" t="s">
        <v>57</v>
      </c>
      <c r="L975" s="60" t="s">
        <v>966</v>
      </c>
      <c r="M975" s="15" t="s">
        <v>72</v>
      </c>
      <c r="N975" s="15" t="s">
        <v>249</v>
      </c>
      <c r="O975" s="15" t="s">
        <v>121</v>
      </c>
      <c r="P975" s="16" t="s">
        <v>891</v>
      </c>
      <c r="Q975" s="17">
        <v>14599</v>
      </c>
      <c r="R975" s="18">
        <v>45</v>
      </c>
      <c r="S975" s="19">
        <v>9233.8674999999985</v>
      </c>
      <c r="T975" s="20" t="s">
        <v>75</v>
      </c>
      <c r="U975" s="21" t="s">
        <v>109</v>
      </c>
      <c r="V975" s="25" t="s">
        <v>65</v>
      </c>
      <c r="W975" s="22">
        <v>5</v>
      </c>
      <c r="X975" s="23"/>
    </row>
    <row r="976" spans="1:24" s="1" customFormat="1" ht="35" customHeight="1" x14ac:dyDescent="0.3">
      <c r="A976" s="24" t="s">
        <v>23</v>
      </c>
      <c r="B976" s="24" t="s">
        <v>960</v>
      </c>
      <c r="C976" s="12" t="s">
        <v>965</v>
      </c>
      <c r="D976" s="58"/>
      <c r="E976" s="43" t="str">
        <f>HYPERLINK("https://www.google.ru/search?q=04511-1390&amp;newwindow=1&amp;tbm=isch","Еще фото")</f>
        <v>Еще фото</v>
      </c>
      <c r="F976" s="14" t="s">
        <v>854</v>
      </c>
      <c r="G976" s="24" t="s">
        <v>237</v>
      </c>
      <c r="H976" s="24" t="s">
        <v>27</v>
      </c>
      <c r="I976" s="24" t="s">
        <v>237</v>
      </c>
      <c r="J976" s="15" t="s">
        <v>28</v>
      </c>
      <c r="K976" s="16" t="s">
        <v>57</v>
      </c>
      <c r="L976" s="61"/>
      <c r="M976" s="15" t="s">
        <v>72</v>
      </c>
      <c r="N976" s="15" t="s">
        <v>249</v>
      </c>
      <c r="O976" s="15" t="s">
        <v>121</v>
      </c>
      <c r="P976" s="16" t="s">
        <v>891</v>
      </c>
      <c r="Q976" s="17">
        <v>14599</v>
      </c>
      <c r="R976" s="18">
        <v>45</v>
      </c>
      <c r="S976" s="19">
        <v>9233.8674999999985</v>
      </c>
      <c r="T976" s="20" t="s">
        <v>75</v>
      </c>
      <c r="U976" s="21" t="s">
        <v>165</v>
      </c>
      <c r="V976" s="22">
        <v>48</v>
      </c>
      <c r="W976" s="22">
        <v>1</v>
      </c>
      <c r="X976" s="23"/>
    </row>
    <row r="977" spans="1:24" s="1" customFormat="1" ht="37.049999999999997" customHeight="1" x14ac:dyDescent="0.3">
      <c r="A977" s="24" t="s">
        <v>23</v>
      </c>
      <c r="B977" s="24" t="s">
        <v>960</v>
      </c>
      <c r="C977" s="12" t="s">
        <v>965</v>
      </c>
      <c r="D977" s="59"/>
      <c r="E977" s="43" t="str">
        <f>HYPERLINK("https://www.google.ru/search?q=04511-1390&amp;newwindow=1&amp;tbm=isch","Еще фото")</f>
        <v>Еще фото</v>
      </c>
      <c r="F977" s="14" t="s">
        <v>854</v>
      </c>
      <c r="G977" s="24" t="s">
        <v>237</v>
      </c>
      <c r="H977" s="24" t="s">
        <v>27</v>
      </c>
      <c r="I977" s="24" t="s">
        <v>237</v>
      </c>
      <c r="J977" s="15" t="s">
        <v>28</v>
      </c>
      <c r="K977" s="16" t="s">
        <v>57</v>
      </c>
      <c r="L977" s="62"/>
      <c r="M977" s="15" t="s">
        <v>72</v>
      </c>
      <c r="N977" s="15" t="s">
        <v>249</v>
      </c>
      <c r="O977" s="15" t="s">
        <v>121</v>
      </c>
      <c r="P977" s="16" t="s">
        <v>891</v>
      </c>
      <c r="Q977" s="17">
        <v>14599</v>
      </c>
      <c r="R977" s="18">
        <v>45</v>
      </c>
      <c r="S977" s="19">
        <v>9233.8674999999985</v>
      </c>
      <c r="T977" s="20" t="s">
        <v>75</v>
      </c>
      <c r="U977" s="21" t="s">
        <v>166</v>
      </c>
      <c r="V977" s="25" t="s">
        <v>96</v>
      </c>
      <c r="W977" s="22">
        <v>1</v>
      </c>
      <c r="X977" s="23"/>
    </row>
    <row r="978" spans="1:24" s="1" customFormat="1" ht="11" customHeight="1" x14ac:dyDescent="0.3">
      <c r="A978" s="11" t="s">
        <v>23</v>
      </c>
      <c r="B978" s="11" t="s">
        <v>967</v>
      </c>
      <c r="C978" s="12" t="s">
        <v>968</v>
      </c>
      <c r="D978" s="57"/>
      <c r="E978" s="43" t="str">
        <f t="shared" ref="E978:E993" si="55">HYPERLINK("https://www.google.ru/search?q=04511-1507&amp;newwindow=1&amp;tbm=isch","Еще фото")</f>
        <v>Еще фото</v>
      </c>
      <c r="F978" s="14" t="s">
        <v>182</v>
      </c>
      <c r="G978" s="11" t="s">
        <v>237</v>
      </c>
      <c r="H978" s="11" t="s">
        <v>27</v>
      </c>
      <c r="I978" s="15" t="s">
        <v>237</v>
      </c>
      <c r="J978" s="15" t="s">
        <v>28</v>
      </c>
      <c r="K978" s="16" t="s">
        <v>57</v>
      </c>
      <c r="L978" s="60" t="s">
        <v>391</v>
      </c>
      <c r="M978" s="15" t="s">
        <v>72</v>
      </c>
      <c r="N978" s="15" t="s">
        <v>39</v>
      </c>
      <c r="O978" s="15" t="s">
        <v>121</v>
      </c>
      <c r="P978" s="16" t="s">
        <v>891</v>
      </c>
      <c r="Q978" s="17">
        <v>15399</v>
      </c>
      <c r="R978" s="18">
        <v>45</v>
      </c>
      <c r="S978" s="19">
        <v>9739.8675000000003</v>
      </c>
      <c r="T978" s="20" t="s">
        <v>75</v>
      </c>
      <c r="U978" s="21" t="s">
        <v>173</v>
      </c>
      <c r="V978" s="25" t="s">
        <v>63</v>
      </c>
      <c r="W978" s="22">
        <v>10</v>
      </c>
      <c r="X978" s="23"/>
    </row>
    <row r="979" spans="1:24" s="1" customFormat="1" ht="11" customHeight="1" x14ac:dyDescent="0.3">
      <c r="A979" s="24" t="s">
        <v>23</v>
      </c>
      <c r="B979" s="24" t="s">
        <v>967</v>
      </c>
      <c r="C979" s="12" t="s">
        <v>968</v>
      </c>
      <c r="D979" s="58"/>
      <c r="E979" s="43" t="str">
        <f t="shared" si="55"/>
        <v>Еще фото</v>
      </c>
      <c r="F979" s="14" t="s">
        <v>182</v>
      </c>
      <c r="G979" s="24" t="s">
        <v>237</v>
      </c>
      <c r="H979" s="24" t="s">
        <v>27</v>
      </c>
      <c r="I979" s="24" t="s">
        <v>237</v>
      </c>
      <c r="J979" s="15" t="s">
        <v>28</v>
      </c>
      <c r="K979" s="16" t="s">
        <v>57</v>
      </c>
      <c r="L979" s="61"/>
      <c r="M979" s="15" t="s">
        <v>72</v>
      </c>
      <c r="N979" s="15" t="s">
        <v>39</v>
      </c>
      <c r="O979" s="15" t="s">
        <v>121</v>
      </c>
      <c r="P979" s="16" t="s">
        <v>891</v>
      </c>
      <c r="Q979" s="17">
        <v>15399</v>
      </c>
      <c r="R979" s="18">
        <v>45</v>
      </c>
      <c r="S979" s="19">
        <v>9739.8675000000003</v>
      </c>
      <c r="T979" s="20" t="s">
        <v>75</v>
      </c>
      <c r="U979" s="21" t="s">
        <v>52</v>
      </c>
      <c r="V979" s="22">
        <v>46</v>
      </c>
      <c r="W979" s="22">
        <v>3</v>
      </c>
      <c r="X979" s="23"/>
    </row>
    <row r="980" spans="1:24" s="1" customFormat="1" ht="11" customHeight="1" x14ac:dyDescent="0.3">
      <c r="A980" s="24" t="s">
        <v>23</v>
      </c>
      <c r="B980" s="24" t="s">
        <v>967</v>
      </c>
      <c r="C980" s="12" t="s">
        <v>968</v>
      </c>
      <c r="D980" s="58"/>
      <c r="E980" s="43" t="str">
        <f t="shared" si="55"/>
        <v>Еще фото</v>
      </c>
      <c r="F980" s="14" t="s">
        <v>182</v>
      </c>
      <c r="G980" s="24" t="s">
        <v>237</v>
      </c>
      <c r="H980" s="24" t="s">
        <v>27</v>
      </c>
      <c r="I980" s="24" t="s">
        <v>237</v>
      </c>
      <c r="J980" s="15" t="s">
        <v>28</v>
      </c>
      <c r="K980" s="16" t="s">
        <v>57</v>
      </c>
      <c r="L980" s="61"/>
      <c r="M980" s="15" t="s">
        <v>72</v>
      </c>
      <c r="N980" s="15" t="s">
        <v>39</v>
      </c>
      <c r="O980" s="15" t="s">
        <v>121</v>
      </c>
      <c r="P980" s="16" t="s">
        <v>891</v>
      </c>
      <c r="Q980" s="17">
        <v>15399</v>
      </c>
      <c r="R980" s="18">
        <v>45</v>
      </c>
      <c r="S980" s="19">
        <v>9739.8675000000003</v>
      </c>
      <c r="T980" s="20" t="s">
        <v>75</v>
      </c>
      <c r="U980" s="21" t="s">
        <v>53</v>
      </c>
      <c r="V980" s="22">
        <v>46</v>
      </c>
      <c r="W980" s="22">
        <v>7</v>
      </c>
      <c r="X980" s="23"/>
    </row>
    <row r="981" spans="1:24" s="1" customFormat="1" ht="11" customHeight="1" x14ac:dyDescent="0.3">
      <c r="A981" s="24" t="s">
        <v>23</v>
      </c>
      <c r="B981" s="24" t="s">
        <v>967</v>
      </c>
      <c r="C981" s="12" t="s">
        <v>968</v>
      </c>
      <c r="D981" s="58"/>
      <c r="E981" s="43" t="str">
        <f t="shared" si="55"/>
        <v>Еще фото</v>
      </c>
      <c r="F981" s="14" t="s">
        <v>182</v>
      </c>
      <c r="G981" s="24" t="s">
        <v>237</v>
      </c>
      <c r="H981" s="24" t="s">
        <v>27</v>
      </c>
      <c r="I981" s="24" t="s">
        <v>237</v>
      </c>
      <c r="J981" s="15" t="s">
        <v>28</v>
      </c>
      <c r="K981" s="16" t="s">
        <v>57</v>
      </c>
      <c r="L981" s="61"/>
      <c r="M981" s="15" t="s">
        <v>72</v>
      </c>
      <c r="N981" s="15" t="s">
        <v>39</v>
      </c>
      <c r="O981" s="15" t="s">
        <v>121</v>
      </c>
      <c r="P981" s="16" t="s">
        <v>891</v>
      </c>
      <c r="Q981" s="17">
        <v>15399</v>
      </c>
      <c r="R981" s="18">
        <v>45</v>
      </c>
      <c r="S981" s="19">
        <v>9739.8675000000003</v>
      </c>
      <c r="T981" s="20" t="s">
        <v>75</v>
      </c>
      <c r="U981" s="21" t="s">
        <v>143</v>
      </c>
      <c r="V981" s="22">
        <v>46</v>
      </c>
      <c r="W981" s="22">
        <v>3</v>
      </c>
      <c r="X981" s="23"/>
    </row>
    <row r="982" spans="1:24" s="1" customFormat="1" ht="11" customHeight="1" x14ac:dyDescent="0.3">
      <c r="A982" s="24" t="s">
        <v>23</v>
      </c>
      <c r="B982" s="24" t="s">
        <v>967</v>
      </c>
      <c r="C982" s="12" t="s">
        <v>968</v>
      </c>
      <c r="D982" s="58"/>
      <c r="E982" s="43" t="str">
        <f t="shared" si="55"/>
        <v>Еще фото</v>
      </c>
      <c r="F982" s="14" t="s">
        <v>182</v>
      </c>
      <c r="G982" s="24" t="s">
        <v>237</v>
      </c>
      <c r="H982" s="24" t="s">
        <v>27</v>
      </c>
      <c r="I982" s="24" t="s">
        <v>237</v>
      </c>
      <c r="J982" s="15" t="s">
        <v>28</v>
      </c>
      <c r="K982" s="16" t="s">
        <v>57</v>
      </c>
      <c r="L982" s="61"/>
      <c r="M982" s="15" t="s">
        <v>72</v>
      </c>
      <c r="N982" s="15" t="s">
        <v>39</v>
      </c>
      <c r="O982" s="15" t="s">
        <v>121</v>
      </c>
      <c r="P982" s="16" t="s">
        <v>891</v>
      </c>
      <c r="Q982" s="17">
        <v>15399</v>
      </c>
      <c r="R982" s="18">
        <v>45</v>
      </c>
      <c r="S982" s="19">
        <v>9739.8675000000003</v>
      </c>
      <c r="T982" s="20" t="s">
        <v>75</v>
      </c>
      <c r="U982" s="21" t="s">
        <v>188</v>
      </c>
      <c r="V982" s="25" t="s">
        <v>65</v>
      </c>
      <c r="W982" s="22">
        <v>3</v>
      </c>
      <c r="X982" s="23"/>
    </row>
    <row r="983" spans="1:24" s="1" customFormat="1" ht="11" customHeight="1" x14ac:dyDescent="0.3">
      <c r="A983" s="24" t="s">
        <v>23</v>
      </c>
      <c r="B983" s="24" t="s">
        <v>967</v>
      </c>
      <c r="C983" s="12" t="s">
        <v>968</v>
      </c>
      <c r="D983" s="58"/>
      <c r="E983" s="43" t="str">
        <f t="shared" si="55"/>
        <v>Еще фото</v>
      </c>
      <c r="F983" s="14" t="s">
        <v>182</v>
      </c>
      <c r="G983" s="24" t="s">
        <v>237</v>
      </c>
      <c r="H983" s="24" t="s">
        <v>27</v>
      </c>
      <c r="I983" s="24" t="s">
        <v>237</v>
      </c>
      <c r="J983" s="15" t="s">
        <v>28</v>
      </c>
      <c r="K983" s="16" t="s">
        <v>57</v>
      </c>
      <c r="L983" s="61"/>
      <c r="M983" s="15" t="s">
        <v>72</v>
      </c>
      <c r="N983" s="15" t="s">
        <v>39</v>
      </c>
      <c r="O983" s="15" t="s">
        <v>121</v>
      </c>
      <c r="P983" s="16" t="s">
        <v>891</v>
      </c>
      <c r="Q983" s="17">
        <v>15399</v>
      </c>
      <c r="R983" s="18">
        <v>45</v>
      </c>
      <c r="S983" s="19">
        <v>9739.8675000000003</v>
      </c>
      <c r="T983" s="20" t="s">
        <v>75</v>
      </c>
      <c r="U983" s="21" t="s">
        <v>109</v>
      </c>
      <c r="V983" s="25" t="s">
        <v>65</v>
      </c>
      <c r="W983" s="22">
        <v>16</v>
      </c>
      <c r="X983" s="23"/>
    </row>
    <row r="984" spans="1:24" s="1" customFormat="1" ht="11" customHeight="1" x14ac:dyDescent="0.3">
      <c r="A984" s="24" t="s">
        <v>23</v>
      </c>
      <c r="B984" s="24" t="s">
        <v>967</v>
      </c>
      <c r="C984" s="12" t="s">
        <v>968</v>
      </c>
      <c r="D984" s="58"/>
      <c r="E984" s="43" t="str">
        <f t="shared" si="55"/>
        <v>Еще фото</v>
      </c>
      <c r="F984" s="14" t="s">
        <v>182</v>
      </c>
      <c r="G984" s="24" t="s">
        <v>237</v>
      </c>
      <c r="H984" s="24" t="s">
        <v>27</v>
      </c>
      <c r="I984" s="24" t="s">
        <v>237</v>
      </c>
      <c r="J984" s="15" t="s">
        <v>28</v>
      </c>
      <c r="K984" s="16" t="s">
        <v>57</v>
      </c>
      <c r="L984" s="61"/>
      <c r="M984" s="15" t="s">
        <v>72</v>
      </c>
      <c r="N984" s="15" t="s">
        <v>39</v>
      </c>
      <c r="O984" s="15" t="s">
        <v>121</v>
      </c>
      <c r="P984" s="16" t="s">
        <v>891</v>
      </c>
      <c r="Q984" s="17">
        <v>15399</v>
      </c>
      <c r="R984" s="18">
        <v>45</v>
      </c>
      <c r="S984" s="19">
        <v>9739.8675000000003</v>
      </c>
      <c r="T984" s="20" t="s">
        <v>75</v>
      </c>
      <c r="U984" s="21" t="s">
        <v>140</v>
      </c>
      <c r="V984" s="25" t="s">
        <v>65</v>
      </c>
      <c r="W984" s="22">
        <v>8</v>
      </c>
      <c r="X984" s="23"/>
    </row>
    <row r="985" spans="1:24" s="1" customFormat="1" ht="11" customHeight="1" x14ac:dyDescent="0.3">
      <c r="A985" s="24" t="s">
        <v>23</v>
      </c>
      <c r="B985" s="24" t="s">
        <v>967</v>
      </c>
      <c r="C985" s="12" t="s">
        <v>968</v>
      </c>
      <c r="D985" s="58"/>
      <c r="E985" s="43" t="str">
        <f t="shared" si="55"/>
        <v>Еще фото</v>
      </c>
      <c r="F985" s="14" t="s">
        <v>182</v>
      </c>
      <c r="G985" s="24" t="s">
        <v>237</v>
      </c>
      <c r="H985" s="24" t="s">
        <v>27</v>
      </c>
      <c r="I985" s="24" t="s">
        <v>237</v>
      </c>
      <c r="J985" s="15" t="s">
        <v>28</v>
      </c>
      <c r="K985" s="16" t="s">
        <v>57</v>
      </c>
      <c r="L985" s="61"/>
      <c r="M985" s="15" t="s">
        <v>72</v>
      </c>
      <c r="N985" s="15" t="s">
        <v>39</v>
      </c>
      <c r="O985" s="15" t="s">
        <v>121</v>
      </c>
      <c r="P985" s="16" t="s">
        <v>891</v>
      </c>
      <c r="Q985" s="17">
        <v>15399</v>
      </c>
      <c r="R985" s="18">
        <v>45</v>
      </c>
      <c r="S985" s="19">
        <v>9739.8675000000003</v>
      </c>
      <c r="T985" s="20" t="s">
        <v>75</v>
      </c>
      <c r="U985" s="21" t="s">
        <v>165</v>
      </c>
      <c r="V985" s="22">
        <v>48</v>
      </c>
      <c r="W985" s="22">
        <v>28</v>
      </c>
      <c r="X985" s="23"/>
    </row>
    <row r="986" spans="1:24" s="1" customFormat="1" ht="11" customHeight="1" x14ac:dyDescent="0.3">
      <c r="A986" s="24" t="s">
        <v>23</v>
      </c>
      <c r="B986" s="24" t="s">
        <v>967</v>
      </c>
      <c r="C986" s="12" t="s">
        <v>968</v>
      </c>
      <c r="D986" s="58"/>
      <c r="E986" s="43" t="str">
        <f t="shared" si="55"/>
        <v>Еще фото</v>
      </c>
      <c r="F986" s="14" t="s">
        <v>182</v>
      </c>
      <c r="G986" s="24" t="s">
        <v>237</v>
      </c>
      <c r="H986" s="24" t="s">
        <v>27</v>
      </c>
      <c r="I986" s="24" t="s">
        <v>237</v>
      </c>
      <c r="J986" s="15" t="s">
        <v>28</v>
      </c>
      <c r="K986" s="16" t="s">
        <v>57</v>
      </c>
      <c r="L986" s="61"/>
      <c r="M986" s="15" t="s">
        <v>72</v>
      </c>
      <c r="N986" s="15" t="s">
        <v>39</v>
      </c>
      <c r="O986" s="15" t="s">
        <v>121</v>
      </c>
      <c r="P986" s="16" t="s">
        <v>891</v>
      </c>
      <c r="Q986" s="17">
        <v>15399</v>
      </c>
      <c r="R986" s="18">
        <v>45</v>
      </c>
      <c r="S986" s="19">
        <v>9739.8675000000003</v>
      </c>
      <c r="T986" s="20" t="s">
        <v>75</v>
      </c>
      <c r="U986" s="21" t="s">
        <v>104</v>
      </c>
      <c r="V986" s="22">
        <v>48</v>
      </c>
      <c r="W986" s="22">
        <v>8</v>
      </c>
      <c r="X986" s="23"/>
    </row>
    <row r="987" spans="1:24" s="1" customFormat="1" ht="11" customHeight="1" x14ac:dyDescent="0.3">
      <c r="A987" s="15" t="s">
        <v>23</v>
      </c>
      <c r="B987" s="15" t="s">
        <v>967</v>
      </c>
      <c r="C987" s="12" t="s">
        <v>968</v>
      </c>
      <c r="D987" s="58"/>
      <c r="E987" s="43" t="str">
        <f t="shared" si="55"/>
        <v>Еще фото</v>
      </c>
      <c r="F987" s="26" t="s">
        <v>182</v>
      </c>
      <c r="G987" s="15" t="s">
        <v>237</v>
      </c>
      <c r="H987" s="15" t="s">
        <v>27</v>
      </c>
      <c r="I987" s="15" t="s">
        <v>237</v>
      </c>
      <c r="J987" s="15" t="s">
        <v>28</v>
      </c>
      <c r="K987" s="15" t="s">
        <v>57</v>
      </c>
      <c r="L987" s="61"/>
      <c r="M987" s="15" t="s">
        <v>72</v>
      </c>
      <c r="N987" s="15" t="s">
        <v>39</v>
      </c>
      <c r="O987" s="15" t="s">
        <v>121</v>
      </c>
      <c r="P987" s="15" t="s">
        <v>891</v>
      </c>
      <c r="Q987" s="27">
        <v>15399</v>
      </c>
      <c r="R987" s="28">
        <v>45</v>
      </c>
      <c r="S987" s="29">
        <v>9739.8675000000003</v>
      </c>
      <c r="T987" s="20" t="s">
        <v>75</v>
      </c>
      <c r="U987" s="21" t="s">
        <v>200</v>
      </c>
      <c r="V987" s="25" t="s">
        <v>96</v>
      </c>
      <c r="W987" s="22">
        <v>3</v>
      </c>
      <c r="X987" s="23"/>
    </row>
    <row r="988" spans="1:24" s="1" customFormat="1" ht="11" customHeight="1" x14ac:dyDescent="0.3">
      <c r="A988" s="15" t="s">
        <v>23</v>
      </c>
      <c r="B988" s="15" t="s">
        <v>967</v>
      </c>
      <c r="C988" s="12" t="s">
        <v>968</v>
      </c>
      <c r="D988" s="58"/>
      <c r="E988" s="43" t="str">
        <f t="shared" si="55"/>
        <v>Еще фото</v>
      </c>
      <c r="F988" s="26" t="s">
        <v>182</v>
      </c>
      <c r="G988" s="15" t="s">
        <v>237</v>
      </c>
      <c r="H988" s="15" t="s">
        <v>27</v>
      </c>
      <c r="I988" s="15" t="s">
        <v>237</v>
      </c>
      <c r="J988" s="15" t="s">
        <v>28</v>
      </c>
      <c r="K988" s="15" t="s">
        <v>57</v>
      </c>
      <c r="L988" s="61"/>
      <c r="M988" s="15" t="s">
        <v>72</v>
      </c>
      <c r="N988" s="15" t="s">
        <v>39</v>
      </c>
      <c r="O988" s="15" t="s">
        <v>121</v>
      </c>
      <c r="P988" s="15" t="s">
        <v>891</v>
      </c>
      <c r="Q988" s="27">
        <v>15399</v>
      </c>
      <c r="R988" s="28">
        <v>45</v>
      </c>
      <c r="S988" s="29">
        <v>9739.8675000000003</v>
      </c>
      <c r="T988" s="20" t="s">
        <v>75</v>
      </c>
      <c r="U988" s="21" t="s">
        <v>166</v>
      </c>
      <c r="V988" s="25" t="s">
        <v>96</v>
      </c>
      <c r="W988" s="22">
        <v>25</v>
      </c>
      <c r="X988" s="23"/>
    </row>
    <row r="989" spans="1:24" s="1" customFormat="1" ht="11" customHeight="1" x14ac:dyDescent="0.3">
      <c r="A989" s="15" t="s">
        <v>23</v>
      </c>
      <c r="B989" s="15" t="s">
        <v>967</v>
      </c>
      <c r="C989" s="12" t="s">
        <v>968</v>
      </c>
      <c r="D989" s="58"/>
      <c r="E989" s="43" t="str">
        <f t="shared" si="55"/>
        <v>Еще фото</v>
      </c>
      <c r="F989" s="26" t="s">
        <v>182</v>
      </c>
      <c r="G989" s="15" t="s">
        <v>237</v>
      </c>
      <c r="H989" s="15" t="s">
        <v>27</v>
      </c>
      <c r="I989" s="15" t="s">
        <v>237</v>
      </c>
      <c r="J989" s="15" t="s">
        <v>28</v>
      </c>
      <c r="K989" s="15" t="s">
        <v>57</v>
      </c>
      <c r="L989" s="61"/>
      <c r="M989" s="15" t="s">
        <v>72</v>
      </c>
      <c r="N989" s="15" t="s">
        <v>39</v>
      </c>
      <c r="O989" s="15" t="s">
        <v>121</v>
      </c>
      <c r="P989" s="15" t="s">
        <v>891</v>
      </c>
      <c r="Q989" s="27">
        <v>15399</v>
      </c>
      <c r="R989" s="28">
        <v>45</v>
      </c>
      <c r="S989" s="29">
        <v>9739.8675000000003</v>
      </c>
      <c r="T989" s="20" t="s">
        <v>75</v>
      </c>
      <c r="U989" s="21" t="s">
        <v>359</v>
      </c>
      <c r="V989" s="25" t="s">
        <v>96</v>
      </c>
      <c r="W989" s="22">
        <v>6</v>
      </c>
      <c r="X989" s="23"/>
    </row>
    <row r="990" spans="1:24" s="1" customFormat="1" ht="11" customHeight="1" x14ac:dyDescent="0.3">
      <c r="A990" s="15" t="s">
        <v>23</v>
      </c>
      <c r="B990" s="15" t="s">
        <v>967</v>
      </c>
      <c r="C990" s="12" t="s">
        <v>968</v>
      </c>
      <c r="D990" s="58"/>
      <c r="E990" s="43" t="str">
        <f t="shared" si="55"/>
        <v>Еще фото</v>
      </c>
      <c r="F990" s="26" t="s">
        <v>182</v>
      </c>
      <c r="G990" s="15" t="s">
        <v>237</v>
      </c>
      <c r="H990" s="15" t="s">
        <v>27</v>
      </c>
      <c r="I990" s="15" t="s">
        <v>237</v>
      </c>
      <c r="J990" s="15" t="s">
        <v>28</v>
      </c>
      <c r="K990" s="15" t="s">
        <v>57</v>
      </c>
      <c r="L990" s="61"/>
      <c r="M990" s="15" t="s">
        <v>72</v>
      </c>
      <c r="N990" s="15" t="s">
        <v>39</v>
      </c>
      <c r="O990" s="15" t="s">
        <v>121</v>
      </c>
      <c r="P990" s="15" t="s">
        <v>891</v>
      </c>
      <c r="Q990" s="27">
        <v>15399</v>
      </c>
      <c r="R990" s="28">
        <v>45</v>
      </c>
      <c r="S990" s="29">
        <v>9739.8675000000003</v>
      </c>
      <c r="T990" s="20" t="s">
        <v>75</v>
      </c>
      <c r="U990" s="21" t="s">
        <v>203</v>
      </c>
      <c r="V990" s="22">
        <v>50</v>
      </c>
      <c r="W990" s="22">
        <v>11</v>
      </c>
      <c r="X990" s="23"/>
    </row>
    <row r="991" spans="1:24" s="1" customFormat="1" ht="11" customHeight="1" x14ac:dyDescent="0.3">
      <c r="A991" s="15" t="s">
        <v>23</v>
      </c>
      <c r="B991" s="15" t="s">
        <v>967</v>
      </c>
      <c r="C991" s="12" t="s">
        <v>968</v>
      </c>
      <c r="D991" s="58"/>
      <c r="E991" s="43" t="str">
        <f t="shared" si="55"/>
        <v>Еще фото</v>
      </c>
      <c r="F991" s="26" t="s">
        <v>182</v>
      </c>
      <c r="G991" s="15" t="s">
        <v>237</v>
      </c>
      <c r="H991" s="15" t="s">
        <v>27</v>
      </c>
      <c r="I991" s="15" t="s">
        <v>237</v>
      </c>
      <c r="J991" s="15" t="s">
        <v>28</v>
      </c>
      <c r="K991" s="15" t="s">
        <v>57</v>
      </c>
      <c r="L991" s="61"/>
      <c r="M991" s="15" t="s">
        <v>72</v>
      </c>
      <c r="N991" s="15" t="s">
        <v>39</v>
      </c>
      <c r="O991" s="15" t="s">
        <v>121</v>
      </c>
      <c r="P991" s="15" t="s">
        <v>891</v>
      </c>
      <c r="Q991" s="27">
        <v>15399</v>
      </c>
      <c r="R991" s="28">
        <v>45</v>
      </c>
      <c r="S991" s="29">
        <v>9739.8675000000003</v>
      </c>
      <c r="T991" s="20" t="s">
        <v>75</v>
      </c>
      <c r="U991" s="21" t="s">
        <v>89</v>
      </c>
      <c r="V991" s="22">
        <v>50</v>
      </c>
      <c r="W991" s="22">
        <v>17</v>
      </c>
      <c r="X991" s="23"/>
    </row>
    <row r="992" spans="1:24" s="1" customFormat="1" ht="11" customHeight="1" x14ac:dyDescent="0.3">
      <c r="A992" s="15" t="s">
        <v>23</v>
      </c>
      <c r="B992" s="15" t="s">
        <v>967</v>
      </c>
      <c r="C992" s="12" t="s">
        <v>968</v>
      </c>
      <c r="D992" s="58"/>
      <c r="E992" s="43" t="str">
        <f t="shared" si="55"/>
        <v>Еще фото</v>
      </c>
      <c r="F992" s="26" t="s">
        <v>182</v>
      </c>
      <c r="G992" s="15" t="s">
        <v>237</v>
      </c>
      <c r="H992" s="15" t="s">
        <v>27</v>
      </c>
      <c r="I992" s="15" t="s">
        <v>237</v>
      </c>
      <c r="J992" s="15" t="s">
        <v>28</v>
      </c>
      <c r="K992" s="15" t="s">
        <v>57</v>
      </c>
      <c r="L992" s="61"/>
      <c r="M992" s="15" t="s">
        <v>72</v>
      </c>
      <c r="N992" s="15" t="s">
        <v>39</v>
      </c>
      <c r="O992" s="15" t="s">
        <v>121</v>
      </c>
      <c r="P992" s="15" t="s">
        <v>891</v>
      </c>
      <c r="Q992" s="27">
        <v>15399</v>
      </c>
      <c r="R992" s="28">
        <v>45</v>
      </c>
      <c r="S992" s="29">
        <v>9739.8675000000003</v>
      </c>
      <c r="T992" s="20" t="s">
        <v>75</v>
      </c>
      <c r="U992" s="21" t="s">
        <v>167</v>
      </c>
      <c r="V992" s="22">
        <v>52</v>
      </c>
      <c r="W992" s="22">
        <v>12</v>
      </c>
      <c r="X992" s="23"/>
    </row>
    <row r="993" spans="1:24" s="1" customFormat="1" ht="11" customHeight="1" x14ac:dyDescent="0.3">
      <c r="A993" s="15" t="s">
        <v>23</v>
      </c>
      <c r="B993" s="15" t="s">
        <v>967</v>
      </c>
      <c r="C993" s="12" t="s">
        <v>968</v>
      </c>
      <c r="D993" s="59"/>
      <c r="E993" s="43" t="str">
        <f t="shared" si="55"/>
        <v>Еще фото</v>
      </c>
      <c r="F993" s="26" t="s">
        <v>182</v>
      </c>
      <c r="G993" s="15" t="s">
        <v>237</v>
      </c>
      <c r="H993" s="15" t="s">
        <v>27</v>
      </c>
      <c r="I993" s="15" t="s">
        <v>237</v>
      </c>
      <c r="J993" s="15" t="s">
        <v>28</v>
      </c>
      <c r="K993" s="15" t="s">
        <v>57</v>
      </c>
      <c r="L993" s="62"/>
      <c r="M993" s="15" t="s">
        <v>72</v>
      </c>
      <c r="N993" s="15" t="s">
        <v>39</v>
      </c>
      <c r="O993" s="15" t="s">
        <v>121</v>
      </c>
      <c r="P993" s="15" t="s">
        <v>891</v>
      </c>
      <c r="Q993" s="27">
        <v>15399</v>
      </c>
      <c r="R993" s="28">
        <v>45</v>
      </c>
      <c r="S993" s="29">
        <v>9739.8675000000003</v>
      </c>
      <c r="T993" s="20" t="s">
        <v>75</v>
      </c>
      <c r="U993" s="21" t="s">
        <v>169</v>
      </c>
      <c r="V993" s="22">
        <v>54</v>
      </c>
      <c r="W993" s="22">
        <v>2</v>
      </c>
      <c r="X993" s="23"/>
    </row>
    <row r="994" spans="1:24" s="1" customFormat="1" ht="11" customHeight="1" x14ac:dyDescent="0.3">
      <c r="A994" s="11" t="s">
        <v>23</v>
      </c>
      <c r="B994" s="11" t="s">
        <v>969</v>
      </c>
      <c r="C994" s="12" t="s">
        <v>970</v>
      </c>
      <c r="D994" s="57"/>
      <c r="E994" s="43" t="str">
        <f t="shared" ref="E994:E1002" si="56">HYPERLINK("https://www.google.ru/search?q=04511-1786&amp;newwindow=1&amp;tbm=isch","Еще фото")</f>
        <v>Еще фото</v>
      </c>
      <c r="F994" s="34" t="s">
        <v>854</v>
      </c>
      <c r="G994" s="11" t="s">
        <v>237</v>
      </c>
      <c r="H994" s="11" t="s">
        <v>27</v>
      </c>
      <c r="I994" s="15" t="s">
        <v>237</v>
      </c>
      <c r="J994" s="15" t="s">
        <v>28</v>
      </c>
      <c r="K994" s="16" t="s">
        <v>57</v>
      </c>
      <c r="L994" s="60" t="s">
        <v>971</v>
      </c>
      <c r="M994" s="15" t="s">
        <v>72</v>
      </c>
      <c r="N994" s="15" t="s">
        <v>130</v>
      </c>
      <c r="O994" s="15" t="s">
        <v>121</v>
      </c>
      <c r="P994" s="16" t="s">
        <v>187</v>
      </c>
      <c r="Q994" s="17">
        <v>16999</v>
      </c>
      <c r="R994" s="18">
        <v>45</v>
      </c>
      <c r="S994" s="19">
        <v>10751.8675</v>
      </c>
      <c r="T994" s="20" t="s">
        <v>75</v>
      </c>
      <c r="U994" s="21" t="s">
        <v>173</v>
      </c>
      <c r="V994" s="25" t="s">
        <v>63</v>
      </c>
      <c r="W994" s="22">
        <v>12</v>
      </c>
      <c r="X994" s="23"/>
    </row>
    <row r="995" spans="1:24" s="1" customFormat="1" ht="11" customHeight="1" x14ac:dyDescent="0.3">
      <c r="A995" s="24" t="s">
        <v>23</v>
      </c>
      <c r="B995" s="24" t="s">
        <v>969</v>
      </c>
      <c r="C995" s="12" t="s">
        <v>970</v>
      </c>
      <c r="D995" s="58"/>
      <c r="E995" s="43" t="str">
        <f t="shared" si="56"/>
        <v>Еще фото</v>
      </c>
      <c r="F995" s="34" t="s">
        <v>854</v>
      </c>
      <c r="G995" s="24" t="s">
        <v>237</v>
      </c>
      <c r="H995" s="24" t="s">
        <v>27</v>
      </c>
      <c r="I995" s="24" t="s">
        <v>237</v>
      </c>
      <c r="J995" s="15" t="s">
        <v>28</v>
      </c>
      <c r="K995" s="16" t="s">
        <v>57</v>
      </c>
      <c r="L995" s="61"/>
      <c r="M995" s="15" t="s">
        <v>72</v>
      </c>
      <c r="N995" s="15" t="s">
        <v>130</v>
      </c>
      <c r="O995" s="15" t="s">
        <v>121</v>
      </c>
      <c r="P995" s="16" t="s">
        <v>187</v>
      </c>
      <c r="Q995" s="17">
        <v>16999</v>
      </c>
      <c r="R995" s="18">
        <v>45</v>
      </c>
      <c r="S995" s="19">
        <v>10751.8675</v>
      </c>
      <c r="T995" s="20" t="s">
        <v>75</v>
      </c>
      <c r="U995" s="21" t="s">
        <v>53</v>
      </c>
      <c r="V995" s="22">
        <v>46</v>
      </c>
      <c r="W995" s="22">
        <v>10</v>
      </c>
      <c r="X995" s="23"/>
    </row>
    <row r="996" spans="1:24" s="1" customFormat="1" ht="11" customHeight="1" x14ac:dyDescent="0.3">
      <c r="A996" s="24" t="s">
        <v>23</v>
      </c>
      <c r="B996" s="24" t="s">
        <v>969</v>
      </c>
      <c r="C996" s="12" t="s">
        <v>970</v>
      </c>
      <c r="D996" s="58"/>
      <c r="E996" s="43" t="str">
        <f t="shared" si="56"/>
        <v>Еще фото</v>
      </c>
      <c r="F996" s="34" t="s">
        <v>854</v>
      </c>
      <c r="G996" s="24" t="s">
        <v>237</v>
      </c>
      <c r="H996" s="24" t="s">
        <v>27</v>
      </c>
      <c r="I996" s="24" t="s">
        <v>237</v>
      </c>
      <c r="J996" s="15" t="s">
        <v>28</v>
      </c>
      <c r="K996" s="16" t="s">
        <v>57</v>
      </c>
      <c r="L996" s="61"/>
      <c r="M996" s="15" t="s">
        <v>72</v>
      </c>
      <c r="N996" s="15" t="s">
        <v>130</v>
      </c>
      <c r="O996" s="15" t="s">
        <v>121</v>
      </c>
      <c r="P996" s="16" t="s">
        <v>187</v>
      </c>
      <c r="Q996" s="17">
        <v>16999</v>
      </c>
      <c r="R996" s="18">
        <v>45</v>
      </c>
      <c r="S996" s="19">
        <v>10751.8675</v>
      </c>
      <c r="T996" s="20" t="s">
        <v>75</v>
      </c>
      <c r="U996" s="21" t="s">
        <v>143</v>
      </c>
      <c r="V996" s="22">
        <v>46</v>
      </c>
      <c r="W996" s="22">
        <v>2</v>
      </c>
      <c r="X996" s="23"/>
    </row>
    <row r="997" spans="1:24" s="1" customFormat="1" ht="11" customHeight="1" x14ac:dyDescent="0.3">
      <c r="A997" s="24" t="s">
        <v>23</v>
      </c>
      <c r="B997" s="24" t="s">
        <v>969</v>
      </c>
      <c r="C997" s="12" t="s">
        <v>970</v>
      </c>
      <c r="D997" s="58"/>
      <c r="E997" s="43" t="str">
        <f t="shared" si="56"/>
        <v>Еще фото</v>
      </c>
      <c r="F997" s="34" t="s">
        <v>854</v>
      </c>
      <c r="G997" s="24" t="s">
        <v>237</v>
      </c>
      <c r="H997" s="24" t="s">
        <v>27</v>
      </c>
      <c r="I997" s="24" t="s">
        <v>237</v>
      </c>
      <c r="J997" s="15" t="s">
        <v>28</v>
      </c>
      <c r="K997" s="16" t="s">
        <v>57</v>
      </c>
      <c r="L997" s="61"/>
      <c r="M997" s="15" t="s">
        <v>72</v>
      </c>
      <c r="N997" s="15" t="s">
        <v>130</v>
      </c>
      <c r="O997" s="15" t="s">
        <v>121</v>
      </c>
      <c r="P997" s="16" t="s">
        <v>187</v>
      </c>
      <c r="Q997" s="17">
        <v>16999</v>
      </c>
      <c r="R997" s="18">
        <v>45</v>
      </c>
      <c r="S997" s="19">
        <v>10751.8675</v>
      </c>
      <c r="T997" s="20" t="s">
        <v>75</v>
      </c>
      <c r="U997" s="21" t="s">
        <v>109</v>
      </c>
      <c r="V997" s="25" t="s">
        <v>65</v>
      </c>
      <c r="W997" s="22">
        <v>13</v>
      </c>
      <c r="X997" s="23"/>
    </row>
    <row r="998" spans="1:24" s="1" customFormat="1" ht="11" customHeight="1" x14ac:dyDescent="0.3">
      <c r="A998" s="24" t="s">
        <v>23</v>
      </c>
      <c r="B998" s="24" t="s">
        <v>969</v>
      </c>
      <c r="C998" s="12" t="s">
        <v>970</v>
      </c>
      <c r="D998" s="58"/>
      <c r="E998" s="43" t="str">
        <f t="shared" si="56"/>
        <v>Еще фото</v>
      </c>
      <c r="F998" s="34" t="s">
        <v>854</v>
      </c>
      <c r="G998" s="24" t="s">
        <v>237</v>
      </c>
      <c r="H998" s="24" t="s">
        <v>27</v>
      </c>
      <c r="I998" s="24" t="s">
        <v>237</v>
      </c>
      <c r="J998" s="15" t="s">
        <v>28</v>
      </c>
      <c r="K998" s="16" t="s">
        <v>57</v>
      </c>
      <c r="L998" s="61"/>
      <c r="M998" s="15" t="s">
        <v>72</v>
      </c>
      <c r="N998" s="15" t="s">
        <v>130</v>
      </c>
      <c r="O998" s="15" t="s">
        <v>121</v>
      </c>
      <c r="P998" s="16" t="s">
        <v>187</v>
      </c>
      <c r="Q998" s="17">
        <v>16999</v>
      </c>
      <c r="R998" s="18">
        <v>45</v>
      </c>
      <c r="S998" s="19">
        <v>10751.8675</v>
      </c>
      <c r="T998" s="20" t="s">
        <v>75</v>
      </c>
      <c r="U998" s="21" t="s">
        <v>140</v>
      </c>
      <c r="V998" s="25" t="s">
        <v>65</v>
      </c>
      <c r="W998" s="22">
        <v>3</v>
      </c>
      <c r="X998" s="23"/>
    </row>
    <row r="999" spans="1:24" s="1" customFormat="1" ht="11" customHeight="1" x14ac:dyDescent="0.3">
      <c r="A999" s="24" t="s">
        <v>23</v>
      </c>
      <c r="B999" s="24" t="s">
        <v>969</v>
      </c>
      <c r="C999" s="12" t="s">
        <v>970</v>
      </c>
      <c r="D999" s="58"/>
      <c r="E999" s="43" t="str">
        <f t="shared" si="56"/>
        <v>Еще фото</v>
      </c>
      <c r="F999" s="34" t="s">
        <v>854</v>
      </c>
      <c r="G999" s="24" t="s">
        <v>237</v>
      </c>
      <c r="H999" s="24" t="s">
        <v>27</v>
      </c>
      <c r="I999" s="24" t="s">
        <v>237</v>
      </c>
      <c r="J999" s="15" t="s">
        <v>28</v>
      </c>
      <c r="K999" s="16" t="s">
        <v>57</v>
      </c>
      <c r="L999" s="61"/>
      <c r="M999" s="15" t="s">
        <v>72</v>
      </c>
      <c r="N999" s="15" t="s">
        <v>130</v>
      </c>
      <c r="O999" s="15" t="s">
        <v>121</v>
      </c>
      <c r="P999" s="16" t="s">
        <v>187</v>
      </c>
      <c r="Q999" s="17">
        <v>16999</v>
      </c>
      <c r="R999" s="18">
        <v>45</v>
      </c>
      <c r="S999" s="19">
        <v>10751.8675</v>
      </c>
      <c r="T999" s="20" t="s">
        <v>75</v>
      </c>
      <c r="U999" s="21" t="s">
        <v>165</v>
      </c>
      <c r="V999" s="22">
        <v>48</v>
      </c>
      <c r="W999" s="22">
        <v>17</v>
      </c>
      <c r="X999" s="23"/>
    </row>
    <row r="1000" spans="1:24" s="1" customFormat="1" ht="11" customHeight="1" x14ac:dyDescent="0.3">
      <c r="A1000" s="24" t="s">
        <v>23</v>
      </c>
      <c r="B1000" s="24" t="s">
        <v>969</v>
      </c>
      <c r="C1000" s="12" t="s">
        <v>970</v>
      </c>
      <c r="D1000" s="58"/>
      <c r="E1000" s="43" t="str">
        <f t="shared" si="56"/>
        <v>Еще фото</v>
      </c>
      <c r="F1000" s="34" t="s">
        <v>854</v>
      </c>
      <c r="G1000" s="24" t="s">
        <v>237</v>
      </c>
      <c r="H1000" s="24" t="s">
        <v>27</v>
      </c>
      <c r="I1000" s="24" t="s">
        <v>237</v>
      </c>
      <c r="J1000" s="15" t="s">
        <v>28</v>
      </c>
      <c r="K1000" s="16" t="s">
        <v>57</v>
      </c>
      <c r="L1000" s="61"/>
      <c r="M1000" s="15" t="s">
        <v>72</v>
      </c>
      <c r="N1000" s="15" t="s">
        <v>130</v>
      </c>
      <c r="O1000" s="15" t="s">
        <v>121</v>
      </c>
      <c r="P1000" s="16" t="s">
        <v>187</v>
      </c>
      <c r="Q1000" s="17">
        <v>16999</v>
      </c>
      <c r="R1000" s="18">
        <v>45</v>
      </c>
      <c r="S1000" s="19">
        <v>10751.8675</v>
      </c>
      <c r="T1000" s="20" t="s">
        <v>75</v>
      </c>
      <c r="U1000" s="21" t="s">
        <v>89</v>
      </c>
      <c r="V1000" s="22">
        <v>50</v>
      </c>
      <c r="W1000" s="22">
        <v>18</v>
      </c>
      <c r="X1000" s="23"/>
    </row>
    <row r="1001" spans="1:24" s="1" customFormat="1" ht="11" customHeight="1" x14ac:dyDescent="0.3">
      <c r="A1001" s="24" t="s">
        <v>23</v>
      </c>
      <c r="B1001" s="24" t="s">
        <v>969</v>
      </c>
      <c r="C1001" s="12" t="s">
        <v>970</v>
      </c>
      <c r="D1001" s="58"/>
      <c r="E1001" s="43" t="str">
        <f t="shared" si="56"/>
        <v>Еще фото</v>
      </c>
      <c r="F1001" s="34" t="s">
        <v>854</v>
      </c>
      <c r="G1001" s="24" t="s">
        <v>237</v>
      </c>
      <c r="H1001" s="24" t="s">
        <v>27</v>
      </c>
      <c r="I1001" s="24" t="s">
        <v>237</v>
      </c>
      <c r="J1001" s="15" t="s">
        <v>28</v>
      </c>
      <c r="K1001" s="16" t="s">
        <v>57</v>
      </c>
      <c r="L1001" s="61"/>
      <c r="M1001" s="15" t="s">
        <v>72</v>
      </c>
      <c r="N1001" s="15" t="s">
        <v>130</v>
      </c>
      <c r="O1001" s="15" t="s">
        <v>121</v>
      </c>
      <c r="P1001" s="16" t="s">
        <v>187</v>
      </c>
      <c r="Q1001" s="17">
        <v>16999</v>
      </c>
      <c r="R1001" s="18">
        <v>45</v>
      </c>
      <c r="S1001" s="19">
        <v>10751.8675</v>
      </c>
      <c r="T1001" s="20" t="s">
        <v>75</v>
      </c>
      <c r="U1001" s="21" t="s">
        <v>167</v>
      </c>
      <c r="V1001" s="22">
        <v>52</v>
      </c>
      <c r="W1001" s="22">
        <v>5</v>
      </c>
      <c r="X1001" s="23"/>
    </row>
    <row r="1002" spans="1:24" s="1" customFormat="1" ht="11" customHeight="1" x14ac:dyDescent="0.3">
      <c r="A1002" s="24" t="s">
        <v>23</v>
      </c>
      <c r="B1002" s="24" t="s">
        <v>969</v>
      </c>
      <c r="C1002" s="12" t="s">
        <v>970</v>
      </c>
      <c r="D1002" s="59"/>
      <c r="E1002" s="43" t="str">
        <f t="shared" si="56"/>
        <v>Еще фото</v>
      </c>
      <c r="F1002" s="34" t="s">
        <v>854</v>
      </c>
      <c r="G1002" s="24" t="s">
        <v>237</v>
      </c>
      <c r="H1002" s="24" t="s">
        <v>27</v>
      </c>
      <c r="I1002" s="24" t="s">
        <v>237</v>
      </c>
      <c r="J1002" s="15" t="s">
        <v>28</v>
      </c>
      <c r="K1002" s="16" t="s">
        <v>57</v>
      </c>
      <c r="L1002" s="62"/>
      <c r="M1002" s="15" t="s">
        <v>72</v>
      </c>
      <c r="N1002" s="15" t="s">
        <v>130</v>
      </c>
      <c r="O1002" s="15" t="s">
        <v>121</v>
      </c>
      <c r="P1002" s="16" t="s">
        <v>187</v>
      </c>
      <c r="Q1002" s="17">
        <v>16999</v>
      </c>
      <c r="R1002" s="18">
        <v>45</v>
      </c>
      <c r="S1002" s="19">
        <v>10751.8675</v>
      </c>
      <c r="T1002" s="20" t="s">
        <v>75</v>
      </c>
      <c r="U1002" s="21" t="s">
        <v>169</v>
      </c>
      <c r="V1002" s="22">
        <v>54</v>
      </c>
      <c r="W1002" s="22">
        <v>1</v>
      </c>
      <c r="X1002" s="23"/>
    </row>
    <row r="1003" spans="1:24" s="1" customFormat="1" ht="17" customHeight="1" x14ac:dyDescent="0.3">
      <c r="A1003" s="11" t="s">
        <v>23</v>
      </c>
      <c r="B1003" s="11" t="s">
        <v>972</v>
      </c>
      <c r="C1003" s="12" t="s">
        <v>973</v>
      </c>
      <c r="D1003" s="57"/>
      <c r="E1003" s="43" t="str">
        <f t="shared" ref="E1003:E1008" si="57">HYPERLINK("https://www.google.ru/search?q=04511-1907&amp;newwindow=1&amp;tbm=isch","Еще фото")</f>
        <v>Еще фото</v>
      </c>
      <c r="F1003" s="14" t="s">
        <v>854</v>
      </c>
      <c r="G1003" s="11" t="s">
        <v>237</v>
      </c>
      <c r="H1003" s="11" t="s">
        <v>27</v>
      </c>
      <c r="I1003" s="15" t="s">
        <v>237</v>
      </c>
      <c r="J1003" s="15" t="s">
        <v>37</v>
      </c>
      <c r="K1003" s="16" t="s">
        <v>57</v>
      </c>
      <c r="L1003" s="60" t="s">
        <v>439</v>
      </c>
      <c r="M1003" s="15"/>
      <c r="N1003" s="15" t="s">
        <v>39</v>
      </c>
      <c r="O1003" s="15"/>
      <c r="P1003" s="16" t="s">
        <v>254</v>
      </c>
      <c r="Q1003" s="17">
        <v>19199</v>
      </c>
      <c r="R1003" s="18">
        <v>45</v>
      </c>
      <c r="S1003" s="19">
        <v>12143.3675</v>
      </c>
      <c r="T1003" s="20" t="s">
        <v>75</v>
      </c>
      <c r="U1003" s="21" t="s">
        <v>53</v>
      </c>
      <c r="V1003" s="22">
        <v>46</v>
      </c>
      <c r="W1003" s="22">
        <v>4</v>
      </c>
      <c r="X1003" s="23"/>
    </row>
    <row r="1004" spans="1:24" s="1" customFormat="1" ht="17" customHeight="1" x14ac:dyDescent="0.3">
      <c r="A1004" s="24" t="s">
        <v>23</v>
      </c>
      <c r="B1004" s="24" t="s">
        <v>972</v>
      </c>
      <c r="C1004" s="12" t="s">
        <v>973</v>
      </c>
      <c r="D1004" s="58"/>
      <c r="E1004" s="43" t="str">
        <f t="shared" si="57"/>
        <v>Еще фото</v>
      </c>
      <c r="F1004" s="14" t="s">
        <v>854</v>
      </c>
      <c r="G1004" s="24" t="s">
        <v>237</v>
      </c>
      <c r="H1004" s="24" t="s">
        <v>27</v>
      </c>
      <c r="I1004" s="24" t="s">
        <v>237</v>
      </c>
      <c r="J1004" s="15" t="s">
        <v>37</v>
      </c>
      <c r="K1004" s="16" t="s">
        <v>57</v>
      </c>
      <c r="L1004" s="61"/>
      <c r="M1004" s="15"/>
      <c r="N1004" s="15" t="s">
        <v>39</v>
      </c>
      <c r="O1004" s="15"/>
      <c r="P1004" s="16" t="s">
        <v>254</v>
      </c>
      <c r="Q1004" s="17">
        <v>19199</v>
      </c>
      <c r="R1004" s="18">
        <v>45</v>
      </c>
      <c r="S1004" s="19">
        <v>12143.3675</v>
      </c>
      <c r="T1004" s="20" t="s">
        <v>75</v>
      </c>
      <c r="U1004" s="21" t="s">
        <v>109</v>
      </c>
      <c r="V1004" s="25" t="s">
        <v>65</v>
      </c>
      <c r="W1004" s="22">
        <v>3</v>
      </c>
      <c r="X1004" s="23"/>
    </row>
    <row r="1005" spans="1:24" s="1" customFormat="1" ht="17" customHeight="1" x14ac:dyDescent="0.3">
      <c r="A1005" s="24" t="s">
        <v>23</v>
      </c>
      <c r="B1005" s="24" t="s">
        <v>972</v>
      </c>
      <c r="C1005" s="12" t="s">
        <v>973</v>
      </c>
      <c r="D1005" s="58"/>
      <c r="E1005" s="43" t="str">
        <f t="shared" si="57"/>
        <v>Еще фото</v>
      </c>
      <c r="F1005" s="14" t="s">
        <v>854</v>
      </c>
      <c r="G1005" s="24" t="s">
        <v>237</v>
      </c>
      <c r="H1005" s="24" t="s">
        <v>27</v>
      </c>
      <c r="I1005" s="24" t="s">
        <v>237</v>
      </c>
      <c r="J1005" s="15" t="s">
        <v>37</v>
      </c>
      <c r="K1005" s="16" t="s">
        <v>57</v>
      </c>
      <c r="L1005" s="61"/>
      <c r="M1005" s="15"/>
      <c r="N1005" s="15" t="s">
        <v>39</v>
      </c>
      <c r="O1005" s="15"/>
      <c r="P1005" s="16" t="s">
        <v>254</v>
      </c>
      <c r="Q1005" s="17">
        <v>19199</v>
      </c>
      <c r="R1005" s="18">
        <v>45</v>
      </c>
      <c r="S1005" s="19">
        <v>12143.3675</v>
      </c>
      <c r="T1005" s="20" t="s">
        <v>75</v>
      </c>
      <c r="U1005" s="21" t="s">
        <v>95</v>
      </c>
      <c r="V1005" s="22">
        <v>48</v>
      </c>
      <c r="W1005" s="22">
        <v>8</v>
      </c>
      <c r="X1005" s="23"/>
    </row>
    <row r="1006" spans="1:24" s="1" customFormat="1" ht="17" customHeight="1" x14ac:dyDescent="0.3">
      <c r="A1006" s="24" t="s">
        <v>23</v>
      </c>
      <c r="B1006" s="24" t="s">
        <v>972</v>
      </c>
      <c r="C1006" s="12" t="s">
        <v>973</v>
      </c>
      <c r="D1006" s="58"/>
      <c r="E1006" s="43" t="str">
        <f t="shared" si="57"/>
        <v>Еще фото</v>
      </c>
      <c r="F1006" s="14" t="s">
        <v>854</v>
      </c>
      <c r="G1006" s="24" t="s">
        <v>237</v>
      </c>
      <c r="H1006" s="24" t="s">
        <v>27</v>
      </c>
      <c r="I1006" s="24" t="s">
        <v>237</v>
      </c>
      <c r="J1006" s="15" t="s">
        <v>37</v>
      </c>
      <c r="K1006" s="16" t="s">
        <v>57</v>
      </c>
      <c r="L1006" s="61"/>
      <c r="M1006" s="15"/>
      <c r="N1006" s="15" t="s">
        <v>39</v>
      </c>
      <c r="O1006" s="15"/>
      <c r="P1006" s="16" t="s">
        <v>254</v>
      </c>
      <c r="Q1006" s="17">
        <v>19199</v>
      </c>
      <c r="R1006" s="18">
        <v>45</v>
      </c>
      <c r="S1006" s="19">
        <v>12143.3675</v>
      </c>
      <c r="T1006" s="20" t="s">
        <v>75</v>
      </c>
      <c r="U1006" s="21" t="s">
        <v>165</v>
      </c>
      <c r="V1006" s="22">
        <v>48</v>
      </c>
      <c r="W1006" s="22">
        <v>26</v>
      </c>
      <c r="X1006" s="23"/>
    </row>
    <row r="1007" spans="1:24" s="1" customFormat="1" ht="17" customHeight="1" x14ac:dyDescent="0.3">
      <c r="A1007" s="24" t="s">
        <v>23</v>
      </c>
      <c r="B1007" s="24" t="s">
        <v>972</v>
      </c>
      <c r="C1007" s="12" t="s">
        <v>973</v>
      </c>
      <c r="D1007" s="58"/>
      <c r="E1007" s="43" t="str">
        <f t="shared" si="57"/>
        <v>Еще фото</v>
      </c>
      <c r="F1007" s="14" t="s">
        <v>854</v>
      </c>
      <c r="G1007" s="24" t="s">
        <v>237</v>
      </c>
      <c r="H1007" s="24" t="s">
        <v>27</v>
      </c>
      <c r="I1007" s="24" t="s">
        <v>237</v>
      </c>
      <c r="J1007" s="15" t="s">
        <v>37</v>
      </c>
      <c r="K1007" s="16" t="s">
        <v>57</v>
      </c>
      <c r="L1007" s="61"/>
      <c r="M1007" s="15"/>
      <c r="N1007" s="15" t="s">
        <v>39</v>
      </c>
      <c r="O1007" s="15"/>
      <c r="P1007" s="16" t="s">
        <v>254</v>
      </c>
      <c r="Q1007" s="17">
        <v>19199</v>
      </c>
      <c r="R1007" s="18">
        <v>45</v>
      </c>
      <c r="S1007" s="19">
        <v>12143.3675</v>
      </c>
      <c r="T1007" s="20" t="s">
        <v>75</v>
      </c>
      <c r="U1007" s="21" t="s">
        <v>166</v>
      </c>
      <c r="V1007" s="25" t="s">
        <v>96</v>
      </c>
      <c r="W1007" s="22">
        <v>1</v>
      </c>
      <c r="X1007" s="23"/>
    </row>
    <row r="1008" spans="1:24" s="1" customFormat="1" ht="22.05" customHeight="1" x14ac:dyDescent="0.3">
      <c r="A1008" s="24" t="s">
        <v>23</v>
      </c>
      <c r="B1008" s="24" t="s">
        <v>972</v>
      </c>
      <c r="C1008" s="12" t="s">
        <v>973</v>
      </c>
      <c r="D1008" s="59"/>
      <c r="E1008" s="43" t="str">
        <f t="shared" si="57"/>
        <v>Еще фото</v>
      </c>
      <c r="F1008" s="14" t="s">
        <v>854</v>
      </c>
      <c r="G1008" s="24" t="s">
        <v>237</v>
      </c>
      <c r="H1008" s="24" t="s">
        <v>27</v>
      </c>
      <c r="I1008" s="24" t="s">
        <v>237</v>
      </c>
      <c r="J1008" s="15" t="s">
        <v>37</v>
      </c>
      <c r="K1008" s="16" t="s">
        <v>57</v>
      </c>
      <c r="L1008" s="62"/>
      <c r="M1008" s="15"/>
      <c r="N1008" s="15" t="s">
        <v>39</v>
      </c>
      <c r="O1008" s="15"/>
      <c r="P1008" s="16" t="s">
        <v>254</v>
      </c>
      <c r="Q1008" s="17">
        <v>19199</v>
      </c>
      <c r="R1008" s="18">
        <v>45</v>
      </c>
      <c r="S1008" s="19">
        <v>12143.3675</v>
      </c>
      <c r="T1008" s="20" t="s">
        <v>75</v>
      </c>
      <c r="U1008" s="21" t="s">
        <v>359</v>
      </c>
      <c r="V1008" s="25" t="s">
        <v>96</v>
      </c>
      <c r="W1008" s="22">
        <v>2</v>
      </c>
      <c r="X1008" s="23"/>
    </row>
    <row r="1009" spans="1:24" s="1" customFormat="1" ht="14" customHeight="1" x14ac:dyDescent="0.3">
      <c r="A1009" s="11" t="s">
        <v>23</v>
      </c>
      <c r="B1009" s="11" t="s">
        <v>974</v>
      </c>
      <c r="C1009" s="12" t="s">
        <v>975</v>
      </c>
      <c r="D1009" s="57"/>
      <c r="E1009" s="43" t="str">
        <f t="shared" ref="E1009:E1015" si="58">HYPERLINK("https://www.google.ru/search?q=04511-3920&amp;newwindow=1&amp;tbm=isch","Еще фото")</f>
        <v>Еще фото</v>
      </c>
      <c r="F1009" s="14"/>
      <c r="G1009" s="11" t="s">
        <v>237</v>
      </c>
      <c r="H1009" s="11" t="s">
        <v>27</v>
      </c>
      <c r="I1009" s="15" t="s">
        <v>237</v>
      </c>
      <c r="J1009" s="15" t="s">
        <v>37</v>
      </c>
      <c r="K1009" s="16" t="s">
        <v>57</v>
      </c>
      <c r="L1009" s="60" t="s">
        <v>439</v>
      </c>
      <c r="M1009" s="15" t="s">
        <v>72</v>
      </c>
      <c r="N1009" s="15" t="s">
        <v>130</v>
      </c>
      <c r="O1009" s="15"/>
      <c r="P1009" s="16" t="s">
        <v>254</v>
      </c>
      <c r="Q1009" s="17">
        <v>16999</v>
      </c>
      <c r="R1009" s="18">
        <v>45</v>
      </c>
      <c r="S1009" s="19">
        <v>10751.8675</v>
      </c>
      <c r="T1009" s="20" t="s">
        <v>75</v>
      </c>
      <c r="U1009" s="21" t="s">
        <v>53</v>
      </c>
      <c r="V1009" s="22">
        <v>46</v>
      </c>
      <c r="W1009" s="22">
        <v>14</v>
      </c>
      <c r="X1009" s="23"/>
    </row>
    <row r="1010" spans="1:24" s="1" customFormat="1" ht="14" customHeight="1" x14ac:dyDescent="0.3">
      <c r="A1010" s="24" t="s">
        <v>23</v>
      </c>
      <c r="B1010" s="24" t="s">
        <v>974</v>
      </c>
      <c r="C1010" s="12" t="s">
        <v>975</v>
      </c>
      <c r="D1010" s="58"/>
      <c r="E1010" s="43" t="str">
        <f t="shared" si="58"/>
        <v>Еще фото</v>
      </c>
      <c r="F1010" s="14"/>
      <c r="G1010" s="24" t="s">
        <v>237</v>
      </c>
      <c r="H1010" s="24" t="s">
        <v>27</v>
      </c>
      <c r="I1010" s="24" t="s">
        <v>237</v>
      </c>
      <c r="J1010" s="15" t="s">
        <v>37</v>
      </c>
      <c r="K1010" s="16" t="s">
        <v>57</v>
      </c>
      <c r="L1010" s="61"/>
      <c r="M1010" s="15" t="s">
        <v>72</v>
      </c>
      <c r="N1010" s="15" t="s">
        <v>130</v>
      </c>
      <c r="O1010" s="15"/>
      <c r="P1010" s="16" t="s">
        <v>254</v>
      </c>
      <c r="Q1010" s="17">
        <v>16999</v>
      </c>
      <c r="R1010" s="18">
        <v>45</v>
      </c>
      <c r="S1010" s="19">
        <v>10751.8675</v>
      </c>
      <c r="T1010" s="20" t="s">
        <v>75</v>
      </c>
      <c r="U1010" s="21" t="s">
        <v>109</v>
      </c>
      <c r="V1010" s="25" t="s">
        <v>65</v>
      </c>
      <c r="W1010" s="22">
        <v>2</v>
      </c>
      <c r="X1010" s="23"/>
    </row>
    <row r="1011" spans="1:24" s="1" customFormat="1" ht="14" customHeight="1" x14ac:dyDescent="0.3">
      <c r="A1011" s="24" t="s">
        <v>23</v>
      </c>
      <c r="B1011" s="24" t="s">
        <v>974</v>
      </c>
      <c r="C1011" s="12" t="s">
        <v>975</v>
      </c>
      <c r="D1011" s="58"/>
      <c r="E1011" s="43" t="str">
        <f t="shared" si="58"/>
        <v>Еще фото</v>
      </c>
      <c r="F1011" s="14"/>
      <c r="G1011" s="24" t="s">
        <v>237</v>
      </c>
      <c r="H1011" s="24" t="s">
        <v>27</v>
      </c>
      <c r="I1011" s="24" t="s">
        <v>237</v>
      </c>
      <c r="J1011" s="15" t="s">
        <v>37</v>
      </c>
      <c r="K1011" s="16" t="s">
        <v>57</v>
      </c>
      <c r="L1011" s="61"/>
      <c r="M1011" s="15" t="s">
        <v>72</v>
      </c>
      <c r="N1011" s="15" t="s">
        <v>130</v>
      </c>
      <c r="O1011" s="15"/>
      <c r="P1011" s="16" t="s">
        <v>254</v>
      </c>
      <c r="Q1011" s="17">
        <v>16999</v>
      </c>
      <c r="R1011" s="18">
        <v>45</v>
      </c>
      <c r="S1011" s="19">
        <v>10751.8675</v>
      </c>
      <c r="T1011" s="20" t="s">
        <v>75</v>
      </c>
      <c r="U1011" s="21" t="s">
        <v>165</v>
      </c>
      <c r="V1011" s="22">
        <v>48</v>
      </c>
      <c r="W1011" s="22">
        <v>3</v>
      </c>
      <c r="X1011" s="23"/>
    </row>
    <row r="1012" spans="1:24" s="1" customFormat="1" ht="14" customHeight="1" x14ac:dyDescent="0.3">
      <c r="A1012" s="24" t="s">
        <v>23</v>
      </c>
      <c r="B1012" s="24" t="s">
        <v>974</v>
      </c>
      <c r="C1012" s="12" t="s">
        <v>975</v>
      </c>
      <c r="D1012" s="58"/>
      <c r="E1012" s="43" t="str">
        <f t="shared" si="58"/>
        <v>Еще фото</v>
      </c>
      <c r="F1012" s="14"/>
      <c r="G1012" s="24" t="s">
        <v>237</v>
      </c>
      <c r="H1012" s="24" t="s">
        <v>27</v>
      </c>
      <c r="I1012" s="24" t="s">
        <v>237</v>
      </c>
      <c r="J1012" s="15" t="s">
        <v>37</v>
      </c>
      <c r="K1012" s="16" t="s">
        <v>57</v>
      </c>
      <c r="L1012" s="61"/>
      <c r="M1012" s="15" t="s">
        <v>72</v>
      </c>
      <c r="N1012" s="15" t="s">
        <v>130</v>
      </c>
      <c r="O1012" s="15"/>
      <c r="P1012" s="16" t="s">
        <v>254</v>
      </c>
      <c r="Q1012" s="17">
        <v>16999</v>
      </c>
      <c r="R1012" s="18">
        <v>45</v>
      </c>
      <c r="S1012" s="19">
        <v>10751.8675</v>
      </c>
      <c r="T1012" s="20" t="s">
        <v>75</v>
      </c>
      <c r="U1012" s="21" t="s">
        <v>166</v>
      </c>
      <c r="V1012" s="25" t="s">
        <v>96</v>
      </c>
      <c r="W1012" s="22">
        <v>3</v>
      </c>
      <c r="X1012" s="23"/>
    </row>
    <row r="1013" spans="1:24" s="1" customFormat="1" ht="14" customHeight="1" x14ac:dyDescent="0.3">
      <c r="A1013" s="24" t="s">
        <v>23</v>
      </c>
      <c r="B1013" s="24" t="s">
        <v>974</v>
      </c>
      <c r="C1013" s="12" t="s">
        <v>975</v>
      </c>
      <c r="D1013" s="58"/>
      <c r="E1013" s="43" t="str">
        <f t="shared" si="58"/>
        <v>Еще фото</v>
      </c>
      <c r="F1013" s="14"/>
      <c r="G1013" s="24" t="s">
        <v>237</v>
      </c>
      <c r="H1013" s="24" t="s">
        <v>27</v>
      </c>
      <c r="I1013" s="24" t="s">
        <v>237</v>
      </c>
      <c r="J1013" s="15" t="s">
        <v>37</v>
      </c>
      <c r="K1013" s="16" t="s">
        <v>57</v>
      </c>
      <c r="L1013" s="61"/>
      <c r="M1013" s="15" t="s">
        <v>72</v>
      </c>
      <c r="N1013" s="15" t="s">
        <v>130</v>
      </c>
      <c r="O1013" s="15"/>
      <c r="P1013" s="16" t="s">
        <v>254</v>
      </c>
      <c r="Q1013" s="17">
        <v>16999</v>
      </c>
      <c r="R1013" s="18">
        <v>45</v>
      </c>
      <c r="S1013" s="19">
        <v>10751.8675</v>
      </c>
      <c r="T1013" s="20" t="s">
        <v>75</v>
      </c>
      <c r="U1013" s="21" t="s">
        <v>359</v>
      </c>
      <c r="V1013" s="25" t="s">
        <v>96</v>
      </c>
      <c r="W1013" s="22">
        <v>2</v>
      </c>
      <c r="X1013" s="23"/>
    </row>
    <row r="1014" spans="1:24" s="1" customFormat="1" ht="14" customHeight="1" x14ac:dyDescent="0.3">
      <c r="A1014" s="24" t="s">
        <v>23</v>
      </c>
      <c r="B1014" s="24" t="s">
        <v>974</v>
      </c>
      <c r="C1014" s="12" t="s">
        <v>975</v>
      </c>
      <c r="D1014" s="58"/>
      <c r="E1014" s="43" t="str">
        <f t="shared" si="58"/>
        <v>Еще фото</v>
      </c>
      <c r="F1014" s="14"/>
      <c r="G1014" s="24" t="s">
        <v>237</v>
      </c>
      <c r="H1014" s="24" t="s">
        <v>27</v>
      </c>
      <c r="I1014" s="24" t="s">
        <v>237</v>
      </c>
      <c r="J1014" s="15" t="s">
        <v>37</v>
      </c>
      <c r="K1014" s="16" t="s">
        <v>57</v>
      </c>
      <c r="L1014" s="61"/>
      <c r="M1014" s="15" t="s">
        <v>72</v>
      </c>
      <c r="N1014" s="15" t="s">
        <v>130</v>
      </c>
      <c r="O1014" s="15"/>
      <c r="P1014" s="16" t="s">
        <v>254</v>
      </c>
      <c r="Q1014" s="17">
        <v>16999</v>
      </c>
      <c r="R1014" s="18">
        <v>45</v>
      </c>
      <c r="S1014" s="19">
        <v>10751.8675</v>
      </c>
      <c r="T1014" s="20" t="s">
        <v>75</v>
      </c>
      <c r="U1014" s="21" t="s">
        <v>167</v>
      </c>
      <c r="V1014" s="22">
        <v>52</v>
      </c>
      <c r="W1014" s="22">
        <v>28</v>
      </c>
      <c r="X1014" s="23"/>
    </row>
    <row r="1015" spans="1:24" s="1" customFormat="1" ht="17" customHeight="1" x14ac:dyDescent="0.3">
      <c r="A1015" s="24" t="s">
        <v>23</v>
      </c>
      <c r="B1015" s="24" t="s">
        <v>974</v>
      </c>
      <c r="C1015" s="12" t="s">
        <v>975</v>
      </c>
      <c r="D1015" s="59"/>
      <c r="E1015" s="43" t="str">
        <f t="shared" si="58"/>
        <v>Еще фото</v>
      </c>
      <c r="F1015" s="14"/>
      <c r="G1015" s="24" t="s">
        <v>237</v>
      </c>
      <c r="H1015" s="24" t="s">
        <v>27</v>
      </c>
      <c r="I1015" s="24" t="s">
        <v>237</v>
      </c>
      <c r="J1015" s="15" t="s">
        <v>37</v>
      </c>
      <c r="K1015" s="16" t="s">
        <v>57</v>
      </c>
      <c r="L1015" s="62"/>
      <c r="M1015" s="15" t="s">
        <v>72</v>
      </c>
      <c r="N1015" s="15" t="s">
        <v>130</v>
      </c>
      <c r="O1015" s="15"/>
      <c r="P1015" s="16" t="s">
        <v>254</v>
      </c>
      <c r="Q1015" s="17">
        <v>16999</v>
      </c>
      <c r="R1015" s="18">
        <v>45</v>
      </c>
      <c r="S1015" s="19">
        <v>10751.8675</v>
      </c>
      <c r="T1015" s="20" t="s">
        <v>75</v>
      </c>
      <c r="U1015" s="21" t="s">
        <v>196</v>
      </c>
      <c r="V1015" s="22">
        <v>54</v>
      </c>
      <c r="W1015" s="22">
        <v>1</v>
      </c>
      <c r="X1015" s="23"/>
    </row>
    <row r="1016" spans="1:24" s="1" customFormat="1" ht="14" customHeight="1" x14ac:dyDescent="0.3">
      <c r="A1016" s="11" t="s">
        <v>23</v>
      </c>
      <c r="B1016" s="11" t="s">
        <v>976</v>
      </c>
      <c r="C1016" s="12" t="s">
        <v>977</v>
      </c>
      <c r="D1016" s="57"/>
      <c r="E1016" s="43" t="str">
        <f t="shared" ref="E1016:E1022" si="59">HYPERLINK("https://www.google.ru/search?q=04511-4781&amp;newwindow=1&amp;tbm=isch","Еще фото")</f>
        <v>Еще фото</v>
      </c>
      <c r="F1016" s="14" t="s">
        <v>854</v>
      </c>
      <c r="G1016" s="11" t="s">
        <v>237</v>
      </c>
      <c r="H1016" s="11" t="s">
        <v>27</v>
      </c>
      <c r="I1016" s="15" t="s">
        <v>237</v>
      </c>
      <c r="J1016" s="15" t="s">
        <v>37</v>
      </c>
      <c r="K1016" s="16" t="s">
        <v>57</v>
      </c>
      <c r="L1016" s="60" t="s">
        <v>439</v>
      </c>
      <c r="M1016" s="15"/>
      <c r="N1016" s="15" t="s">
        <v>130</v>
      </c>
      <c r="O1016" s="15"/>
      <c r="P1016" s="16" t="s">
        <v>978</v>
      </c>
      <c r="Q1016" s="17">
        <v>12499</v>
      </c>
      <c r="R1016" s="18">
        <v>45</v>
      </c>
      <c r="S1016" s="19">
        <v>7905.6174999999994</v>
      </c>
      <c r="T1016" s="20" t="s">
        <v>75</v>
      </c>
      <c r="U1016" s="21" t="s">
        <v>51</v>
      </c>
      <c r="V1016" s="22">
        <v>44</v>
      </c>
      <c r="W1016" s="22">
        <v>2</v>
      </c>
      <c r="X1016" s="23"/>
    </row>
    <row r="1017" spans="1:24" s="1" customFormat="1" ht="14" customHeight="1" x14ac:dyDescent="0.3">
      <c r="A1017" s="24" t="s">
        <v>23</v>
      </c>
      <c r="B1017" s="24" t="s">
        <v>976</v>
      </c>
      <c r="C1017" s="12" t="s">
        <v>977</v>
      </c>
      <c r="D1017" s="58"/>
      <c r="E1017" s="43" t="str">
        <f t="shared" si="59"/>
        <v>Еще фото</v>
      </c>
      <c r="F1017" s="14" t="s">
        <v>854</v>
      </c>
      <c r="G1017" s="24" t="s">
        <v>237</v>
      </c>
      <c r="H1017" s="24" t="s">
        <v>27</v>
      </c>
      <c r="I1017" s="24" t="s">
        <v>237</v>
      </c>
      <c r="J1017" s="15" t="s">
        <v>37</v>
      </c>
      <c r="K1017" s="16" t="s">
        <v>57</v>
      </c>
      <c r="L1017" s="61"/>
      <c r="M1017" s="15"/>
      <c r="N1017" s="15" t="s">
        <v>130</v>
      </c>
      <c r="O1017" s="15"/>
      <c r="P1017" s="16" t="s">
        <v>978</v>
      </c>
      <c r="Q1017" s="17">
        <v>12499</v>
      </c>
      <c r="R1017" s="18">
        <v>45</v>
      </c>
      <c r="S1017" s="19">
        <v>7905.6174999999994</v>
      </c>
      <c r="T1017" s="20" t="s">
        <v>75</v>
      </c>
      <c r="U1017" s="21" t="s">
        <v>173</v>
      </c>
      <c r="V1017" s="25" t="s">
        <v>63</v>
      </c>
      <c r="W1017" s="22">
        <v>7</v>
      </c>
      <c r="X1017" s="23"/>
    </row>
    <row r="1018" spans="1:24" s="1" customFormat="1" ht="14" customHeight="1" x14ac:dyDescent="0.3">
      <c r="A1018" s="24" t="s">
        <v>23</v>
      </c>
      <c r="B1018" s="24" t="s">
        <v>976</v>
      </c>
      <c r="C1018" s="12" t="s">
        <v>977</v>
      </c>
      <c r="D1018" s="58"/>
      <c r="E1018" s="43" t="str">
        <f t="shared" si="59"/>
        <v>Еще фото</v>
      </c>
      <c r="F1018" s="14" t="s">
        <v>854</v>
      </c>
      <c r="G1018" s="24" t="s">
        <v>237</v>
      </c>
      <c r="H1018" s="24" t="s">
        <v>27</v>
      </c>
      <c r="I1018" s="24" t="s">
        <v>237</v>
      </c>
      <c r="J1018" s="15" t="s">
        <v>37</v>
      </c>
      <c r="K1018" s="16" t="s">
        <v>57</v>
      </c>
      <c r="L1018" s="61"/>
      <c r="M1018" s="15"/>
      <c r="N1018" s="15" t="s">
        <v>130</v>
      </c>
      <c r="O1018" s="15"/>
      <c r="P1018" s="16" t="s">
        <v>978</v>
      </c>
      <c r="Q1018" s="17">
        <v>12499</v>
      </c>
      <c r="R1018" s="18">
        <v>45</v>
      </c>
      <c r="S1018" s="19">
        <v>7905.6174999999994</v>
      </c>
      <c r="T1018" s="20" t="s">
        <v>75</v>
      </c>
      <c r="U1018" s="21" t="s">
        <v>53</v>
      </c>
      <c r="V1018" s="22">
        <v>46</v>
      </c>
      <c r="W1018" s="22">
        <v>11</v>
      </c>
      <c r="X1018" s="23"/>
    </row>
    <row r="1019" spans="1:24" s="1" customFormat="1" ht="14" customHeight="1" x14ac:dyDescent="0.3">
      <c r="A1019" s="24" t="s">
        <v>23</v>
      </c>
      <c r="B1019" s="24" t="s">
        <v>976</v>
      </c>
      <c r="C1019" s="12" t="s">
        <v>977</v>
      </c>
      <c r="D1019" s="58"/>
      <c r="E1019" s="43" t="str">
        <f t="shared" si="59"/>
        <v>Еще фото</v>
      </c>
      <c r="F1019" s="14" t="s">
        <v>854</v>
      </c>
      <c r="G1019" s="24" t="s">
        <v>237</v>
      </c>
      <c r="H1019" s="24" t="s">
        <v>27</v>
      </c>
      <c r="I1019" s="24" t="s">
        <v>237</v>
      </c>
      <c r="J1019" s="15" t="s">
        <v>37</v>
      </c>
      <c r="K1019" s="16" t="s">
        <v>57</v>
      </c>
      <c r="L1019" s="61"/>
      <c r="M1019" s="15"/>
      <c r="N1019" s="15" t="s">
        <v>130</v>
      </c>
      <c r="O1019" s="15"/>
      <c r="P1019" s="16" t="s">
        <v>978</v>
      </c>
      <c r="Q1019" s="17">
        <v>12499</v>
      </c>
      <c r="R1019" s="18">
        <v>45</v>
      </c>
      <c r="S1019" s="19">
        <v>7905.6174999999994</v>
      </c>
      <c r="T1019" s="20" t="s">
        <v>75</v>
      </c>
      <c r="U1019" s="21" t="s">
        <v>109</v>
      </c>
      <c r="V1019" s="25" t="s">
        <v>65</v>
      </c>
      <c r="W1019" s="22">
        <v>15</v>
      </c>
      <c r="X1019" s="23"/>
    </row>
    <row r="1020" spans="1:24" s="1" customFormat="1" ht="14" customHeight="1" x14ac:dyDescent="0.3">
      <c r="A1020" s="24" t="s">
        <v>23</v>
      </c>
      <c r="B1020" s="24" t="s">
        <v>976</v>
      </c>
      <c r="C1020" s="12" t="s">
        <v>977</v>
      </c>
      <c r="D1020" s="58"/>
      <c r="E1020" s="43" t="str">
        <f t="shared" si="59"/>
        <v>Еще фото</v>
      </c>
      <c r="F1020" s="14" t="s">
        <v>854</v>
      </c>
      <c r="G1020" s="24" t="s">
        <v>237</v>
      </c>
      <c r="H1020" s="24" t="s">
        <v>27</v>
      </c>
      <c r="I1020" s="24" t="s">
        <v>237</v>
      </c>
      <c r="J1020" s="15" t="s">
        <v>37</v>
      </c>
      <c r="K1020" s="16" t="s">
        <v>57</v>
      </c>
      <c r="L1020" s="61"/>
      <c r="M1020" s="15"/>
      <c r="N1020" s="15" t="s">
        <v>130</v>
      </c>
      <c r="O1020" s="15"/>
      <c r="P1020" s="16" t="s">
        <v>978</v>
      </c>
      <c r="Q1020" s="17">
        <v>12499</v>
      </c>
      <c r="R1020" s="18">
        <v>45</v>
      </c>
      <c r="S1020" s="19">
        <v>7905.6174999999994</v>
      </c>
      <c r="T1020" s="20" t="s">
        <v>75</v>
      </c>
      <c r="U1020" s="21" t="s">
        <v>104</v>
      </c>
      <c r="V1020" s="22">
        <v>48</v>
      </c>
      <c r="W1020" s="22">
        <v>2</v>
      </c>
      <c r="X1020" s="23"/>
    </row>
    <row r="1021" spans="1:24" s="1" customFormat="1" ht="14" customHeight="1" x14ac:dyDescent="0.3">
      <c r="A1021" s="24" t="s">
        <v>23</v>
      </c>
      <c r="B1021" s="24" t="s">
        <v>976</v>
      </c>
      <c r="C1021" s="12" t="s">
        <v>977</v>
      </c>
      <c r="D1021" s="58"/>
      <c r="E1021" s="43" t="str">
        <f t="shared" si="59"/>
        <v>Еще фото</v>
      </c>
      <c r="F1021" s="14" t="s">
        <v>854</v>
      </c>
      <c r="G1021" s="24" t="s">
        <v>237</v>
      </c>
      <c r="H1021" s="24" t="s">
        <v>27</v>
      </c>
      <c r="I1021" s="24" t="s">
        <v>237</v>
      </c>
      <c r="J1021" s="15" t="s">
        <v>37</v>
      </c>
      <c r="K1021" s="16" t="s">
        <v>57</v>
      </c>
      <c r="L1021" s="61"/>
      <c r="M1021" s="15"/>
      <c r="N1021" s="15" t="s">
        <v>130</v>
      </c>
      <c r="O1021" s="15"/>
      <c r="P1021" s="16" t="s">
        <v>978</v>
      </c>
      <c r="Q1021" s="17">
        <v>12499</v>
      </c>
      <c r="R1021" s="18">
        <v>45</v>
      </c>
      <c r="S1021" s="19">
        <v>7905.6174999999994</v>
      </c>
      <c r="T1021" s="20" t="s">
        <v>75</v>
      </c>
      <c r="U1021" s="21" t="s">
        <v>166</v>
      </c>
      <c r="V1021" s="25" t="s">
        <v>96</v>
      </c>
      <c r="W1021" s="22">
        <v>9</v>
      </c>
      <c r="X1021" s="23"/>
    </row>
    <row r="1022" spans="1:24" s="1" customFormat="1" ht="17" customHeight="1" x14ac:dyDescent="0.3">
      <c r="A1022" s="24" t="s">
        <v>23</v>
      </c>
      <c r="B1022" s="24" t="s">
        <v>976</v>
      </c>
      <c r="C1022" s="12" t="s">
        <v>977</v>
      </c>
      <c r="D1022" s="59"/>
      <c r="E1022" s="43" t="str">
        <f t="shared" si="59"/>
        <v>Еще фото</v>
      </c>
      <c r="F1022" s="14" t="s">
        <v>854</v>
      </c>
      <c r="G1022" s="24" t="s">
        <v>237</v>
      </c>
      <c r="H1022" s="24" t="s">
        <v>27</v>
      </c>
      <c r="I1022" s="24" t="s">
        <v>237</v>
      </c>
      <c r="J1022" s="15" t="s">
        <v>37</v>
      </c>
      <c r="K1022" s="16" t="s">
        <v>57</v>
      </c>
      <c r="L1022" s="62"/>
      <c r="M1022" s="15"/>
      <c r="N1022" s="15" t="s">
        <v>130</v>
      </c>
      <c r="O1022" s="15"/>
      <c r="P1022" s="16" t="s">
        <v>978</v>
      </c>
      <c r="Q1022" s="17">
        <v>12499</v>
      </c>
      <c r="R1022" s="18">
        <v>45</v>
      </c>
      <c r="S1022" s="19">
        <v>7905.6174999999994</v>
      </c>
      <c r="T1022" s="20" t="s">
        <v>75</v>
      </c>
      <c r="U1022" s="21" t="s">
        <v>168</v>
      </c>
      <c r="V1022" s="22">
        <v>52</v>
      </c>
      <c r="W1022" s="22">
        <v>2</v>
      </c>
      <c r="X1022" s="23"/>
    </row>
    <row r="1023" spans="1:24" s="1" customFormat="1" ht="17" customHeight="1" x14ac:dyDescent="0.3">
      <c r="A1023" s="11" t="s">
        <v>23</v>
      </c>
      <c r="B1023" s="11" t="s">
        <v>979</v>
      </c>
      <c r="C1023" s="12" t="s">
        <v>980</v>
      </c>
      <c r="D1023" s="57"/>
      <c r="E1023" s="43" t="str">
        <f t="shared" ref="E1023:E1028" si="60">HYPERLINK("https://www.google.ru/search?q=04511-5318&amp;newwindow=1&amp;tbm=isch","Еще фото")</f>
        <v>Еще фото</v>
      </c>
      <c r="F1023" s="14"/>
      <c r="G1023" s="11" t="s">
        <v>237</v>
      </c>
      <c r="H1023" s="11" t="s">
        <v>27</v>
      </c>
      <c r="I1023" s="15" t="s">
        <v>237</v>
      </c>
      <c r="J1023" s="15" t="s">
        <v>37</v>
      </c>
      <c r="K1023" s="16" t="s">
        <v>57</v>
      </c>
      <c r="L1023" s="60" t="s">
        <v>981</v>
      </c>
      <c r="M1023" s="15"/>
      <c r="N1023" s="15" t="s">
        <v>138</v>
      </c>
      <c r="O1023" s="15"/>
      <c r="P1023" s="16" t="s">
        <v>358</v>
      </c>
      <c r="Q1023" s="17">
        <v>15799</v>
      </c>
      <c r="R1023" s="18">
        <v>45</v>
      </c>
      <c r="S1023" s="19">
        <v>9992.8675000000003</v>
      </c>
      <c r="T1023" s="20" t="s">
        <v>75</v>
      </c>
      <c r="U1023" s="21" t="s">
        <v>53</v>
      </c>
      <c r="V1023" s="22">
        <v>46</v>
      </c>
      <c r="W1023" s="22">
        <v>2</v>
      </c>
      <c r="X1023" s="23"/>
    </row>
    <row r="1024" spans="1:24" s="1" customFormat="1" ht="17" customHeight="1" x14ac:dyDescent="0.3">
      <c r="A1024" s="24" t="s">
        <v>23</v>
      </c>
      <c r="B1024" s="24" t="s">
        <v>979</v>
      </c>
      <c r="C1024" s="12" t="s">
        <v>980</v>
      </c>
      <c r="D1024" s="58"/>
      <c r="E1024" s="43" t="str">
        <f t="shared" si="60"/>
        <v>Еще фото</v>
      </c>
      <c r="F1024" s="14"/>
      <c r="G1024" s="24" t="s">
        <v>237</v>
      </c>
      <c r="H1024" s="24" t="s">
        <v>27</v>
      </c>
      <c r="I1024" s="24" t="s">
        <v>237</v>
      </c>
      <c r="J1024" s="15" t="s">
        <v>37</v>
      </c>
      <c r="K1024" s="16" t="s">
        <v>57</v>
      </c>
      <c r="L1024" s="61"/>
      <c r="M1024" s="15"/>
      <c r="N1024" s="15" t="s">
        <v>138</v>
      </c>
      <c r="O1024" s="15"/>
      <c r="P1024" s="16" t="s">
        <v>358</v>
      </c>
      <c r="Q1024" s="17">
        <v>15799</v>
      </c>
      <c r="R1024" s="18">
        <v>45</v>
      </c>
      <c r="S1024" s="19">
        <v>9992.8675000000003</v>
      </c>
      <c r="T1024" s="20" t="s">
        <v>75</v>
      </c>
      <c r="U1024" s="21" t="s">
        <v>109</v>
      </c>
      <c r="V1024" s="25" t="s">
        <v>65</v>
      </c>
      <c r="W1024" s="22">
        <v>4</v>
      </c>
      <c r="X1024" s="23"/>
    </row>
    <row r="1025" spans="1:24" s="1" customFormat="1" ht="17" customHeight="1" x14ac:dyDescent="0.3">
      <c r="A1025" s="24" t="s">
        <v>23</v>
      </c>
      <c r="B1025" s="24" t="s">
        <v>979</v>
      </c>
      <c r="C1025" s="12" t="s">
        <v>980</v>
      </c>
      <c r="D1025" s="58"/>
      <c r="E1025" s="43" t="str">
        <f t="shared" si="60"/>
        <v>Еще фото</v>
      </c>
      <c r="F1025" s="14"/>
      <c r="G1025" s="24" t="s">
        <v>237</v>
      </c>
      <c r="H1025" s="24" t="s">
        <v>27</v>
      </c>
      <c r="I1025" s="24" t="s">
        <v>237</v>
      </c>
      <c r="J1025" s="15" t="s">
        <v>37</v>
      </c>
      <c r="K1025" s="16" t="s">
        <v>57</v>
      </c>
      <c r="L1025" s="61"/>
      <c r="M1025" s="15"/>
      <c r="N1025" s="15" t="s">
        <v>138</v>
      </c>
      <c r="O1025" s="15"/>
      <c r="P1025" s="16" t="s">
        <v>358</v>
      </c>
      <c r="Q1025" s="17">
        <v>15799</v>
      </c>
      <c r="R1025" s="18">
        <v>45</v>
      </c>
      <c r="S1025" s="19">
        <v>9992.8675000000003</v>
      </c>
      <c r="T1025" s="20" t="s">
        <v>75</v>
      </c>
      <c r="U1025" s="21" t="s">
        <v>165</v>
      </c>
      <c r="V1025" s="22">
        <v>48</v>
      </c>
      <c r="W1025" s="22">
        <v>3</v>
      </c>
      <c r="X1025" s="23"/>
    </row>
    <row r="1026" spans="1:24" s="1" customFormat="1" ht="17" customHeight="1" x14ac:dyDescent="0.3">
      <c r="A1026" s="24" t="s">
        <v>23</v>
      </c>
      <c r="B1026" s="24" t="s">
        <v>979</v>
      </c>
      <c r="C1026" s="12" t="s">
        <v>980</v>
      </c>
      <c r="D1026" s="58"/>
      <c r="E1026" s="43" t="str">
        <f t="shared" si="60"/>
        <v>Еще фото</v>
      </c>
      <c r="F1026" s="14"/>
      <c r="G1026" s="24" t="s">
        <v>237</v>
      </c>
      <c r="H1026" s="24" t="s">
        <v>27</v>
      </c>
      <c r="I1026" s="24" t="s">
        <v>237</v>
      </c>
      <c r="J1026" s="15" t="s">
        <v>37</v>
      </c>
      <c r="K1026" s="16" t="s">
        <v>57</v>
      </c>
      <c r="L1026" s="61"/>
      <c r="M1026" s="15"/>
      <c r="N1026" s="15" t="s">
        <v>138</v>
      </c>
      <c r="O1026" s="15"/>
      <c r="P1026" s="16" t="s">
        <v>358</v>
      </c>
      <c r="Q1026" s="17">
        <v>15799</v>
      </c>
      <c r="R1026" s="18">
        <v>45</v>
      </c>
      <c r="S1026" s="19">
        <v>9992.8675000000003</v>
      </c>
      <c r="T1026" s="20" t="s">
        <v>75</v>
      </c>
      <c r="U1026" s="21" t="s">
        <v>166</v>
      </c>
      <c r="V1026" s="25" t="s">
        <v>96</v>
      </c>
      <c r="W1026" s="22">
        <v>4</v>
      </c>
      <c r="X1026" s="23"/>
    </row>
    <row r="1027" spans="1:24" s="1" customFormat="1" ht="17" customHeight="1" x14ac:dyDescent="0.3">
      <c r="A1027" s="24" t="s">
        <v>23</v>
      </c>
      <c r="B1027" s="24" t="s">
        <v>979</v>
      </c>
      <c r="C1027" s="12" t="s">
        <v>980</v>
      </c>
      <c r="D1027" s="58"/>
      <c r="E1027" s="43" t="str">
        <f t="shared" si="60"/>
        <v>Еще фото</v>
      </c>
      <c r="F1027" s="14"/>
      <c r="G1027" s="24" t="s">
        <v>237</v>
      </c>
      <c r="H1027" s="24" t="s">
        <v>27</v>
      </c>
      <c r="I1027" s="24" t="s">
        <v>237</v>
      </c>
      <c r="J1027" s="15" t="s">
        <v>37</v>
      </c>
      <c r="K1027" s="16" t="s">
        <v>57</v>
      </c>
      <c r="L1027" s="61"/>
      <c r="M1027" s="15"/>
      <c r="N1027" s="15" t="s">
        <v>138</v>
      </c>
      <c r="O1027" s="15"/>
      <c r="P1027" s="16" t="s">
        <v>358</v>
      </c>
      <c r="Q1027" s="17">
        <v>15799</v>
      </c>
      <c r="R1027" s="18">
        <v>45</v>
      </c>
      <c r="S1027" s="19">
        <v>9992.8675000000003</v>
      </c>
      <c r="T1027" s="20" t="s">
        <v>75</v>
      </c>
      <c r="U1027" s="21" t="s">
        <v>89</v>
      </c>
      <c r="V1027" s="22">
        <v>50</v>
      </c>
      <c r="W1027" s="22">
        <v>5</v>
      </c>
      <c r="X1027" s="23"/>
    </row>
    <row r="1028" spans="1:24" s="1" customFormat="1" ht="22.05" customHeight="1" x14ac:dyDescent="0.3">
      <c r="A1028" s="24" t="s">
        <v>23</v>
      </c>
      <c r="B1028" s="24" t="s">
        <v>979</v>
      </c>
      <c r="C1028" s="12" t="s">
        <v>980</v>
      </c>
      <c r="D1028" s="59"/>
      <c r="E1028" s="43" t="str">
        <f t="shared" si="60"/>
        <v>Еще фото</v>
      </c>
      <c r="F1028" s="14"/>
      <c r="G1028" s="24" t="s">
        <v>237</v>
      </c>
      <c r="H1028" s="24" t="s">
        <v>27</v>
      </c>
      <c r="I1028" s="24" t="s">
        <v>237</v>
      </c>
      <c r="J1028" s="15" t="s">
        <v>37</v>
      </c>
      <c r="K1028" s="16" t="s">
        <v>57</v>
      </c>
      <c r="L1028" s="62"/>
      <c r="M1028" s="15"/>
      <c r="N1028" s="15" t="s">
        <v>138</v>
      </c>
      <c r="O1028" s="15"/>
      <c r="P1028" s="16" t="s">
        <v>358</v>
      </c>
      <c r="Q1028" s="17">
        <v>15799</v>
      </c>
      <c r="R1028" s="18">
        <v>45</v>
      </c>
      <c r="S1028" s="19">
        <v>9992.8675000000003</v>
      </c>
      <c r="T1028" s="20" t="s">
        <v>75</v>
      </c>
      <c r="U1028" s="21" t="s">
        <v>167</v>
      </c>
      <c r="V1028" s="22">
        <v>52</v>
      </c>
      <c r="W1028" s="22">
        <v>5</v>
      </c>
      <c r="X1028" s="23"/>
    </row>
    <row r="1029" spans="1:24" s="1" customFormat="1" ht="26" customHeight="1" x14ac:dyDescent="0.3">
      <c r="A1029" s="11" t="s">
        <v>23</v>
      </c>
      <c r="B1029" s="11" t="s">
        <v>982</v>
      </c>
      <c r="C1029" s="12" t="s">
        <v>983</v>
      </c>
      <c r="D1029" s="57"/>
      <c r="E1029" s="43" t="str">
        <f>HYPERLINK("https://www.google.ru/search?q=04511-5474&amp;newwindow=1&amp;tbm=isch","Еще фото")</f>
        <v>Еще фото</v>
      </c>
      <c r="F1029" s="14" t="s">
        <v>854</v>
      </c>
      <c r="G1029" s="11" t="s">
        <v>237</v>
      </c>
      <c r="H1029" s="11" t="s">
        <v>27</v>
      </c>
      <c r="I1029" s="15" t="s">
        <v>237</v>
      </c>
      <c r="J1029" s="15" t="s">
        <v>28</v>
      </c>
      <c r="K1029" s="16" t="s">
        <v>57</v>
      </c>
      <c r="L1029" s="60" t="s">
        <v>439</v>
      </c>
      <c r="M1029" s="15"/>
      <c r="N1029" s="15" t="s">
        <v>87</v>
      </c>
      <c r="O1029" s="15"/>
      <c r="P1029" s="16" t="s">
        <v>254</v>
      </c>
      <c r="Q1029" s="17">
        <v>13199</v>
      </c>
      <c r="R1029" s="18">
        <v>45</v>
      </c>
      <c r="S1029" s="19">
        <v>8348.3674999999985</v>
      </c>
      <c r="T1029" s="20" t="s">
        <v>75</v>
      </c>
      <c r="U1029" s="21" t="s">
        <v>173</v>
      </c>
      <c r="V1029" s="25" t="s">
        <v>63</v>
      </c>
      <c r="W1029" s="22">
        <v>4</v>
      </c>
      <c r="X1029" s="23"/>
    </row>
    <row r="1030" spans="1:24" s="1" customFormat="1" ht="26" customHeight="1" x14ac:dyDescent="0.3">
      <c r="A1030" s="24" t="s">
        <v>23</v>
      </c>
      <c r="B1030" s="24" t="s">
        <v>982</v>
      </c>
      <c r="C1030" s="12" t="s">
        <v>983</v>
      </c>
      <c r="D1030" s="58"/>
      <c r="E1030" s="43" t="str">
        <f>HYPERLINK("https://www.google.ru/search?q=04511-5474&amp;newwindow=1&amp;tbm=isch","Еще фото")</f>
        <v>Еще фото</v>
      </c>
      <c r="F1030" s="14" t="s">
        <v>854</v>
      </c>
      <c r="G1030" s="24" t="s">
        <v>237</v>
      </c>
      <c r="H1030" s="24" t="s">
        <v>27</v>
      </c>
      <c r="I1030" s="24" t="s">
        <v>237</v>
      </c>
      <c r="J1030" s="15" t="s">
        <v>28</v>
      </c>
      <c r="K1030" s="16" t="s">
        <v>57</v>
      </c>
      <c r="L1030" s="61"/>
      <c r="M1030" s="15"/>
      <c r="N1030" s="15" t="s">
        <v>87</v>
      </c>
      <c r="O1030" s="15"/>
      <c r="P1030" s="16" t="s">
        <v>254</v>
      </c>
      <c r="Q1030" s="17">
        <v>13199</v>
      </c>
      <c r="R1030" s="18">
        <v>45</v>
      </c>
      <c r="S1030" s="19">
        <v>8348.3674999999985</v>
      </c>
      <c r="T1030" s="20" t="s">
        <v>75</v>
      </c>
      <c r="U1030" s="21" t="s">
        <v>53</v>
      </c>
      <c r="V1030" s="22">
        <v>46</v>
      </c>
      <c r="W1030" s="22">
        <v>14</v>
      </c>
      <c r="X1030" s="23"/>
    </row>
    <row r="1031" spans="1:24" s="1" customFormat="1" ht="26" customHeight="1" x14ac:dyDescent="0.3">
      <c r="A1031" s="24" t="s">
        <v>23</v>
      </c>
      <c r="B1031" s="24" t="s">
        <v>982</v>
      </c>
      <c r="C1031" s="12" t="s">
        <v>983</v>
      </c>
      <c r="D1031" s="58"/>
      <c r="E1031" s="43" t="str">
        <f>HYPERLINK("https://www.google.ru/search?q=04511-5474&amp;newwindow=1&amp;tbm=isch","Еще фото")</f>
        <v>Еще фото</v>
      </c>
      <c r="F1031" s="14" t="s">
        <v>854</v>
      </c>
      <c r="G1031" s="24" t="s">
        <v>237</v>
      </c>
      <c r="H1031" s="24" t="s">
        <v>27</v>
      </c>
      <c r="I1031" s="24" t="s">
        <v>237</v>
      </c>
      <c r="J1031" s="15" t="s">
        <v>28</v>
      </c>
      <c r="K1031" s="16" t="s">
        <v>57</v>
      </c>
      <c r="L1031" s="61"/>
      <c r="M1031" s="15"/>
      <c r="N1031" s="15" t="s">
        <v>87</v>
      </c>
      <c r="O1031" s="15"/>
      <c r="P1031" s="16" t="s">
        <v>254</v>
      </c>
      <c r="Q1031" s="17">
        <v>13199</v>
      </c>
      <c r="R1031" s="18">
        <v>45</v>
      </c>
      <c r="S1031" s="19">
        <v>8348.3674999999985</v>
      </c>
      <c r="T1031" s="20" t="s">
        <v>75</v>
      </c>
      <c r="U1031" s="21" t="s">
        <v>109</v>
      </c>
      <c r="V1031" s="25" t="s">
        <v>65</v>
      </c>
      <c r="W1031" s="22">
        <v>12</v>
      </c>
      <c r="X1031" s="23"/>
    </row>
    <row r="1032" spans="1:24" s="1" customFormat="1" ht="26" customHeight="1" x14ac:dyDescent="0.3">
      <c r="A1032" s="24" t="s">
        <v>23</v>
      </c>
      <c r="B1032" s="24" t="s">
        <v>982</v>
      </c>
      <c r="C1032" s="12" t="s">
        <v>983</v>
      </c>
      <c r="D1032" s="59"/>
      <c r="E1032" s="43" t="str">
        <f>HYPERLINK("https://www.google.ru/search?q=04511-5474&amp;newwindow=1&amp;tbm=isch","Еще фото")</f>
        <v>Еще фото</v>
      </c>
      <c r="F1032" s="14" t="s">
        <v>854</v>
      </c>
      <c r="G1032" s="24" t="s">
        <v>237</v>
      </c>
      <c r="H1032" s="24" t="s">
        <v>27</v>
      </c>
      <c r="I1032" s="24" t="s">
        <v>237</v>
      </c>
      <c r="J1032" s="15" t="s">
        <v>28</v>
      </c>
      <c r="K1032" s="16" t="s">
        <v>57</v>
      </c>
      <c r="L1032" s="62"/>
      <c r="M1032" s="15"/>
      <c r="N1032" s="15" t="s">
        <v>87</v>
      </c>
      <c r="O1032" s="15"/>
      <c r="P1032" s="16" t="s">
        <v>254</v>
      </c>
      <c r="Q1032" s="17">
        <v>13199</v>
      </c>
      <c r="R1032" s="18">
        <v>45</v>
      </c>
      <c r="S1032" s="19">
        <v>8348.3674999999985</v>
      </c>
      <c r="T1032" s="20" t="s">
        <v>75</v>
      </c>
      <c r="U1032" s="21" t="s">
        <v>140</v>
      </c>
      <c r="V1032" s="25" t="s">
        <v>65</v>
      </c>
      <c r="W1032" s="22">
        <v>1</v>
      </c>
      <c r="X1032" s="23"/>
    </row>
    <row r="1033" spans="1:24" s="1" customFormat="1" ht="108" customHeight="1" x14ac:dyDescent="0.3">
      <c r="A1033" s="11" t="s">
        <v>23</v>
      </c>
      <c r="B1033" s="11" t="s">
        <v>531</v>
      </c>
      <c r="C1033" s="12" t="s">
        <v>984</v>
      </c>
      <c r="D1033" s="13"/>
      <c r="E1033" s="43" t="str">
        <f>HYPERLINK("https://www.google.ru/search?q=04511-5537&amp;newwindow=1&amp;tbm=isch","Еще фото")</f>
        <v>Еще фото</v>
      </c>
      <c r="F1033" s="14" t="s">
        <v>182</v>
      </c>
      <c r="G1033" s="11" t="s">
        <v>237</v>
      </c>
      <c r="H1033" s="11" t="s">
        <v>27</v>
      </c>
      <c r="I1033" s="15" t="s">
        <v>237</v>
      </c>
      <c r="J1033" s="15" t="s">
        <v>37</v>
      </c>
      <c r="K1033" s="16" t="s">
        <v>57</v>
      </c>
      <c r="L1033" s="15" t="s">
        <v>439</v>
      </c>
      <c r="M1033" s="15"/>
      <c r="N1033" s="15" t="s">
        <v>87</v>
      </c>
      <c r="O1033" s="15"/>
      <c r="P1033" s="16" t="s">
        <v>358</v>
      </c>
      <c r="Q1033" s="17">
        <v>18899</v>
      </c>
      <c r="R1033" s="18">
        <v>45</v>
      </c>
      <c r="S1033" s="19">
        <v>11953.6175</v>
      </c>
      <c r="T1033" s="20" t="s">
        <v>75</v>
      </c>
      <c r="U1033" s="21" t="s">
        <v>165</v>
      </c>
      <c r="V1033" s="22">
        <v>48</v>
      </c>
      <c r="W1033" s="22">
        <v>1</v>
      </c>
      <c r="X1033" s="23"/>
    </row>
    <row r="1034" spans="1:24" s="1" customFormat="1" ht="35" customHeight="1" x14ac:dyDescent="0.3">
      <c r="A1034" s="11" t="s">
        <v>23</v>
      </c>
      <c r="B1034" s="11" t="s">
        <v>985</v>
      </c>
      <c r="C1034" s="12" t="s">
        <v>986</v>
      </c>
      <c r="D1034" s="57"/>
      <c r="E1034" s="43" t="str">
        <f>HYPERLINK("https://www.google.ru/search?q=04511-5656&amp;newwindow=1&amp;tbm=isch","Еще фото")</f>
        <v>Еще фото</v>
      </c>
      <c r="F1034" s="34" t="s">
        <v>469</v>
      </c>
      <c r="G1034" s="11" t="s">
        <v>237</v>
      </c>
      <c r="H1034" s="11" t="s">
        <v>27</v>
      </c>
      <c r="I1034" s="15" t="s">
        <v>237</v>
      </c>
      <c r="J1034" s="15" t="s">
        <v>37</v>
      </c>
      <c r="K1034" s="16" t="s">
        <v>57</v>
      </c>
      <c r="L1034" s="60" t="s">
        <v>418</v>
      </c>
      <c r="M1034" s="15"/>
      <c r="N1034" s="15" t="s">
        <v>249</v>
      </c>
      <c r="O1034" s="15"/>
      <c r="P1034" s="16" t="s">
        <v>358</v>
      </c>
      <c r="Q1034" s="17">
        <v>13899</v>
      </c>
      <c r="R1034" s="18">
        <v>45</v>
      </c>
      <c r="S1034" s="19">
        <v>8791.1174999999985</v>
      </c>
      <c r="T1034" s="20" t="s">
        <v>75</v>
      </c>
      <c r="U1034" s="21" t="s">
        <v>51</v>
      </c>
      <c r="V1034" s="22">
        <v>44</v>
      </c>
      <c r="W1034" s="22">
        <v>2</v>
      </c>
      <c r="X1034" s="23"/>
    </row>
    <row r="1035" spans="1:24" s="1" customFormat="1" ht="35" customHeight="1" x14ac:dyDescent="0.3">
      <c r="A1035" s="24" t="s">
        <v>23</v>
      </c>
      <c r="B1035" s="24" t="s">
        <v>985</v>
      </c>
      <c r="C1035" s="12" t="s">
        <v>986</v>
      </c>
      <c r="D1035" s="58"/>
      <c r="E1035" s="43" t="str">
        <f>HYPERLINK("https://www.google.ru/search?q=04511-5656&amp;newwindow=1&amp;tbm=isch","Еще фото")</f>
        <v>Еще фото</v>
      </c>
      <c r="F1035" s="34" t="s">
        <v>469</v>
      </c>
      <c r="G1035" s="24" t="s">
        <v>237</v>
      </c>
      <c r="H1035" s="24" t="s">
        <v>27</v>
      </c>
      <c r="I1035" s="24" t="s">
        <v>237</v>
      </c>
      <c r="J1035" s="15" t="s">
        <v>37</v>
      </c>
      <c r="K1035" s="16" t="s">
        <v>57</v>
      </c>
      <c r="L1035" s="61"/>
      <c r="M1035" s="15"/>
      <c r="N1035" s="15" t="s">
        <v>249</v>
      </c>
      <c r="O1035" s="15"/>
      <c r="P1035" s="16" t="s">
        <v>358</v>
      </c>
      <c r="Q1035" s="17">
        <v>13899</v>
      </c>
      <c r="R1035" s="18">
        <v>45</v>
      </c>
      <c r="S1035" s="19">
        <v>8791.1174999999985</v>
      </c>
      <c r="T1035" s="20" t="s">
        <v>75</v>
      </c>
      <c r="U1035" s="21" t="s">
        <v>200</v>
      </c>
      <c r="V1035" s="25" t="s">
        <v>96</v>
      </c>
      <c r="W1035" s="22">
        <v>2</v>
      </c>
      <c r="X1035" s="23"/>
    </row>
    <row r="1036" spans="1:24" s="1" customFormat="1" ht="37.049999999999997" customHeight="1" x14ac:dyDescent="0.3">
      <c r="A1036" s="24" t="s">
        <v>23</v>
      </c>
      <c r="B1036" s="24" t="s">
        <v>985</v>
      </c>
      <c r="C1036" s="12" t="s">
        <v>986</v>
      </c>
      <c r="D1036" s="59"/>
      <c r="E1036" s="43" t="str">
        <f>HYPERLINK("https://www.google.ru/search?q=04511-5656&amp;newwindow=1&amp;tbm=isch","Еще фото")</f>
        <v>Еще фото</v>
      </c>
      <c r="F1036" s="34" t="s">
        <v>469</v>
      </c>
      <c r="G1036" s="24" t="s">
        <v>237</v>
      </c>
      <c r="H1036" s="24" t="s">
        <v>27</v>
      </c>
      <c r="I1036" s="24" t="s">
        <v>237</v>
      </c>
      <c r="J1036" s="15" t="s">
        <v>37</v>
      </c>
      <c r="K1036" s="16" t="s">
        <v>57</v>
      </c>
      <c r="L1036" s="62"/>
      <c r="M1036" s="15"/>
      <c r="N1036" s="15" t="s">
        <v>249</v>
      </c>
      <c r="O1036" s="15"/>
      <c r="P1036" s="16" t="s">
        <v>358</v>
      </c>
      <c r="Q1036" s="17">
        <v>13899</v>
      </c>
      <c r="R1036" s="18">
        <v>45</v>
      </c>
      <c r="S1036" s="19">
        <v>8791.1174999999985</v>
      </c>
      <c r="T1036" s="20" t="s">
        <v>75</v>
      </c>
      <c r="U1036" s="21" t="s">
        <v>865</v>
      </c>
      <c r="V1036" s="22">
        <v>52</v>
      </c>
      <c r="W1036" s="22">
        <v>1</v>
      </c>
      <c r="X1036" s="23"/>
    </row>
    <row r="1037" spans="1:24" s="1" customFormat="1" ht="52.05" customHeight="1" x14ac:dyDescent="0.3">
      <c r="A1037" s="11" t="s">
        <v>23</v>
      </c>
      <c r="B1037" s="11" t="s">
        <v>987</v>
      </c>
      <c r="C1037" s="12" t="s">
        <v>988</v>
      </c>
      <c r="D1037" s="63"/>
      <c r="E1037" s="43" t="str">
        <f>HYPERLINK("https://www.google.ru/search?q=04511-5830&amp;newwindow=1&amp;tbm=isch","Еще фото")</f>
        <v>Еще фото</v>
      </c>
      <c r="F1037" s="14" t="s">
        <v>854</v>
      </c>
      <c r="G1037" s="11" t="s">
        <v>237</v>
      </c>
      <c r="H1037" s="11" t="s">
        <v>27</v>
      </c>
      <c r="I1037" s="15" t="s">
        <v>237</v>
      </c>
      <c r="J1037" s="15" t="s">
        <v>37</v>
      </c>
      <c r="K1037" s="16" t="s">
        <v>57</v>
      </c>
      <c r="L1037" s="60" t="s">
        <v>439</v>
      </c>
      <c r="M1037" s="15"/>
      <c r="N1037" s="15" t="s">
        <v>130</v>
      </c>
      <c r="O1037" s="15"/>
      <c r="P1037" s="16" t="s">
        <v>802</v>
      </c>
      <c r="Q1037" s="17">
        <v>15199</v>
      </c>
      <c r="R1037" s="18">
        <v>45</v>
      </c>
      <c r="S1037" s="19">
        <v>9613.3675000000003</v>
      </c>
      <c r="T1037" s="20" t="s">
        <v>75</v>
      </c>
      <c r="U1037" s="21" t="s">
        <v>173</v>
      </c>
      <c r="V1037" s="25" t="s">
        <v>63</v>
      </c>
      <c r="W1037" s="22">
        <v>4</v>
      </c>
      <c r="X1037" s="23"/>
    </row>
    <row r="1038" spans="1:24" s="1" customFormat="1" ht="61.05" customHeight="1" x14ac:dyDescent="0.3">
      <c r="A1038" s="24" t="s">
        <v>23</v>
      </c>
      <c r="B1038" s="24" t="s">
        <v>987</v>
      </c>
      <c r="C1038" s="12" t="s">
        <v>988</v>
      </c>
      <c r="D1038" s="64"/>
      <c r="E1038" s="43" t="str">
        <f>HYPERLINK("https://www.google.ru/search?q=04511-5830&amp;newwindow=1&amp;tbm=isch","Еще фото")</f>
        <v>Еще фото</v>
      </c>
      <c r="F1038" s="14" t="s">
        <v>854</v>
      </c>
      <c r="G1038" s="24" t="s">
        <v>237</v>
      </c>
      <c r="H1038" s="24" t="s">
        <v>27</v>
      </c>
      <c r="I1038" s="24" t="s">
        <v>237</v>
      </c>
      <c r="J1038" s="15" t="s">
        <v>37</v>
      </c>
      <c r="K1038" s="16" t="s">
        <v>57</v>
      </c>
      <c r="L1038" s="62"/>
      <c r="M1038" s="15"/>
      <c r="N1038" s="15" t="s">
        <v>130</v>
      </c>
      <c r="O1038" s="15"/>
      <c r="P1038" s="16" t="s">
        <v>802</v>
      </c>
      <c r="Q1038" s="17">
        <v>15199</v>
      </c>
      <c r="R1038" s="18">
        <v>45</v>
      </c>
      <c r="S1038" s="19">
        <v>9613.3675000000003</v>
      </c>
      <c r="T1038" s="20" t="s">
        <v>75</v>
      </c>
      <c r="U1038" s="21" t="s">
        <v>53</v>
      </c>
      <c r="V1038" s="22">
        <v>46</v>
      </c>
      <c r="W1038" s="22">
        <v>6</v>
      </c>
      <c r="X1038" s="23"/>
    </row>
    <row r="1039" spans="1:24" s="1" customFormat="1" ht="108" customHeight="1" x14ac:dyDescent="0.3">
      <c r="A1039" s="11" t="s">
        <v>23</v>
      </c>
      <c r="B1039" s="11" t="s">
        <v>821</v>
      </c>
      <c r="C1039" s="12" t="s">
        <v>989</v>
      </c>
      <c r="D1039" s="13"/>
      <c r="E1039" s="43" t="str">
        <f>HYPERLINK("https://www.google.ru/search?q=04511-6127&amp;newwindow=1&amp;tbm=isch","Еще фото")</f>
        <v>Еще фото</v>
      </c>
      <c r="F1039" s="14" t="s">
        <v>182</v>
      </c>
      <c r="G1039" s="11" t="s">
        <v>237</v>
      </c>
      <c r="H1039" s="11" t="s">
        <v>27</v>
      </c>
      <c r="I1039" s="15" t="s">
        <v>237</v>
      </c>
      <c r="J1039" s="15" t="s">
        <v>37</v>
      </c>
      <c r="K1039" s="16" t="s">
        <v>57</v>
      </c>
      <c r="L1039" s="15" t="s">
        <v>533</v>
      </c>
      <c r="M1039" s="15"/>
      <c r="N1039" s="15" t="s">
        <v>130</v>
      </c>
      <c r="O1039" s="15"/>
      <c r="P1039" s="16" t="s">
        <v>891</v>
      </c>
      <c r="Q1039" s="17">
        <v>15699</v>
      </c>
      <c r="R1039" s="18">
        <v>45</v>
      </c>
      <c r="S1039" s="19">
        <v>9929.6175000000003</v>
      </c>
      <c r="T1039" s="20" t="s">
        <v>75</v>
      </c>
      <c r="U1039" s="21" t="s">
        <v>173</v>
      </c>
      <c r="V1039" s="25" t="s">
        <v>63</v>
      </c>
      <c r="W1039" s="22">
        <v>1</v>
      </c>
      <c r="X1039" s="23"/>
    </row>
    <row r="1040" spans="1:24" s="1" customFormat="1" ht="17" customHeight="1" x14ac:dyDescent="0.3">
      <c r="A1040" s="11" t="s">
        <v>23</v>
      </c>
      <c r="B1040" s="11" t="s">
        <v>821</v>
      </c>
      <c r="C1040" s="12" t="s">
        <v>990</v>
      </c>
      <c r="D1040" s="57"/>
      <c r="E1040" s="43" t="str">
        <f t="shared" ref="E1040:E1045" si="61">HYPERLINK("https://www.google.ru/search?q=04511-6136&amp;newwindow=1&amp;tbm=isch","Еще фото")</f>
        <v>Еще фото</v>
      </c>
      <c r="F1040" s="14"/>
      <c r="G1040" s="11" t="s">
        <v>237</v>
      </c>
      <c r="H1040" s="11" t="s">
        <v>27</v>
      </c>
      <c r="I1040" s="15" t="s">
        <v>237</v>
      </c>
      <c r="J1040" s="15" t="s">
        <v>37</v>
      </c>
      <c r="K1040" s="16" t="s">
        <v>57</v>
      </c>
      <c r="L1040" s="60" t="s">
        <v>533</v>
      </c>
      <c r="M1040" s="15"/>
      <c r="N1040" s="15" t="s">
        <v>130</v>
      </c>
      <c r="O1040" s="15"/>
      <c r="P1040" s="16" t="s">
        <v>685</v>
      </c>
      <c r="Q1040" s="17">
        <v>17199</v>
      </c>
      <c r="R1040" s="18">
        <v>45</v>
      </c>
      <c r="S1040" s="19">
        <v>10878.3675</v>
      </c>
      <c r="T1040" s="20" t="s">
        <v>75</v>
      </c>
      <c r="U1040" s="21" t="s">
        <v>173</v>
      </c>
      <c r="V1040" s="25" t="s">
        <v>63</v>
      </c>
      <c r="W1040" s="22">
        <v>2</v>
      </c>
      <c r="X1040" s="23"/>
    </row>
    <row r="1041" spans="1:24" s="1" customFormat="1" ht="17" customHeight="1" x14ac:dyDescent="0.3">
      <c r="A1041" s="24" t="s">
        <v>23</v>
      </c>
      <c r="B1041" s="24" t="s">
        <v>821</v>
      </c>
      <c r="C1041" s="12" t="s">
        <v>990</v>
      </c>
      <c r="D1041" s="58"/>
      <c r="E1041" s="43" t="str">
        <f t="shared" si="61"/>
        <v>Еще фото</v>
      </c>
      <c r="F1041" s="14"/>
      <c r="G1041" s="24" t="s">
        <v>237</v>
      </c>
      <c r="H1041" s="24" t="s">
        <v>27</v>
      </c>
      <c r="I1041" s="24" t="s">
        <v>237</v>
      </c>
      <c r="J1041" s="15" t="s">
        <v>37</v>
      </c>
      <c r="K1041" s="16" t="s">
        <v>57</v>
      </c>
      <c r="L1041" s="61"/>
      <c r="M1041" s="15"/>
      <c r="N1041" s="15" t="s">
        <v>130</v>
      </c>
      <c r="O1041" s="15"/>
      <c r="P1041" s="16" t="s">
        <v>685</v>
      </c>
      <c r="Q1041" s="17">
        <v>17199</v>
      </c>
      <c r="R1041" s="18">
        <v>45</v>
      </c>
      <c r="S1041" s="19">
        <v>10878.3675</v>
      </c>
      <c r="T1041" s="20" t="s">
        <v>75</v>
      </c>
      <c r="U1041" s="21" t="s">
        <v>53</v>
      </c>
      <c r="V1041" s="22">
        <v>46</v>
      </c>
      <c r="W1041" s="22">
        <v>3</v>
      </c>
      <c r="X1041" s="23"/>
    </row>
    <row r="1042" spans="1:24" s="1" customFormat="1" ht="17" customHeight="1" x14ac:dyDescent="0.3">
      <c r="A1042" s="24" t="s">
        <v>23</v>
      </c>
      <c r="B1042" s="24" t="s">
        <v>821</v>
      </c>
      <c r="C1042" s="12" t="s">
        <v>990</v>
      </c>
      <c r="D1042" s="58"/>
      <c r="E1042" s="43" t="str">
        <f t="shared" si="61"/>
        <v>Еще фото</v>
      </c>
      <c r="F1042" s="14"/>
      <c r="G1042" s="24" t="s">
        <v>237</v>
      </c>
      <c r="H1042" s="24" t="s">
        <v>27</v>
      </c>
      <c r="I1042" s="24" t="s">
        <v>237</v>
      </c>
      <c r="J1042" s="15" t="s">
        <v>37</v>
      </c>
      <c r="K1042" s="16" t="s">
        <v>57</v>
      </c>
      <c r="L1042" s="61"/>
      <c r="M1042" s="15"/>
      <c r="N1042" s="15" t="s">
        <v>130</v>
      </c>
      <c r="O1042" s="15"/>
      <c r="P1042" s="16" t="s">
        <v>685</v>
      </c>
      <c r="Q1042" s="17">
        <v>17199</v>
      </c>
      <c r="R1042" s="18">
        <v>45</v>
      </c>
      <c r="S1042" s="19">
        <v>10878.3675</v>
      </c>
      <c r="T1042" s="20" t="s">
        <v>75</v>
      </c>
      <c r="U1042" s="21" t="s">
        <v>95</v>
      </c>
      <c r="V1042" s="22">
        <v>48</v>
      </c>
      <c r="W1042" s="22">
        <v>1</v>
      </c>
      <c r="X1042" s="23"/>
    </row>
    <row r="1043" spans="1:24" s="1" customFormat="1" ht="17" customHeight="1" x14ac:dyDescent="0.3">
      <c r="A1043" s="24" t="s">
        <v>23</v>
      </c>
      <c r="B1043" s="24" t="s">
        <v>821</v>
      </c>
      <c r="C1043" s="12" t="s">
        <v>990</v>
      </c>
      <c r="D1043" s="58"/>
      <c r="E1043" s="43" t="str">
        <f t="shared" si="61"/>
        <v>Еще фото</v>
      </c>
      <c r="F1043" s="14"/>
      <c r="G1043" s="24" t="s">
        <v>237</v>
      </c>
      <c r="H1043" s="24" t="s">
        <v>27</v>
      </c>
      <c r="I1043" s="24" t="s">
        <v>237</v>
      </c>
      <c r="J1043" s="15" t="s">
        <v>37</v>
      </c>
      <c r="K1043" s="16" t="s">
        <v>57</v>
      </c>
      <c r="L1043" s="61"/>
      <c r="M1043" s="15"/>
      <c r="N1043" s="15" t="s">
        <v>130</v>
      </c>
      <c r="O1043" s="15"/>
      <c r="P1043" s="16" t="s">
        <v>685</v>
      </c>
      <c r="Q1043" s="17">
        <v>17199</v>
      </c>
      <c r="R1043" s="18">
        <v>45</v>
      </c>
      <c r="S1043" s="19">
        <v>10878.3675</v>
      </c>
      <c r="T1043" s="20" t="s">
        <v>75</v>
      </c>
      <c r="U1043" s="21" t="s">
        <v>165</v>
      </c>
      <c r="V1043" s="22">
        <v>48</v>
      </c>
      <c r="W1043" s="22">
        <v>1</v>
      </c>
      <c r="X1043" s="23"/>
    </row>
    <row r="1044" spans="1:24" s="1" customFormat="1" ht="17" customHeight="1" x14ac:dyDescent="0.3">
      <c r="A1044" s="24" t="s">
        <v>23</v>
      </c>
      <c r="B1044" s="24" t="s">
        <v>821</v>
      </c>
      <c r="C1044" s="12" t="s">
        <v>990</v>
      </c>
      <c r="D1044" s="58"/>
      <c r="E1044" s="43" t="str">
        <f t="shared" si="61"/>
        <v>Еще фото</v>
      </c>
      <c r="F1044" s="14"/>
      <c r="G1044" s="24" t="s">
        <v>237</v>
      </c>
      <c r="H1044" s="24" t="s">
        <v>27</v>
      </c>
      <c r="I1044" s="24" t="s">
        <v>237</v>
      </c>
      <c r="J1044" s="15" t="s">
        <v>37</v>
      </c>
      <c r="K1044" s="16" t="s">
        <v>57</v>
      </c>
      <c r="L1044" s="61"/>
      <c r="M1044" s="15"/>
      <c r="N1044" s="15" t="s">
        <v>130</v>
      </c>
      <c r="O1044" s="15"/>
      <c r="P1044" s="16" t="s">
        <v>685</v>
      </c>
      <c r="Q1044" s="17">
        <v>17199</v>
      </c>
      <c r="R1044" s="18">
        <v>45</v>
      </c>
      <c r="S1044" s="19">
        <v>10878.3675</v>
      </c>
      <c r="T1044" s="20" t="s">
        <v>75</v>
      </c>
      <c r="U1044" s="21" t="s">
        <v>166</v>
      </c>
      <c r="V1044" s="25" t="s">
        <v>96</v>
      </c>
      <c r="W1044" s="22">
        <v>2</v>
      </c>
      <c r="X1044" s="23"/>
    </row>
    <row r="1045" spans="1:24" s="1" customFormat="1" ht="22.05" customHeight="1" x14ac:dyDescent="0.3">
      <c r="A1045" s="24" t="s">
        <v>23</v>
      </c>
      <c r="B1045" s="24" t="s">
        <v>821</v>
      </c>
      <c r="C1045" s="12" t="s">
        <v>990</v>
      </c>
      <c r="D1045" s="59"/>
      <c r="E1045" s="43" t="str">
        <f t="shared" si="61"/>
        <v>Еще фото</v>
      </c>
      <c r="F1045" s="14"/>
      <c r="G1045" s="24" t="s">
        <v>237</v>
      </c>
      <c r="H1045" s="24" t="s">
        <v>27</v>
      </c>
      <c r="I1045" s="24" t="s">
        <v>237</v>
      </c>
      <c r="J1045" s="15" t="s">
        <v>37</v>
      </c>
      <c r="K1045" s="16" t="s">
        <v>57</v>
      </c>
      <c r="L1045" s="62"/>
      <c r="M1045" s="15"/>
      <c r="N1045" s="15" t="s">
        <v>130</v>
      </c>
      <c r="O1045" s="15"/>
      <c r="P1045" s="16" t="s">
        <v>685</v>
      </c>
      <c r="Q1045" s="17">
        <v>17199</v>
      </c>
      <c r="R1045" s="18">
        <v>45</v>
      </c>
      <c r="S1045" s="19">
        <v>10878.3675</v>
      </c>
      <c r="T1045" s="20" t="s">
        <v>75</v>
      </c>
      <c r="U1045" s="21" t="s">
        <v>89</v>
      </c>
      <c r="V1045" s="22">
        <v>50</v>
      </c>
      <c r="W1045" s="22">
        <v>2</v>
      </c>
      <c r="X1045" s="23"/>
    </row>
    <row r="1046" spans="1:24" s="1" customFormat="1" ht="11" customHeight="1" x14ac:dyDescent="0.3">
      <c r="A1046" s="11" t="s">
        <v>23</v>
      </c>
      <c r="B1046" s="11" t="s">
        <v>821</v>
      </c>
      <c r="C1046" s="12" t="s">
        <v>991</v>
      </c>
      <c r="D1046" s="57"/>
      <c r="E1046" s="43" t="str">
        <f t="shared" ref="E1046:E1056" si="62">HYPERLINK("https://www.google.ru/search?q=04511-6137&amp;newwindow=1&amp;tbm=isch","Еще фото")</f>
        <v>Еще фото</v>
      </c>
      <c r="F1046" s="14" t="s">
        <v>182</v>
      </c>
      <c r="G1046" s="11" t="s">
        <v>237</v>
      </c>
      <c r="H1046" s="11" t="s">
        <v>27</v>
      </c>
      <c r="I1046" s="15" t="s">
        <v>237</v>
      </c>
      <c r="J1046" s="15" t="s">
        <v>37</v>
      </c>
      <c r="K1046" s="16" t="s">
        <v>57</v>
      </c>
      <c r="L1046" s="60" t="s">
        <v>533</v>
      </c>
      <c r="M1046" s="15"/>
      <c r="N1046" s="15" t="s">
        <v>130</v>
      </c>
      <c r="O1046" s="15"/>
      <c r="P1046" s="16" t="s">
        <v>685</v>
      </c>
      <c r="Q1046" s="17">
        <v>17099</v>
      </c>
      <c r="R1046" s="18">
        <v>45</v>
      </c>
      <c r="S1046" s="19">
        <v>10815.1175</v>
      </c>
      <c r="T1046" s="20" t="s">
        <v>75</v>
      </c>
      <c r="U1046" s="21" t="s">
        <v>173</v>
      </c>
      <c r="V1046" s="25" t="s">
        <v>63</v>
      </c>
      <c r="W1046" s="22">
        <v>2</v>
      </c>
      <c r="X1046" s="23"/>
    </row>
    <row r="1047" spans="1:24" s="1" customFormat="1" ht="11" customHeight="1" x14ac:dyDescent="0.3">
      <c r="A1047" s="24" t="s">
        <v>23</v>
      </c>
      <c r="B1047" s="24" t="s">
        <v>821</v>
      </c>
      <c r="C1047" s="12" t="s">
        <v>991</v>
      </c>
      <c r="D1047" s="58"/>
      <c r="E1047" s="43" t="str">
        <f t="shared" si="62"/>
        <v>Еще фото</v>
      </c>
      <c r="F1047" s="14" t="s">
        <v>182</v>
      </c>
      <c r="G1047" s="24" t="s">
        <v>237</v>
      </c>
      <c r="H1047" s="24" t="s">
        <v>27</v>
      </c>
      <c r="I1047" s="24" t="s">
        <v>237</v>
      </c>
      <c r="J1047" s="15" t="s">
        <v>37</v>
      </c>
      <c r="K1047" s="16" t="s">
        <v>57</v>
      </c>
      <c r="L1047" s="61"/>
      <c r="M1047" s="15"/>
      <c r="N1047" s="15" t="s">
        <v>130</v>
      </c>
      <c r="O1047" s="15"/>
      <c r="P1047" s="16" t="s">
        <v>685</v>
      </c>
      <c r="Q1047" s="17">
        <v>17099</v>
      </c>
      <c r="R1047" s="18">
        <v>45</v>
      </c>
      <c r="S1047" s="19">
        <v>10815.1175</v>
      </c>
      <c r="T1047" s="20" t="s">
        <v>75</v>
      </c>
      <c r="U1047" s="21" t="s">
        <v>52</v>
      </c>
      <c r="V1047" s="22">
        <v>46</v>
      </c>
      <c r="W1047" s="22">
        <v>2</v>
      </c>
      <c r="X1047" s="23"/>
    </row>
    <row r="1048" spans="1:24" s="1" customFormat="1" ht="11" customHeight="1" x14ac:dyDescent="0.3">
      <c r="A1048" s="24" t="s">
        <v>23</v>
      </c>
      <c r="B1048" s="24" t="s">
        <v>821</v>
      </c>
      <c r="C1048" s="12" t="s">
        <v>991</v>
      </c>
      <c r="D1048" s="58"/>
      <c r="E1048" s="43" t="str">
        <f t="shared" si="62"/>
        <v>Еще фото</v>
      </c>
      <c r="F1048" s="14" t="s">
        <v>182</v>
      </c>
      <c r="G1048" s="24" t="s">
        <v>237</v>
      </c>
      <c r="H1048" s="24" t="s">
        <v>27</v>
      </c>
      <c r="I1048" s="24" t="s">
        <v>237</v>
      </c>
      <c r="J1048" s="15" t="s">
        <v>37</v>
      </c>
      <c r="K1048" s="16" t="s">
        <v>57</v>
      </c>
      <c r="L1048" s="61"/>
      <c r="M1048" s="15"/>
      <c r="N1048" s="15" t="s">
        <v>130</v>
      </c>
      <c r="O1048" s="15"/>
      <c r="P1048" s="16" t="s">
        <v>685</v>
      </c>
      <c r="Q1048" s="17">
        <v>17099</v>
      </c>
      <c r="R1048" s="18">
        <v>45</v>
      </c>
      <c r="S1048" s="19">
        <v>10815.1175</v>
      </c>
      <c r="T1048" s="20" t="s">
        <v>75</v>
      </c>
      <c r="U1048" s="21" t="s">
        <v>53</v>
      </c>
      <c r="V1048" s="22">
        <v>46</v>
      </c>
      <c r="W1048" s="22">
        <v>1</v>
      </c>
      <c r="X1048" s="23"/>
    </row>
    <row r="1049" spans="1:24" s="1" customFormat="1" ht="11" customHeight="1" x14ac:dyDescent="0.3">
      <c r="A1049" s="24" t="s">
        <v>23</v>
      </c>
      <c r="B1049" s="24" t="s">
        <v>821</v>
      </c>
      <c r="C1049" s="12" t="s">
        <v>991</v>
      </c>
      <c r="D1049" s="58"/>
      <c r="E1049" s="43" t="str">
        <f t="shared" si="62"/>
        <v>Еще фото</v>
      </c>
      <c r="F1049" s="14" t="s">
        <v>182</v>
      </c>
      <c r="G1049" s="24" t="s">
        <v>237</v>
      </c>
      <c r="H1049" s="24" t="s">
        <v>27</v>
      </c>
      <c r="I1049" s="24" t="s">
        <v>237</v>
      </c>
      <c r="J1049" s="15" t="s">
        <v>37</v>
      </c>
      <c r="K1049" s="16" t="s">
        <v>57</v>
      </c>
      <c r="L1049" s="61"/>
      <c r="M1049" s="15"/>
      <c r="N1049" s="15" t="s">
        <v>130</v>
      </c>
      <c r="O1049" s="15"/>
      <c r="P1049" s="16" t="s">
        <v>685</v>
      </c>
      <c r="Q1049" s="17">
        <v>17099</v>
      </c>
      <c r="R1049" s="18">
        <v>45</v>
      </c>
      <c r="S1049" s="19">
        <v>10815.1175</v>
      </c>
      <c r="T1049" s="20" t="s">
        <v>75</v>
      </c>
      <c r="U1049" s="21" t="s">
        <v>109</v>
      </c>
      <c r="V1049" s="25" t="s">
        <v>65</v>
      </c>
      <c r="W1049" s="22">
        <v>1</v>
      </c>
      <c r="X1049" s="23"/>
    </row>
    <row r="1050" spans="1:24" s="1" customFormat="1" ht="11" customHeight="1" x14ac:dyDescent="0.3">
      <c r="A1050" s="24" t="s">
        <v>23</v>
      </c>
      <c r="B1050" s="24" t="s">
        <v>821</v>
      </c>
      <c r="C1050" s="12" t="s">
        <v>991</v>
      </c>
      <c r="D1050" s="58"/>
      <c r="E1050" s="43" t="str">
        <f t="shared" si="62"/>
        <v>Еще фото</v>
      </c>
      <c r="F1050" s="14" t="s">
        <v>182</v>
      </c>
      <c r="G1050" s="24" t="s">
        <v>237</v>
      </c>
      <c r="H1050" s="24" t="s">
        <v>27</v>
      </c>
      <c r="I1050" s="24" t="s">
        <v>237</v>
      </c>
      <c r="J1050" s="15" t="s">
        <v>37</v>
      </c>
      <c r="K1050" s="16" t="s">
        <v>57</v>
      </c>
      <c r="L1050" s="61"/>
      <c r="M1050" s="15"/>
      <c r="N1050" s="15" t="s">
        <v>130</v>
      </c>
      <c r="O1050" s="15"/>
      <c r="P1050" s="16" t="s">
        <v>685</v>
      </c>
      <c r="Q1050" s="17">
        <v>17099</v>
      </c>
      <c r="R1050" s="18">
        <v>45</v>
      </c>
      <c r="S1050" s="19">
        <v>10815.1175</v>
      </c>
      <c r="T1050" s="20" t="s">
        <v>75</v>
      </c>
      <c r="U1050" s="21" t="s">
        <v>140</v>
      </c>
      <c r="V1050" s="25" t="s">
        <v>65</v>
      </c>
      <c r="W1050" s="22">
        <v>1</v>
      </c>
      <c r="X1050" s="23"/>
    </row>
    <row r="1051" spans="1:24" s="1" customFormat="1" ht="11" customHeight="1" x14ac:dyDescent="0.3">
      <c r="A1051" s="24" t="s">
        <v>23</v>
      </c>
      <c r="B1051" s="24" t="s">
        <v>821</v>
      </c>
      <c r="C1051" s="12" t="s">
        <v>991</v>
      </c>
      <c r="D1051" s="58"/>
      <c r="E1051" s="43" t="str">
        <f t="shared" si="62"/>
        <v>Еще фото</v>
      </c>
      <c r="F1051" s="14" t="s">
        <v>182</v>
      </c>
      <c r="G1051" s="24" t="s">
        <v>237</v>
      </c>
      <c r="H1051" s="24" t="s">
        <v>27</v>
      </c>
      <c r="I1051" s="24" t="s">
        <v>237</v>
      </c>
      <c r="J1051" s="15" t="s">
        <v>37</v>
      </c>
      <c r="K1051" s="16" t="s">
        <v>57</v>
      </c>
      <c r="L1051" s="61"/>
      <c r="M1051" s="15"/>
      <c r="N1051" s="15" t="s">
        <v>130</v>
      </c>
      <c r="O1051" s="15"/>
      <c r="P1051" s="16" t="s">
        <v>685</v>
      </c>
      <c r="Q1051" s="17">
        <v>17099</v>
      </c>
      <c r="R1051" s="18">
        <v>45</v>
      </c>
      <c r="S1051" s="19">
        <v>10815.1175</v>
      </c>
      <c r="T1051" s="20" t="s">
        <v>75</v>
      </c>
      <c r="U1051" s="21" t="s">
        <v>95</v>
      </c>
      <c r="V1051" s="22">
        <v>48</v>
      </c>
      <c r="W1051" s="22">
        <v>3</v>
      </c>
      <c r="X1051" s="23"/>
    </row>
    <row r="1052" spans="1:24" s="1" customFormat="1" ht="11" customHeight="1" x14ac:dyDescent="0.3">
      <c r="A1052" s="24" t="s">
        <v>23</v>
      </c>
      <c r="B1052" s="24" t="s">
        <v>821</v>
      </c>
      <c r="C1052" s="12" t="s">
        <v>991</v>
      </c>
      <c r="D1052" s="58"/>
      <c r="E1052" s="43" t="str">
        <f t="shared" si="62"/>
        <v>Еще фото</v>
      </c>
      <c r="F1052" s="14" t="s">
        <v>182</v>
      </c>
      <c r="G1052" s="24" t="s">
        <v>237</v>
      </c>
      <c r="H1052" s="24" t="s">
        <v>27</v>
      </c>
      <c r="I1052" s="24" t="s">
        <v>237</v>
      </c>
      <c r="J1052" s="15" t="s">
        <v>37</v>
      </c>
      <c r="K1052" s="16" t="s">
        <v>57</v>
      </c>
      <c r="L1052" s="61"/>
      <c r="M1052" s="15"/>
      <c r="N1052" s="15" t="s">
        <v>130</v>
      </c>
      <c r="O1052" s="15"/>
      <c r="P1052" s="16" t="s">
        <v>685</v>
      </c>
      <c r="Q1052" s="17">
        <v>17099</v>
      </c>
      <c r="R1052" s="18">
        <v>45</v>
      </c>
      <c r="S1052" s="19">
        <v>10815.1175</v>
      </c>
      <c r="T1052" s="20" t="s">
        <v>75</v>
      </c>
      <c r="U1052" s="21" t="s">
        <v>165</v>
      </c>
      <c r="V1052" s="22">
        <v>48</v>
      </c>
      <c r="W1052" s="22">
        <v>4</v>
      </c>
      <c r="X1052" s="23"/>
    </row>
    <row r="1053" spans="1:24" s="1" customFormat="1" ht="11" customHeight="1" x14ac:dyDescent="0.3">
      <c r="A1053" s="24" t="s">
        <v>23</v>
      </c>
      <c r="B1053" s="24" t="s">
        <v>821</v>
      </c>
      <c r="C1053" s="12" t="s">
        <v>991</v>
      </c>
      <c r="D1053" s="58"/>
      <c r="E1053" s="43" t="str">
        <f t="shared" si="62"/>
        <v>Еще фото</v>
      </c>
      <c r="F1053" s="14" t="s">
        <v>182</v>
      </c>
      <c r="G1053" s="24" t="s">
        <v>237</v>
      </c>
      <c r="H1053" s="24" t="s">
        <v>27</v>
      </c>
      <c r="I1053" s="24" t="s">
        <v>237</v>
      </c>
      <c r="J1053" s="15" t="s">
        <v>37</v>
      </c>
      <c r="K1053" s="16" t="s">
        <v>57</v>
      </c>
      <c r="L1053" s="61"/>
      <c r="M1053" s="15"/>
      <c r="N1053" s="15" t="s">
        <v>130</v>
      </c>
      <c r="O1053" s="15"/>
      <c r="P1053" s="16" t="s">
        <v>685</v>
      </c>
      <c r="Q1053" s="17">
        <v>17099</v>
      </c>
      <c r="R1053" s="18">
        <v>45</v>
      </c>
      <c r="S1053" s="19">
        <v>10815.1175</v>
      </c>
      <c r="T1053" s="20" t="s">
        <v>75</v>
      </c>
      <c r="U1053" s="21" t="s">
        <v>104</v>
      </c>
      <c r="V1053" s="22">
        <v>48</v>
      </c>
      <c r="W1053" s="22">
        <v>1</v>
      </c>
      <c r="X1053" s="23"/>
    </row>
    <row r="1054" spans="1:24" s="1" customFormat="1" ht="11" customHeight="1" x14ac:dyDescent="0.3">
      <c r="A1054" s="24" t="s">
        <v>23</v>
      </c>
      <c r="B1054" s="24" t="s">
        <v>821</v>
      </c>
      <c r="C1054" s="12" t="s">
        <v>991</v>
      </c>
      <c r="D1054" s="58"/>
      <c r="E1054" s="43" t="str">
        <f t="shared" si="62"/>
        <v>Еще фото</v>
      </c>
      <c r="F1054" s="14" t="s">
        <v>182</v>
      </c>
      <c r="G1054" s="24" t="s">
        <v>237</v>
      </c>
      <c r="H1054" s="24" t="s">
        <v>27</v>
      </c>
      <c r="I1054" s="24" t="s">
        <v>237</v>
      </c>
      <c r="J1054" s="15" t="s">
        <v>37</v>
      </c>
      <c r="K1054" s="16" t="s">
        <v>57</v>
      </c>
      <c r="L1054" s="61"/>
      <c r="M1054" s="15"/>
      <c r="N1054" s="15" t="s">
        <v>130</v>
      </c>
      <c r="O1054" s="15"/>
      <c r="P1054" s="16" t="s">
        <v>685</v>
      </c>
      <c r="Q1054" s="17">
        <v>17099</v>
      </c>
      <c r="R1054" s="18">
        <v>45</v>
      </c>
      <c r="S1054" s="19">
        <v>10815.1175</v>
      </c>
      <c r="T1054" s="20" t="s">
        <v>75</v>
      </c>
      <c r="U1054" s="21" t="s">
        <v>166</v>
      </c>
      <c r="V1054" s="25" t="s">
        <v>96</v>
      </c>
      <c r="W1054" s="22">
        <v>3</v>
      </c>
      <c r="X1054" s="23"/>
    </row>
    <row r="1055" spans="1:24" s="1" customFormat="1" ht="11" customHeight="1" x14ac:dyDescent="0.3">
      <c r="A1055" s="15" t="s">
        <v>23</v>
      </c>
      <c r="B1055" s="15" t="s">
        <v>821</v>
      </c>
      <c r="C1055" s="12" t="s">
        <v>991</v>
      </c>
      <c r="D1055" s="58"/>
      <c r="E1055" s="43" t="str">
        <f t="shared" si="62"/>
        <v>Еще фото</v>
      </c>
      <c r="F1055" s="26" t="s">
        <v>182</v>
      </c>
      <c r="G1055" s="15" t="s">
        <v>237</v>
      </c>
      <c r="H1055" s="15" t="s">
        <v>27</v>
      </c>
      <c r="I1055" s="15" t="s">
        <v>237</v>
      </c>
      <c r="J1055" s="15" t="s">
        <v>37</v>
      </c>
      <c r="K1055" s="15" t="s">
        <v>57</v>
      </c>
      <c r="L1055" s="61"/>
      <c r="M1055" s="15"/>
      <c r="N1055" s="15" t="s">
        <v>130</v>
      </c>
      <c r="O1055" s="15"/>
      <c r="P1055" s="15" t="s">
        <v>685</v>
      </c>
      <c r="Q1055" s="27">
        <v>17099</v>
      </c>
      <c r="R1055" s="28">
        <v>45</v>
      </c>
      <c r="S1055" s="29">
        <v>10815.1175</v>
      </c>
      <c r="T1055" s="20" t="s">
        <v>75</v>
      </c>
      <c r="U1055" s="21" t="s">
        <v>89</v>
      </c>
      <c r="V1055" s="22">
        <v>50</v>
      </c>
      <c r="W1055" s="22">
        <v>2</v>
      </c>
      <c r="X1055" s="23"/>
    </row>
    <row r="1056" spans="1:24" s="1" customFormat="1" ht="11" customHeight="1" x14ac:dyDescent="0.3">
      <c r="A1056" s="15" t="s">
        <v>23</v>
      </c>
      <c r="B1056" s="15" t="s">
        <v>821</v>
      </c>
      <c r="C1056" s="12" t="s">
        <v>991</v>
      </c>
      <c r="D1056" s="59"/>
      <c r="E1056" s="43" t="str">
        <f t="shared" si="62"/>
        <v>Еще фото</v>
      </c>
      <c r="F1056" s="26" t="s">
        <v>182</v>
      </c>
      <c r="G1056" s="15" t="s">
        <v>237</v>
      </c>
      <c r="H1056" s="15" t="s">
        <v>27</v>
      </c>
      <c r="I1056" s="15" t="s">
        <v>237</v>
      </c>
      <c r="J1056" s="15" t="s">
        <v>37</v>
      </c>
      <c r="K1056" s="15" t="s">
        <v>57</v>
      </c>
      <c r="L1056" s="62"/>
      <c r="M1056" s="15"/>
      <c r="N1056" s="15" t="s">
        <v>130</v>
      </c>
      <c r="O1056" s="15"/>
      <c r="P1056" s="15" t="s">
        <v>685</v>
      </c>
      <c r="Q1056" s="27">
        <v>17099</v>
      </c>
      <c r="R1056" s="28">
        <v>45</v>
      </c>
      <c r="S1056" s="29">
        <v>10815.1175</v>
      </c>
      <c r="T1056" s="20" t="s">
        <v>75</v>
      </c>
      <c r="U1056" s="21" t="s">
        <v>100</v>
      </c>
      <c r="V1056" s="22">
        <v>50</v>
      </c>
      <c r="W1056" s="22">
        <v>1</v>
      </c>
      <c r="X1056" s="23"/>
    </row>
    <row r="1057" spans="1:24" s="1" customFormat="1" ht="108" customHeight="1" x14ac:dyDescent="0.3">
      <c r="A1057" s="11" t="s">
        <v>23</v>
      </c>
      <c r="B1057" s="11" t="s">
        <v>992</v>
      </c>
      <c r="C1057" s="12" t="s">
        <v>993</v>
      </c>
      <c r="D1057" s="13"/>
      <c r="E1057" s="43" t="str">
        <f>HYPERLINK("https://www.google.ru/search?q=04511-6208&amp;newwindow=1&amp;tbm=isch","Еще фото")</f>
        <v>Еще фото</v>
      </c>
      <c r="F1057" s="14" t="s">
        <v>182</v>
      </c>
      <c r="G1057" s="11" t="s">
        <v>237</v>
      </c>
      <c r="H1057" s="11" t="s">
        <v>27</v>
      </c>
      <c r="I1057" s="15" t="s">
        <v>237</v>
      </c>
      <c r="J1057" s="15" t="s">
        <v>28</v>
      </c>
      <c r="K1057" s="16" t="s">
        <v>57</v>
      </c>
      <c r="L1057" s="15" t="s">
        <v>533</v>
      </c>
      <c r="M1057" s="15"/>
      <c r="N1057" s="15" t="s">
        <v>130</v>
      </c>
      <c r="O1057" s="15"/>
      <c r="P1057" s="16" t="s">
        <v>254</v>
      </c>
      <c r="Q1057" s="17">
        <v>10199</v>
      </c>
      <c r="R1057" s="18">
        <v>45</v>
      </c>
      <c r="S1057" s="19">
        <v>6450.8674999999994</v>
      </c>
      <c r="T1057" s="20" t="s">
        <v>75</v>
      </c>
      <c r="U1057" s="21" t="s">
        <v>200</v>
      </c>
      <c r="V1057" s="25" t="s">
        <v>96</v>
      </c>
      <c r="W1057" s="22">
        <v>1</v>
      </c>
      <c r="X1057" s="23"/>
    </row>
    <row r="1058" spans="1:24" s="1" customFormat="1" ht="108" customHeight="1" x14ac:dyDescent="0.3">
      <c r="A1058" s="11" t="s">
        <v>23</v>
      </c>
      <c r="B1058" s="11" t="s">
        <v>994</v>
      </c>
      <c r="C1058" s="12" t="s">
        <v>995</v>
      </c>
      <c r="D1058" s="13"/>
      <c r="E1058" s="43" t="str">
        <f>HYPERLINK("https://www.google.ru/search?q=04511-6225&amp;newwindow=1&amp;tbm=isch","Еще фото")</f>
        <v>Еще фото</v>
      </c>
      <c r="F1058" s="14" t="s">
        <v>182</v>
      </c>
      <c r="G1058" s="11" t="s">
        <v>237</v>
      </c>
      <c r="H1058" s="11" t="s">
        <v>27</v>
      </c>
      <c r="I1058" s="15" t="s">
        <v>237</v>
      </c>
      <c r="J1058" s="15" t="s">
        <v>28</v>
      </c>
      <c r="K1058" s="16" t="s">
        <v>57</v>
      </c>
      <c r="L1058" s="15"/>
      <c r="M1058" s="15"/>
      <c r="N1058" s="15" t="s">
        <v>138</v>
      </c>
      <c r="O1058" s="15"/>
      <c r="P1058" s="16" t="s">
        <v>254</v>
      </c>
      <c r="Q1058" s="17">
        <v>16899</v>
      </c>
      <c r="R1058" s="18">
        <v>45</v>
      </c>
      <c r="S1058" s="19">
        <v>10688.6175</v>
      </c>
      <c r="T1058" s="20" t="s">
        <v>75</v>
      </c>
      <c r="U1058" s="21" t="s">
        <v>173</v>
      </c>
      <c r="V1058" s="25" t="s">
        <v>63</v>
      </c>
      <c r="W1058" s="22">
        <v>1</v>
      </c>
      <c r="X1058" s="23"/>
    </row>
    <row r="1059" spans="1:24" s="1" customFormat="1" ht="108" customHeight="1" x14ac:dyDescent="0.3">
      <c r="A1059" s="11" t="s">
        <v>23</v>
      </c>
      <c r="B1059" s="11" t="s">
        <v>996</v>
      </c>
      <c r="C1059" s="12" t="s">
        <v>997</v>
      </c>
      <c r="D1059" s="13"/>
      <c r="E1059" s="43" t="str">
        <f>HYPERLINK("https://www.google.ru/search?q=04511-6321&amp;newwindow=1&amp;tbm=isch","Еще фото")</f>
        <v>Еще фото</v>
      </c>
      <c r="F1059" s="14"/>
      <c r="G1059" s="11" t="s">
        <v>237</v>
      </c>
      <c r="H1059" s="11" t="s">
        <v>27</v>
      </c>
      <c r="I1059" s="15" t="s">
        <v>237</v>
      </c>
      <c r="J1059" s="15" t="s">
        <v>37</v>
      </c>
      <c r="K1059" s="16" t="s">
        <v>57</v>
      </c>
      <c r="L1059" s="15" t="s">
        <v>533</v>
      </c>
      <c r="M1059" s="15"/>
      <c r="N1059" s="15" t="s">
        <v>130</v>
      </c>
      <c r="O1059" s="15"/>
      <c r="P1059" s="16" t="s">
        <v>254</v>
      </c>
      <c r="Q1059" s="17">
        <v>12099</v>
      </c>
      <c r="R1059" s="18">
        <v>45</v>
      </c>
      <c r="S1059" s="19">
        <v>7652.6174999999994</v>
      </c>
      <c r="T1059" s="20" t="s">
        <v>75</v>
      </c>
      <c r="U1059" s="21" t="s">
        <v>203</v>
      </c>
      <c r="V1059" s="22">
        <v>50</v>
      </c>
      <c r="W1059" s="22">
        <v>1</v>
      </c>
      <c r="X1059" s="23"/>
    </row>
    <row r="1060" spans="1:24" s="1" customFormat="1" ht="26" customHeight="1" x14ac:dyDescent="0.3">
      <c r="A1060" s="11" t="s">
        <v>23</v>
      </c>
      <c r="B1060" s="11" t="s">
        <v>992</v>
      </c>
      <c r="C1060" s="12" t="s">
        <v>998</v>
      </c>
      <c r="D1060" s="57"/>
      <c r="E1060" s="43" t="str">
        <f>HYPERLINK("https://www.google.ru/search?q=04511-6323&amp;newwindow=1&amp;tbm=isch","Еще фото")</f>
        <v>Еще фото</v>
      </c>
      <c r="F1060" s="14"/>
      <c r="G1060" s="11" t="s">
        <v>237</v>
      </c>
      <c r="H1060" s="11" t="s">
        <v>27</v>
      </c>
      <c r="I1060" s="15" t="s">
        <v>237</v>
      </c>
      <c r="J1060" s="15" t="s">
        <v>37</v>
      </c>
      <c r="K1060" s="16" t="s">
        <v>57</v>
      </c>
      <c r="L1060" s="60" t="s">
        <v>999</v>
      </c>
      <c r="M1060" s="15"/>
      <c r="N1060" s="15" t="s">
        <v>130</v>
      </c>
      <c r="O1060" s="15"/>
      <c r="P1060" s="16" t="s">
        <v>254</v>
      </c>
      <c r="Q1060" s="17">
        <v>12099</v>
      </c>
      <c r="R1060" s="18">
        <v>45</v>
      </c>
      <c r="S1060" s="19">
        <v>7652.6174999999994</v>
      </c>
      <c r="T1060" s="20" t="s">
        <v>75</v>
      </c>
      <c r="U1060" s="21" t="s">
        <v>53</v>
      </c>
      <c r="V1060" s="22">
        <v>46</v>
      </c>
      <c r="W1060" s="22">
        <v>1</v>
      </c>
      <c r="X1060" s="23"/>
    </row>
    <row r="1061" spans="1:24" s="1" customFormat="1" ht="26" customHeight="1" x14ac:dyDescent="0.3">
      <c r="A1061" s="24" t="s">
        <v>23</v>
      </c>
      <c r="B1061" s="24" t="s">
        <v>992</v>
      </c>
      <c r="C1061" s="12" t="s">
        <v>998</v>
      </c>
      <c r="D1061" s="58"/>
      <c r="E1061" s="43" t="str">
        <f>HYPERLINK("https://www.google.ru/search?q=04511-6323&amp;newwindow=1&amp;tbm=isch","Еще фото")</f>
        <v>Еще фото</v>
      </c>
      <c r="F1061" s="14"/>
      <c r="G1061" s="24" t="s">
        <v>237</v>
      </c>
      <c r="H1061" s="24" t="s">
        <v>27</v>
      </c>
      <c r="I1061" s="24" t="s">
        <v>237</v>
      </c>
      <c r="J1061" s="15" t="s">
        <v>37</v>
      </c>
      <c r="K1061" s="16" t="s">
        <v>57</v>
      </c>
      <c r="L1061" s="61"/>
      <c r="M1061" s="15"/>
      <c r="N1061" s="15" t="s">
        <v>130</v>
      </c>
      <c r="O1061" s="15"/>
      <c r="P1061" s="16" t="s">
        <v>254</v>
      </c>
      <c r="Q1061" s="17">
        <v>12099</v>
      </c>
      <c r="R1061" s="18">
        <v>45</v>
      </c>
      <c r="S1061" s="19">
        <v>7652.6174999999994</v>
      </c>
      <c r="T1061" s="20" t="s">
        <v>75</v>
      </c>
      <c r="U1061" s="21" t="s">
        <v>109</v>
      </c>
      <c r="V1061" s="25" t="s">
        <v>65</v>
      </c>
      <c r="W1061" s="22">
        <v>1</v>
      </c>
      <c r="X1061" s="23"/>
    </row>
    <row r="1062" spans="1:24" s="1" customFormat="1" ht="26" customHeight="1" x14ac:dyDescent="0.3">
      <c r="A1062" s="24" t="s">
        <v>23</v>
      </c>
      <c r="B1062" s="24" t="s">
        <v>992</v>
      </c>
      <c r="C1062" s="12" t="s">
        <v>998</v>
      </c>
      <c r="D1062" s="58"/>
      <c r="E1062" s="43" t="str">
        <f>HYPERLINK("https://www.google.ru/search?q=04511-6323&amp;newwindow=1&amp;tbm=isch","Еще фото")</f>
        <v>Еще фото</v>
      </c>
      <c r="F1062" s="14"/>
      <c r="G1062" s="24" t="s">
        <v>237</v>
      </c>
      <c r="H1062" s="24" t="s">
        <v>27</v>
      </c>
      <c r="I1062" s="24" t="s">
        <v>237</v>
      </c>
      <c r="J1062" s="15" t="s">
        <v>37</v>
      </c>
      <c r="K1062" s="16" t="s">
        <v>57</v>
      </c>
      <c r="L1062" s="61"/>
      <c r="M1062" s="15"/>
      <c r="N1062" s="15" t="s">
        <v>130</v>
      </c>
      <c r="O1062" s="15"/>
      <c r="P1062" s="16" t="s">
        <v>254</v>
      </c>
      <c r="Q1062" s="17">
        <v>12099</v>
      </c>
      <c r="R1062" s="18">
        <v>45</v>
      </c>
      <c r="S1062" s="19">
        <v>7652.6174999999994</v>
      </c>
      <c r="T1062" s="20" t="s">
        <v>75</v>
      </c>
      <c r="U1062" s="21" t="s">
        <v>89</v>
      </c>
      <c r="V1062" s="22">
        <v>50</v>
      </c>
      <c r="W1062" s="22">
        <v>2</v>
      </c>
      <c r="X1062" s="23"/>
    </row>
    <row r="1063" spans="1:24" s="1" customFormat="1" ht="26" customHeight="1" x14ac:dyDescent="0.3">
      <c r="A1063" s="24" t="s">
        <v>23</v>
      </c>
      <c r="B1063" s="24" t="s">
        <v>992</v>
      </c>
      <c r="C1063" s="12" t="s">
        <v>998</v>
      </c>
      <c r="D1063" s="59"/>
      <c r="E1063" s="43" t="str">
        <f>HYPERLINK("https://www.google.ru/search?q=04511-6323&amp;newwindow=1&amp;tbm=isch","Еще фото")</f>
        <v>Еще фото</v>
      </c>
      <c r="F1063" s="14"/>
      <c r="G1063" s="24" t="s">
        <v>237</v>
      </c>
      <c r="H1063" s="24" t="s">
        <v>27</v>
      </c>
      <c r="I1063" s="24" t="s">
        <v>237</v>
      </c>
      <c r="J1063" s="15" t="s">
        <v>37</v>
      </c>
      <c r="K1063" s="16" t="s">
        <v>57</v>
      </c>
      <c r="L1063" s="62"/>
      <c r="M1063" s="15"/>
      <c r="N1063" s="15" t="s">
        <v>130</v>
      </c>
      <c r="O1063" s="15"/>
      <c r="P1063" s="16" t="s">
        <v>254</v>
      </c>
      <c r="Q1063" s="17">
        <v>12099</v>
      </c>
      <c r="R1063" s="18">
        <v>45</v>
      </c>
      <c r="S1063" s="19">
        <v>7652.6174999999994</v>
      </c>
      <c r="T1063" s="20" t="s">
        <v>75</v>
      </c>
      <c r="U1063" s="21" t="s">
        <v>167</v>
      </c>
      <c r="V1063" s="22">
        <v>52</v>
      </c>
      <c r="W1063" s="22">
        <v>2</v>
      </c>
      <c r="X1063" s="23"/>
    </row>
    <row r="1064" spans="1:24" s="1" customFormat="1" ht="17" customHeight="1" x14ac:dyDescent="0.3">
      <c r="A1064" s="11" t="s">
        <v>23</v>
      </c>
      <c r="B1064" s="11" t="s">
        <v>992</v>
      </c>
      <c r="C1064" s="12" t="s">
        <v>1000</v>
      </c>
      <c r="D1064" s="57"/>
      <c r="E1064" s="43" t="str">
        <f t="shared" ref="E1064:E1069" si="63">HYPERLINK("https://www.google.ru/search?q=04511-6326&amp;newwindow=1&amp;tbm=isch","Еще фото")</f>
        <v>Еще фото</v>
      </c>
      <c r="F1064" s="14"/>
      <c r="G1064" s="11" t="s">
        <v>237</v>
      </c>
      <c r="H1064" s="11" t="s">
        <v>27</v>
      </c>
      <c r="I1064" s="15" t="s">
        <v>237</v>
      </c>
      <c r="J1064" s="15" t="s">
        <v>37</v>
      </c>
      <c r="K1064" s="16" t="s">
        <v>57</v>
      </c>
      <c r="L1064" s="60" t="s">
        <v>999</v>
      </c>
      <c r="M1064" s="15"/>
      <c r="N1064" s="15" t="s">
        <v>130</v>
      </c>
      <c r="O1064" s="15"/>
      <c r="P1064" s="16" t="s">
        <v>254</v>
      </c>
      <c r="Q1064" s="17">
        <v>8999</v>
      </c>
      <c r="R1064" s="18">
        <v>45</v>
      </c>
      <c r="S1064" s="19">
        <v>5691.8674999999994</v>
      </c>
      <c r="T1064" s="20" t="s">
        <v>75</v>
      </c>
      <c r="U1064" s="21" t="s">
        <v>53</v>
      </c>
      <c r="V1064" s="22">
        <v>46</v>
      </c>
      <c r="W1064" s="22">
        <v>1</v>
      </c>
      <c r="X1064" s="23"/>
    </row>
    <row r="1065" spans="1:24" s="1" customFormat="1" ht="17" customHeight="1" x14ac:dyDescent="0.3">
      <c r="A1065" s="24" t="s">
        <v>23</v>
      </c>
      <c r="B1065" s="24" t="s">
        <v>992</v>
      </c>
      <c r="C1065" s="12" t="s">
        <v>1000</v>
      </c>
      <c r="D1065" s="58"/>
      <c r="E1065" s="43" t="str">
        <f t="shared" si="63"/>
        <v>Еще фото</v>
      </c>
      <c r="F1065" s="14"/>
      <c r="G1065" s="24" t="s">
        <v>237</v>
      </c>
      <c r="H1065" s="24" t="s">
        <v>27</v>
      </c>
      <c r="I1065" s="24" t="s">
        <v>237</v>
      </c>
      <c r="J1065" s="15" t="s">
        <v>37</v>
      </c>
      <c r="K1065" s="16" t="s">
        <v>57</v>
      </c>
      <c r="L1065" s="61"/>
      <c r="M1065" s="15"/>
      <c r="N1065" s="15" t="s">
        <v>130</v>
      </c>
      <c r="O1065" s="15"/>
      <c r="P1065" s="16" t="s">
        <v>254</v>
      </c>
      <c r="Q1065" s="17">
        <v>8999</v>
      </c>
      <c r="R1065" s="18">
        <v>45</v>
      </c>
      <c r="S1065" s="19">
        <v>5691.8674999999994</v>
      </c>
      <c r="T1065" s="20" t="s">
        <v>75</v>
      </c>
      <c r="U1065" s="21" t="s">
        <v>109</v>
      </c>
      <c r="V1065" s="25" t="s">
        <v>65</v>
      </c>
      <c r="W1065" s="22">
        <v>1</v>
      </c>
      <c r="X1065" s="23"/>
    </row>
    <row r="1066" spans="1:24" s="1" customFormat="1" ht="17" customHeight="1" x14ac:dyDescent="0.3">
      <c r="A1066" s="24" t="s">
        <v>23</v>
      </c>
      <c r="B1066" s="24" t="s">
        <v>992</v>
      </c>
      <c r="C1066" s="12" t="s">
        <v>1000</v>
      </c>
      <c r="D1066" s="58"/>
      <c r="E1066" s="43" t="str">
        <f t="shared" si="63"/>
        <v>Еще фото</v>
      </c>
      <c r="F1066" s="14"/>
      <c r="G1066" s="24" t="s">
        <v>237</v>
      </c>
      <c r="H1066" s="24" t="s">
        <v>27</v>
      </c>
      <c r="I1066" s="24" t="s">
        <v>237</v>
      </c>
      <c r="J1066" s="15" t="s">
        <v>37</v>
      </c>
      <c r="K1066" s="16" t="s">
        <v>57</v>
      </c>
      <c r="L1066" s="61"/>
      <c r="M1066" s="15"/>
      <c r="N1066" s="15" t="s">
        <v>130</v>
      </c>
      <c r="O1066" s="15"/>
      <c r="P1066" s="16" t="s">
        <v>254</v>
      </c>
      <c r="Q1066" s="17">
        <v>8999</v>
      </c>
      <c r="R1066" s="18">
        <v>45</v>
      </c>
      <c r="S1066" s="19">
        <v>5691.8674999999994</v>
      </c>
      <c r="T1066" s="20" t="s">
        <v>75</v>
      </c>
      <c r="U1066" s="21" t="s">
        <v>165</v>
      </c>
      <c r="V1066" s="22">
        <v>48</v>
      </c>
      <c r="W1066" s="22">
        <v>5</v>
      </c>
      <c r="X1066" s="23"/>
    </row>
    <row r="1067" spans="1:24" s="1" customFormat="1" ht="17" customHeight="1" x14ac:dyDescent="0.3">
      <c r="A1067" s="24" t="s">
        <v>23</v>
      </c>
      <c r="B1067" s="24" t="s">
        <v>992</v>
      </c>
      <c r="C1067" s="12" t="s">
        <v>1000</v>
      </c>
      <c r="D1067" s="58"/>
      <c r="E1067" s="43" t="str">
        <f t="shared" si="63"/>
        <v>Еще фото</v>
      </c>
      <c r="F1067" s="14"/>
      <c r="G1067" s="24" t="s">
        <v>237</v>
      </c>
      <c r="H1067" s="24" t="s">
        <v>27</v>
      </c>
      <c r="I1067" s="24" t="s">
        <v>237</v>
      </c>
      <c r="J1067" s="15" t="s">
        <v>37</v>
      </c>
      <c r="K1067" s="16" t="s">
        <v>57</v>
      </c>
      <c r="L1067" s="61"/>
      <c r="M1067" s="15"/>
      <c r="N1067" s="15" t="s">
        <v>130</v>
      </c>
      <c r="O1067" s="15"/>
      <c r="P1067" s="16" t="s">
        <v>254</v>
      </c>
      <c r="Q1067" s="17">
        <v>8999</v>
      </c>
      <c r="R1067" s="18">
        <v>45</v>
      </c>
      <c r="S1067" s="19">
        <v>5691.8674999999994</v>
      </c>
      <c r="T1067" s="20" t="s">
        <v>75</v>
      </c>
      <c r="U1067" s="21" t="s">
        <v>104</v>
      </c>
      <c r="V1067" s="22">
        <v>48</v>
      </c>
      <c r="W1067" s="22">
        <v>1</v>
      </c>
      <c r="X1067" s="23"/>
    </row>
    <row r="1068" spans="1:24" s="1" customFormat="1" ht="17" customHeight="1" x14ac:dyDescent="0.3">
      <c r="A1068" s="24" t="s">
        <v>23</v>
      </c>
      <c r="B1068" s="24" t="s">
        <v>992</v>
      </c>
      <c r="C1068" s="12" t="s">
        <v>1000</v>
      </c>
      <c r="D1068" s="58"/>
      <c r="E1068" s="43" t="str">
        <f t="shared" si="63"/>
        <v>Еще фото</v>
      </c>
      <c r="F1068" s="14"/>
      <c r="G1068" s="24" t="s">
        <v>237</v>
      </c>
      <c r="H1068" s="24" t="s">
        <v>27</v>
      </c>
      <c r="I1068" s="24" t="s">
        <v>237</v>
      </c>
      <c r="J1068" s="15" t="s">
        <v>37</v>
      </c>
      <c r="K1068" s="16" t="s">
        <v>57</v>
      </c>
      <c r="L1068" s="61"/>
      <c r="M1068" s="15"/>
      <c r="N1068" s="15" t="s">
        <v>130</v>
      </c>
      <c r="O1068" s="15"/>
      <c r="P1068" s="16" t="s">
        <v>254</v>
      </c>
      <c r="Q1068" s="17">
        <v>8999</v>
      </c>
      <c r="R1068" s="18">
        <v>45</v>
      </c>
      <c r="S1068" s="19">
        <v>5691.8674999999994</v>
      </c>
      <c r="T1068" s="20" t="s">
        <v>75</v>
      </c>
      <c r="U1068" s="21" t="s">
        <v>100</v>
      </c>
      <c r="V1068" s="22">
        <v>50</v>
      </c>
      <c r="W1068" s="22">
        <v>1</v>
      </c>
      <c r="X1068" s="23"/>
    </row>
    <row r="1069" spans="1:24" s="1" customFormat="1" ht="22.05" customHeight="1" x14ac:dyDescent="0.3">
      <c r="A1069" s="24" t="s">
        <v>23</v>
      </c>
      <c r="B1069" s="24" t="s">
        <v>992</v>
      </c>
      <c r="C1069" s="12" t="s">
        <v>1000</v>
      </c>
      <c r="D1069" s="59"/>
      <c r="E1069" s="43" t="str">
        <f t="shared" si="63"/>
        <v>Еще фото</v>
      </c>
      <c r="F1069" s="14"/>
      <c r="G1069" s="24" t="s">
        <v>237</v>
      </c>
      <c r="H1069" s="24" t="s">
        <v>27</v>
      </c>
      <c r="I1069" s="24" t="s">
        <v>237</v>
      </c>
      <c r="J1069" s="15" t="s">
        <v>37</v>
      </c>
      <c r="K1069" s="16" t="s">
        <v>57</v>
      </c>
      <c r="L1069" s="62"/>
      <c r="M1069" s="15"/>
      <c r="N1069" s="15" t="s">
        <v>130</v>
      </c>
      <c r="O1069" s="15"/>
      <c r="P1069" s="16" t="s">
        <v>254</v>
      </c>
      <c r="Q1069" s="17">
        <v>8999</v>
      </c>
      <c r="R1069" s="18">
        <v>45</v>
      </c>
      <c r="S1069" s="19">
        <v>5691.8674999999994</v>
      </c>
      <c r="T1069" s="20" t="s">
        <v>75</v>
      </c>
      <c r="U1069" s="21" t="s">
        <v>167</v>
      </c>
      <c r="V1069" s="22">
        <v>52</v>
      </c>
      <c r="W1069" s="22">
        <v>2</v>
      </c>
      <c r="X1069" s="23"/>
    </row>
    <row r="1070" spans="1:24" s="1" customFormat="1" ht="108" customHeight="1" x14ac:dyDescent="0.3">
      <c r="A1070" s="11" t="s">
        <v>23</v>
      </c>
      <c r="B1070" s="11" t="s">
        <v>821</v>
      </c>
      <c r="C1070" s="12" t="s">
        <v>1001</v>
      </c>
      <c r="D1070" s="13"/>
      <c r="E1070" s="43" t="str">
        <f>HYPERLINK("https://www.google.ru/search?q=04511-6347&amp;newwindow=1&amp;tbm=isch","Еще фото")</f>
        <v>Еще фото</v>
      </c>
      <c r="F1070" s="14" t="s">
        <v>182</v>
      </c>
      <c r="G1070" s="11" t="s">
        <v>237</v>
      </c>
      <c r="H1070" s="11" t="s">
        <v>27</v>
      </c>
      <c r="I1070" s="15" t="s">
        <v>237</v>
      </c>
      <c r="J1070" s="15" t="s">
        <v>37</v>
      </c>
      <c r="K1070" s="16" t="s">
        <v>57</v>
      </c>
      <c r="L1070" s="15" t="s">
        <v>533</v>
      </c>
      <c r="M1070" s="15"/>
      <c r="N1070" s="15" t="s">
        <v>249</v>
      </c>
      <c r="O1070" s="15"/>
      <c r="P1070" s="16" t="s">
        <v>891</v>
      </c>
      <c r="Q1070" s="17">
        <v>16799</v>
      </c>
      <c r="R1070" s="18">
        <v>45</v>
      </c>
      <c r="S1070" s="19">
        <v>10625.3675</v>
      </c>
      <c r="T1070" s="20" t="s">
        <v>75</v>
      </c>
      <c r="U1070" s="21" t="s">
        <v>168</v>
      </c>
      <c r="V1070" s="22">
        <v>52</v>
      </c>
      <c r="W1070" s="22">
        <v>1</v>
      </c>
      <c r="X1070" s="23"/>
    </row>
    <row r="1071" spans="1:24" s="1" customFormat="1" ht="13.05" customHeight="1" x14ac:dyDescent="0.3">
      <c r="A1071" s="11" t="s">
        <v>23</v>
      </c>
      <c r="B1071" s="11" t="s">
        <v>987</v>
      </c>
      <c r="C1071" s="12" t="s">
        <v>1002</v>
      </c>
      <c r="D1071" s="57"/>
      <c r="E1071" s="43" t="str">
        <f t="shared" ref="E1071:E1078" si="64">HYPERLINK("https://www.google.ru/search?q=04511-6350&amp;newwindow=1&amp;tbm=isch","Еще фото")</f>
        <v>Еще фото</v>
      </c>
      <c r="F1071" s="14"/>
      <c r="G1071" s="11" t="s">
        <v>237</v>
      </c>
      <c r="H1071" s="11" t="s">
        <v>27</v>
      </c>
      <c r="I1071" s="15" t="s">
        <v>237</v>
      </c>
      <c r="J1071" s="15" t="s">
        <v>37</v>
      </c>
      <c r="K1071" s="16" t="s">
        <v>57</v>
      </c>
      <c r="L1071" s="60"/>
      <c r="M1071" s="15"/>
      <c r="N1071" s="15" t="s">
        <v>130</v>
      </c>
      <c r="O1071" s="15"/>
      <c r="P1071" s="16" t="s">
        <v>891</v>
      </c>
      <c r="Q1071" s="17">
        <v>15199</v>
      </c>
      <c r="R1071" s="18">
        <v>45</v>
      </c>
      <c r="S1071" s="19">
        <v>9613.3675000000003</v>
      </c>
      <c r="T1071" s="20" t="s">
        <v>75</v>
      </c>
      <c r="U1071" s="33" t="s">
        <v>109</v>
      </c>
      <c r="V1071" s="25" t="s">
        <v>65</v>
      </c>
      <c r="W1071" s="22">
        <v>1</v>
      </c>
      <c r="X1071" s="23"/>
    </row>
    <row r="1072" spans="1:24" s="1" customFormat="1" ht="13.05" customHeight="1" x14ac:dyDescent="0.3">
      <c r="A1072" s="24" t="s">
        <v>23</v>
      </c>
      <c r="B1072" s="24" t="s">
        <v>987</v>
      </c>
      <c r="C1072" s="12" t="s">
        <v>1002</v>
      </c>
      <c r="D1072" s="58"/>
      <c r="E1072" s="43" t="str">
        <f t="shared" si="64"/>
        <v>Еще фото</v>
      </c>
      <c r="F1072" s="14"/>
      <c r="G1072" s="24" t="s">
        <v>237</v>
      </c>
      <c r="H1072" s="24" t="s">
        <v>27</v>
      </c>
      <c r="I1072" s="24" t="s">
        <v>237</v>
      </c>
      <c r="J1072" s="15" t="s">
        <v>37</v>
      </c>
      <c r="K1072" s="16" t="s">
        <v>57</v>
      </c>
      <c r="L1072" s="61"/>
      <c r="M1072" s="15"/>
      <c r="N1072" s="15" t="s">
        <v>130</v>
      </c>
      <c r="O1072" s="15"/>
      <c r="P1072" s="16" t="s">
        <v>891</v>
      </c>
      <c r="Q1072" s="17">
        <v>15199</v>
      </c>
      <c r="R1072" s="18">
        <v>45</v>
      </c>
      <c r="S1072" s="19">
        <v>9613.3675000000003</v>
      </c>
      <c r="T1072" s="20" t="s">
        <v>75</v>
      </c>
      <c r="U1072" s="21" t="s">
        <v>165</v>
      </c>
      <c r="V1072" s="22">
        <v>48</v>
      </c>
      <c r="W1072" s="22">
        <v>3</v>
      </c>
      <c r="X1072" s="23"/>
    </row>
    <row r="1073" spans="1:24" s="1" customFormat="1" ht="13.05" customHeight="1" x14ac:dyDescent="0.3">
      <c r="A1073" s="24" t="s">
        <v>23</v>
      </c>
      <c r="B1073" s="24" t="s">
        <v>987</v>
      </c>
      <c r="C1073" s="12" t="s">
        <v>1002</v>
      </c>
      <c r="D1073" s="58"/>
      <c r="E1073" s="43" t="str">
        <f t="shared" si="64"/>
        <v>Еще фото</v>
      </c>
      <c r="F1073" s="14"/>
      <c r="G1073" s="24" t="s">
        <v>237</v>
      </c>
      <c r="H1073" s="24" t="s">
        <v>27</v>
      </c>
      <c r="I1073" s="24" t="s">
        <v>237</v>
      </c>
      <c r="J1073" s="15" t="s">
        <v>37</v>
      </c>
      <c r="K1073" s="16" t="s">
        <v>57</v>
      </c>
      <c r="L1073" s="61"/>
      <c r="M1073" s="15"/>
      <c r="N1073" s="15" t="s">
        <v>130</v>
      </c>
      <c r="O1073" s="15"/>
      <c r="P1073" s="16" t="s">
        <v>891</v>
      </c>
      <c r="Q1073" s="17">
        <v>15199</v>
      </c>
      <c r="R1073" s="18">
        <v>45</v>
      </c>
      <c r="S1073" s="19">
        <v>9613.3675000000003</v>
      </c>
      <c r="T1073" s="20" t="s">
        <v>75</v>
      </c>
      <c r="U1073" s="21" t="s">
        <v>200</v>
      </c>
      <c r="V1073" s="25" t="s">
        <v>96</v>
      </c>
      <c r="W1073" s="22">
        <v>1</v>
      </c>
      <c r="X1073" s="23"/>
    </row>
    <row r="1074" spans="1:24" s="1" customFormat="1" ht="13.05" customHeight="1" x14ac:dyDescent="0.3">
      <c r="A1074" s="24" t="s">
        <v>23</v>
      </c>
      <c r="B1074" s="24" t="s">
        <v>987</v>
      </c>
      <c r="C1074" s="12" t="s">
        <v>1002</v>
      </c>
      <c r="D1074" s="58"/>
      <c r="E1074" s="43" t="str">
        <f t="shared" si="64"/>
        <v>Еще фото</v>
      </c>
      <c r="F1074" s="14"/>
      <c r="G1074" s="24" t="s">
        <v>237</v>
      </c>
      <c r="H1074" s="24" t="s">
        <v>27</v>
      </c>
      <c r="I1074" s="24" t="s">
        <v>237</v>
      </c>
      <c r="J1074" s="15" t="s">
        <v>37</v>
      </c>
      <c r="K1074" s="16" t="s">
        <v>57</v>
      </c>
      <c r="L1074" s="61"/>
      <c r="M1074" s="15"/>
      <c r="N1074" s="15" t="s">
        <v>130</v>
      </c>
      <c r="O1074" s="15"/>
      <c r="P1074" s="16" t="s">
        <v>891</v>
      </c>
      <c r="Q1074" s="17">
        <v>15199</v>
      </c>
      <c r="R1074" s="18">
        <v>45</v>
      </c>
      <c r="S1074" s="19">
        <v>9613.3675000000003</v>
      </c>
      <c r="T1074" s="20" t="s">
        <v>75</v>
      </c>
      <c r="U1074" s="21" t="s">
        <v>166</v>
      </c>
      <c r="V1074" s="25" t="s">
        <v>96</v>
      </c>
      <c r="W1074" s="22">
        <v>2</v>
      </c>
      <c r="X1074" s="23"/>
    </row>
    <row r="1075" spans="1:24" s="1" customFormat="1" ht="13.05" customHeight="1" x14ac:dyDescent="0.3">
      <c r="A1075" s="24" t="s">
        <v>23</v>
      </c>
      <c r="B1075" s="24" t="s">
        <v>987</v>
      </c>
      <c r="C1075" s="12" t="s">
        <v>1002</v>
      </c>
      <c r="D1075" s="58"/>
      <c r="E1075" s="43" t="str">
        <f t="shared" si="64"/>
        <v>Еще фото</v>
      </c>
      <c r="F1075" s="14"/>
      <c r="G1075" s="24" t="s">
        <v>237</v>
      </c>
      <c r="H1075" s="24" t="s">
        <v>27</v>
      </c>
      <c r="I1075" s="24" t="s">
        <v>237</v>
      </c>
      <c r="J1075" s="15" t="s">
        <v>37</v>
      </c>
      <c r="K1075" s="16" t="s">
        <v>57</v>
      </c>
      <c r="L1075" s="61"/>
      <c r="M1075" s="15"/>
      <c r="N1075" s="15" t="s">
        <v>130</v>
      </c>
      <c r="O1075" s="15"/>
      <c r="P1075" s="16" t="s">
        <v>891</v>
      </c>
      <c r="Q1075" s="17">
        <v>15199</v>
      </c>
      <c r="R1075" s="18">
        <v>45</v>
      </c>
      <c r="S1075" s="19">
        <v>9613.3675000000003</v>
      </c>
      <c r="T1075" s="20" t="s">
        <v>75</v>
      </c>
      <c r="U1075" s="21" t="s">
        <v>359</v>
      </c>
      <c r="V1075" s="25" t="s">
        <v>96</v>
      </c>
      <c r="W1075" s="22">
        <v>1</v>
      </c>
      <c r="X1075" s="23"/>
    </row>
    <row r="1076" spans="1:24" s="1" customFormat="1" ht="13.05" customHeight="1" x14ac:dyDescent="0.3">
      <c r="A1076" s="24" t="s">
        <v>23</v>
      </c>
      <c r="B1076" s="24" t="s">
        <v>987</v>
      </c>
      <c r="C1076" s="12" t="s">
        <v>1002</v>
      </c>
      <c r="D1076" s="58"/>
      <c r="E1076" s="43" t="str">
        <f t="shared" si="64"/>
        <v>Еще фото</v>
      </c>
      <c r="F1076" s="14"/>
      <c r="G1076" s="24" t="s">
        <v>237</v>
      </c>
      <c r="H1076" s="24" t="s">
        <v>27</v>
      </c>
      <c r="I1076" s="24" t="s">
        <v>237</v>
      </c>
      <c r="J1076" s="15" t="s">
        <v>37</v>
      </c>
      <c r="K1076" s="16" t="s">
        <v>57</v>
      </c>
      <c r="L1076" s="61"/>
      <c r="M1076" s="15"/>
      <c r="N1076" s="15" t="s">
        <v>130</v>
      </c>
      <c r="O1076" s="15"/>
      <c r="P1076" s="16" t="s">
        <v>891</v>
      </c>
      <c r="Q1076" s="17">
        <v>15199</v>
      </c>
      <c r="R1076" s="18">
        <v>45</v>
      </c>
      <c r="S1076" s="19">
        <v>9613.3675000000003</v>
      </c>
      <c r="T1076" s="20" t="s">
        <v>75</v>
      </c>
      <c r="U1076" s="21" t="s">
        <v>89</v>
      </c>
      <c r="V1076" s="22">
        <v>50</v>
      </c>
      <c r="W1076" s="22">
        <v>3</v>
      </c>
      <c r="X1076" s="23"/>
    </row>
    <row r="1077" spans="1:24" s="1" customFormat="1" ht="13.05" customHeight="1" x14ac:dyDescent="0.3">
      <c r="A1077" s="24" t="s">
        <v>23</v>
      </c>
      <c r="B1077" s="24" t="s">
        <v>987</v>
      </c>
      <c r="C1077" s="12" t="s">
        <v>1002</v>
      </c>
      <c r="D1077" s="58"/>
      <c r="E1077" s="43" t="str">
        <f t="shared" si="64"/>
        <v>Еще фото</v>
      </c>
      <c r="F1077" s="14"/>
      <c r="G1077" s="24" t="s">
        <v>237</v>
      </c>
      <c r="H1077" s="24" t="s">
        <v>27</v>
      </c>
      <c r="I1077" s="24" t="s">
        <v>237</v>
      </c>
      <c r="J1077" s="15" t="s">
        <v>37</v>
      </c>
      <c r="K1077" s="16" t="s">
        <v>57</v>
      </c>
      <c r="L1077" s="61"/>
      <c r="M1077" s="15"/>
      <c r="N1077" s="15" t="s">
        <v>130</v>
      </c>
      <c r="O1077" s="15"/>
      <c r="P1077" s="16" t="s">
        <v>891</v>
      </c>
      <c r="Q1077" s="17">
        <v>15199</v>
      </c>
      <c r="R1077" s="18">
        <v>45</v>
      </c>
      <c r="S1077" s="19">
        <v>9613.3675000000003</v>
      </c>
      <c r="T1077" s="20" t="s">
        <v>75</v>
      </c>
      <c r="U1077" s="21" t="s">
        <v>100</v>
      </c>
      <c r="V1077" s="22">
        <v>50</v>
      </c>
      <c r="W1077" s="22">
        <v>1</v>
      </c>
      <c r="X1077" s="23"/>
    </row>
    <row r="1078" spans="1:24" s="1" customFormat="1" ht="18" customHeight="1" x14ac:dyDescent="0.3">
      <c r="A1078" s="24" t="s">
        <v>23</v>
      </c>
      <c r="B1078" s="24" t="s">
        <v>987</v>
      </c>
      <c r="C1078" s="12" t="s">
        <v>1002</v>
      </c>
      <c r="D1078" s="59"/>
      <c r="E1078" s="43" t="str">
        <f t="shared" si="64"/>
        <v>Еще фото</v>
      </c>
      <c r="F1078" s="14"/>
      <c r="G1078" s="24" t="s">
        <v>237</v>
      </c>
      <c r="H1078" s="24" t="s">
        <v>27</v>
      </c>
      <c r="I1078" s="24" t="s">
        <v>237</v>
      </c>
      <c r="J1078" s="15" t="s">
        <v>37</v>
      </c>
      <c r="K1078" s="16" t="s">
        <v>57</v>
      </c>
      <c r="L1078" s="62"/>
      <c r="M1078" s="15"/>
      <c r="N1078" s="15" t="s">
        <v>130</v>
      </c>
      <c r="O1078" s="15"/>
      <c r="P1078" s="16" t="s">
        <v>891</v>
      </c>
      <c r="Q1078" s="17">
        <v>15199</v>
      </c>
      <c r="R1078" s="18">
        <v>45</v>
      </c>
      <c r="S1078" s="19">
        <v>9613.3675000000003</v>
      </c>
      <c r="T1078" s="20" t="s">
        <v>75</v>
      </c>
      <c r="U1078" s="21" t="s">
        <v>167</v>
      </c>
      <c r="V1078" s="22">
        <v>52</v>
      </c>
      <c r="W1078" s="22">
        <v>2</v>
      </c>
      <c r="X1078" s="23"/>
    </row>
    <row r="1079" spans="1:24" s="1" customFormat="1" ht="108" customHeight="1" x14ac:dyDescent="0.3">
      <c r="A1079" s="11" t="s">
        <v>23</v>
      </c>
      <c r="B1079" s="11" t="s">
        <v>1003</v>
      </c>
      <c r="C1079" s="12" t="s">
        <v>1004</v>
      </c>
      <c r="D1079" s="13"/>
      <c r="E1079" s="43" t="str">
        <f>HYPERLINK("https://www.google.ru/search?q=04511-6359&amp;newwindow=1&amp;tbm=isch","Еще фото")</f>
        <v>Еще фото</v>
      </c>
      <c r="F1079" s="14"/>
      <c r="G1079" s="11" t="s">
        <v>237</v>
      </c>
      <c r="H1079" s="11" t="s">
        <v>27</v>
      </c>
      <c r="I1079" s="15" t="s">
        <v>237</v>
      </c>
      <c r="J1079" s="15" t="s">
        <v>37</v>
      </c>
      <c r="K1079" s="16" t="s">
        <v>57</v>
      </c>
      <c r="L1079" s="15" t="s">
        <v>999</v>
      </c>
      <c r="M1079" s="15"/>
      <c r="N1079" s="15" t="s">
        <v>130</v>
      </c>
      <c r="O1079" s="15"/>
      <c r="P1079" s="16" t="s">
        <v>1005</v>
      </c>
      <c r="Q1079" s="17">
        <v>16999</v>
      </c>
      <c r="R1079" s="18">
        <v>45</v>
      </c>
      <c r="S1079" s="19">
        <v>10751.8675</v>
      </c>
      <c r="T1079" s="20" t="s">
        <v>75</v>
      </c>
      <c r="U1079" s="21" t="s">
        <v>166</v>
      </c>
      <c r="V1079" s="25" t="s">
        <v>96</v>
      </c>
      <c r="W1079" s="22">
        <v>1</v>
      </c>
      <c r="X1079" s="23"/>
    </row>
    <row r="1080" spans="1:24" s="1" customFormat="1" ht="13.05" customHeight="1" x14ac:dyDescent="0.3">
      <c r="A1080" s="11" t="s">
        <v>23</v>
      </c>
      <c r="B1080" s="11" t="s">
        <v>821</v>
      </c>
      <c r="C1080" s="12" t="s">
        <v>1006</v>
      </c>
      <c r="D1080" s="57"/>
      <c r="E1080" s="43" t="str">
        <f t="shared" ref="E1080:E1087" si="65">HYPERLINK("https://www.google.ru/search?q=04511-6361&amp;newwindow=1&amp;tbm=isch","Еще фото")</f>
        <v>Еще фото</v>
      </c>
      <c r="F1080" s="14" t="s">
        <v>854</v>
      </c>
      <c r="G1080" s="11" t="s">
        <v>237</v>
      </c>
      <c r="H1080" s="11" t="s">
        <v>27</v>
      </c>
      <c r="I1080" s="15" t="s">
        <v>237</v>
      </c>
      <c r="J1080" s="15" t="s">
        <v>37</v>
      </c>
      <c r="K1080" s="16" t="s">
        <v>57</v>
      </c>
      <c r="L1080" s="60" t="s">
        <v>533</v>
      </c>
      <c r="M1080" s="15"/>
      <c r="N1080" s="15" t="s">
        <v>130</v>
      </c>
      <c r="O1080" s="15"/>
      <c r="P1080" s="16" t="s">
        <v>254</v>
      </c>
      <c r="Q1080" s="17">
        <v>23199</v>
      </c>
      <c r="R1080" s="18">
        <v>45</v>
      </c>
      <c r="S1080" s="19">
        <v>14673.3675</v>
      </c>
      <c r="T1080" s="20" t="s">
        <v>75</v>
      </c>
      <c r="U1080" s="33" t="s">
        <v>173</v>
      </c>
      <c r="V1080" s="25" t="s">
        <v>63</v>
      </c>
      <c r="W1080" s="22">
        <v>1</v>
      </c>
      <c r="X1080" s="23"/>
    </row>
    <row r="1081" spans="1:24" s="1" customFormat="1" ht="13.05" customHeight="1" x14ac:dyDescent="0.3">
      <c r="A1081" s="24" t="s">
        <v>23</v>
      </c>
      <c r="B1081" s="24" t="s">
        <v>821</v>
      </c>
      <c r="C1081" s="12" t="s">
        <v>1006</v>
      </c>
      <c r="D1081" s="58"/>
      <c r="E1081" s="43" t="str">
        <f t="shared" si="65"/>
        <v>Еще фото</v>
      </c>
      <c r="F1081" s="14" t="s">
        <v>854</v>
      </c>
      <c r="G1081" s="24" t="s">
        <v>237</v>
      </c>
      <c r="H1081" s="24" t="s">
        <v>27</v>
      </c>
      <c r="I1081" s="24" t="s">
        <v>237</v>
      </c>
      <c r="J1081" s="15" t="s">
        <v>37</v>
      </c>
      <c r="K1081" s="16" t="s">
        <v>57</v>
      </c>
      <c r="L1081" s="61"/>
      <c r="M1081" s="15"/>
      <c r="N1081" s="15" t="s">
        <v>130</v>
      </c>
      <c r="O1081" s="15"/>
      <c r="P1081" s="16" t="s">
        <v>254</v>
      </c>
      <c r="Q1081" s="17">
        <v>23199</v>
      </c>
      <c r="R1081" s="18">
        <v>45</v>
      </c>
      <c r="S1081" s="19">
        <v>14673.3675</v>
      </c>
      <c r="T1081" s="20" t="s">
        <v>75</v>
      </c>
      <c r="U1081" s="21" t="s">
        <v>53</v>
      </c>
      <c r="V1081" s="22">
        <v>46</v>
      </c>
      <c r="W1081" s="22">
        <v>3</v>
      </c>
      <c r="X1081" s="23"/>
    </row>
    <row r="1082" spans="1:24" s="1" customFormat="1" ht="13.05" customHeight="1" x14ac:dyDescent="0.3">
      <c r="A1082" s="24" t="s">
        <v>23</v>
      </c>
      <c r="B1082" s="24" t="s">
        <v>821</v>
      </c>
      <c r="C1082" s="12" t="s">
        <v>1006</v>
      </c>
      <c r="D1082" s="58"/>
      <c r="E1082" s="43" t="str">
        <f t="shared" si="65"/>
        <v>Еще фото</v>
      </c>
      <c r="F1082" s="14" t="s">
        <v>854</v>
      </c>
      <c r="G1082" s="24" t="s">
        <v>237</v>
      </c>
      <c r="H1082" s="24" t="s">
        <v>27</v>
      </c>
      <c r="I1082" s="24" t="s">
        <v>237</v>
      </c>
      <c r="J1082" s="15" t="s">
        <v>37</v>
      </c>
      <c r="K1082" s="16" t="s">
        <v>57</v>
      </c>
      <c r="L1082" s="61"/>
      <c r="M1082" s="15"/>
      <c r="N1082" s="15" t="s">
        <v>130</v>
      </c>
      <c r="O1082" s="15"/>
      <c r="P1082" s="16" t="s">
        <v>254</v>
      </c>
      <c r="Q1082" s="17">
        <v>23199</v>
      </c>
      <c r="R1082" s="18">
        <v>45</v>
      </c>
      <c r="S1082" s="19">
        <v>14673.3675</v>
      </c>
      <c r="T1082" s="20" t="s">
        <v>75</v>
      </c>
      <c r="U1082" s="21" t="s">
        <v>143</v>
      </c>
      <c r="V1082" s="22">
        <v>46</v>
      </c>
      <c r="W1082" s="22">
        <v>4</v>
      </c>
      <c r="X1082" s="23"/>
    </row>
    <row r="1083" spans="1:24" s="1" customFormat="1" ht="13.05" customHeight="1" x14ac:dyDescent="0.3">
      <c r="A1083" s="24" t="s">
        <v>23</v>
      </c>
      <c r="B1083" s="24" t="s">
        <v>821</v>
      </c>
      <c r="C1083" s="12" t="s">
        <v>1006</v>
      </c>
      <c r="D1083" s="58"/>
      <c r="E1083" s="43" t="str">
        <f t="shared" si="65"/>
        <v>Еще фото</v>
      </c>
      <c r="F1083" s="14" t="s">
        <v>854</v>
      </c>
      <c r="G1083" s="24" t="s">
        <v>237</v>
      </c>
      <c r="H1083" s="24" t="s">
        <v>27</v>
      </c>
      <c r="I1083" s="24" t="s">
        <v>237</v>
      </c>
      <c r="J1083" s="15" t="s">
        <v>37</v>
      </c>
      <c r="K1083" s="16" t="s">
        <v>57</v>
      </c>
      <c r="L1083" s="61"/>
      <c r="M1083" s="15"/>
      <c r="N1083" s="15" t="s">
        <v>130</v>
      </c>
      <c r="O1083" s="15"/>
      <c r="P1083" s="16" t="s">
        <v>254</v>
      </c>
      <c r="Q1083" s="17">
        <v>23199</v>
      </c>
      <c r="R1083" s="18">
        <v>45</v>
      </c>
      <c r="S1083" s="19">
        <v>14673.3675</v>
      </c>
      <c r="T1083" s="20" t="s">
        <v>75</v>
      </c>
      <c r="U1083" s="21" t="s">
        <v>109</v>
      </c>
      <c r="V1083" s="25" t="s">
        <v>65</v>
      </c>
      <c r="W1083" s="22">
        <v>9</v>
      </c>
      <c r="X1083" s="23"/>
    </row>
    <row r="1084" spans="1:24" s="1" customFormat="1" ht="13.05" customHeight="1" x14ac:dyDescent="0.3">
      <c r="A1084" s="24" t="s">
        <v>23</v>
      </c>
      <c r="B1084" s="24" t="s">
        <v>821</v>
      </c>
      <c r="C1084" s="12" t="s">
        <v>1006</v>
      </c>
      <c r="D1084" s="58"/>
      <c r="E1084" s="43" t="str">
        <f t="shared" si="65"/>
        <v>Еще фото</v>
      </c>
      <c r="F1084" s="14" t="s">
        <v>854</v>
      </c>
      <c r="G1084" s="24" t="s">
        <v>237</v>
      </c>
      <c r="H1084" s="24" t="s">
        <v>27</v>
      </c>
      <c r="I1084" s="24" t="s">
        <v>237</v>
      </c>
      <c r="J1084" s="15" t="s">
        <v>37</v>
      </c>
      <c r="K1084" s="16" t="s">
        <v>57</v>
      </c>
      <c r="L1084" s="61"/>
      <c r="M1084" s="15"/>
      <c r="N1084" s="15" t="s">
        <v>130</v>
      </c>
      <c r="O1084" s="15"/>
      <c r="P1084" s="16" t="s">
        <v>254</v>
      </c>
      <c r="Q1084" s="17">
        <v>23199</v>
      </c>
      <c r="R1084" s="18">
        <v>45</v>
      </c>
      <c r="S1084" s="19">
        <v>14673.3675</v>
      </c>
      <c r="T1084" s="20" t="s">
        <v>75</v>
      </c>
      <c r="U1084" s="21" t="s">
        <v>140</v>
      </c>
      <c r="V1084" s="25" t="s">
        <v>65</v>
      </c>
      <c r="W1084" s="22">
        <v>3</v>
      </c>
      <c r="X1084" s="23"/>
    </row>
    <row r="1085" spans="1:24" s="1" customFormat="1" ht="13.05" customHeight="1" x14ac:dyDescent="0.3">
      <c r="A1085" s="24" t="s">
        <v>23</v>
      </c>
      <c r="B1085" s="24" t="s">
        <v>821</v>
      </c>
      <c r="C1085" s="12" t="s">
        <v>1006</v>
      </c>
      <c r="D1085" s="58"/>
      <c r="E1085" s="43" t="str">
        <f t="shared" si="65"/>
        <v>Еще фото</v>
      </c>
      <c r="F1085" s="14" t="s">
        <v>854</v>
      </c>
      <c r="G1085" s="24" t="s">
        <v>237</v>
      </c>
      <c r="H1085" s="24" t="s">
        <v>27</v>
      </c>
      <c r="I1085" s="24" t="s">
        <v>237</v>
      </c>
      <c r="J1085" s="15" t="s">
        <v>37</v>
      </c>
      <c r="K1085" s="16" t="s">
        <v>57</v>
      </c>
      <c r="L1085" s="61"/>
      <c r="M1085" s="15"/>
      <c r="N1085" s="15" t="s">
        <v>130</v>
      </c>
      <c r="O1085" s="15"/>
      <c r="P1085" s="16" t="s">
        <v>254</v>
      </c>
      <c r="Q1085" s="17">
        <v>23199</v>
      </c>
      <c r="R1085" s="18">
        <v>45</v>
      </c>
      <c r="S1085" s="19">
        <v>14673.3675</v>
      </c>
      <c r="T1085" s="20" t="s">
        <v>75</v>
      </c>
      <c r="U1085" s="21" t="s">
        <v>165</v>
      </c>
      <c r="V1085" s="22">
        <v>48</v>
      </c>
      <c r="W1085" s="22">
        <v>1</v>
      </c>
      <c r="X1085" s="23"/>
    </row>
    <row r="1086" spans="1:24" s="1" customFormat="1" ht="13.05" customHeight="1" x14ac:dyDescent="0.3">
      <c r="A1086" s="24" t="s">
        <v>23</v>
      </c>
      <c r="B1086" s="24" t="s">
        <v>821</v>
      </c>
      <c r="C1086" s="12" t="s">
        <v>1006</v>
      </c>
      <c r="D1086" s="58"/>
      <c r="E1086" s="43" t="str">
        <f t="shared" si="65"/>
        <v>Еще фото</v>
      </c>
      <c r="F1086" s="14" t="s">
        <v>854</v>
      </c>
      <c r="G1086" s="24" t="s">
        <v>237</v>
      </c>
      <c r="H1086" s="24" t="s">
        <v>27</v>
      </c>
      <c r="I1086" s="24" t="s">
        <v>237</v>
      </c>
      <c r="J1086" s="15" t="s">
        <v>37</v>
      </c>
      <c r="K1086" s="16" t="s">
        <v>57</v>
      </c>
      <c r="L1086" s="61"/>
      <c r="M1086" s="15"/>
      <c r="N1086" s="15" t="s">
        <v>130</v>
      </c>
      <c r="O1086" s="15"/>
      <c r="P1086" s="16" t="s">
        <v>254</v>
      </c>
      <c r="Q1086" s="17">
        <v>23199</v>
      </c>
      <c r="R1086" s="18">
        <v>45</v>
      </c>
      <c r="S1086" s="19">
        <v>14673.3675</v>
      </c>
      <c r="T1086" s="20" t="s">
        <v>75</v>
      </c>
      <c r="U1086" s="21" t="s">
        <v>359</v>
      </c>
      <c r="V1086" s="25" t="s">
        <v>96</v>
      </c>
      <c r="W1086" s="22">
        <v>1</v>
      </c>
      <c r="X1086" s="23"/>
    </row>
    <row r="1087" spans="1:24" s="1" customFormat="1" ht="18" customHeight="1" x14ac:dyDescent="0.3">
      <c r="A1087" s="24" t="s">
        <v>23</v>
      </c>
      <c r="B1087" s="24" t="s">
        <v>821</v>
      </c>
      <c r="C1087" s="12" t="s">
        <v>1006</v>
      </c>
      <c r="D1087" s="59"/>
      <c r="E1087" s="43" t="str">
        <f t="shared" si="65"/>
        <v>Еще фото</v>
      </c>
      <c r="F1087" s="14" t="s">
        <v>854</v>
      </c>
      <c r="G1087" s="24" t="s">
        <v>237</v>
      </c>
      <c r="H1087" s="24" t="s">
        <v>27</v>
      </c>
      <c r="I1087" s="24" t="s">
        <v>237</v>
      </c>
      <c r="J1087" s="15" t="s">
        <v>37</v>
      </c>
      <c r="K1087" s="16" t="s">
        <v>57</v>
      </c>
      <c r="L1087" s="62"/>
      <c r="M1087" s="15"/>
      <c r="N1087" s="15" t="s">
        <v>130</v>
      </c>
      <c r="O1087" s="15"/>
      <c r="P1087" s="16" t="s">
        <v>254</v>
      </c>
      <c r="Q1087" s="17">
        <v>23199</v>
      </c>
      <c r="R1087" s="18">
        <v>45</v>
      </c>
      <c r="S1087" s="19">
        <v>14673.3675</v>
      </c>
      <c r="T1087" s="20" t="s">
        <v>75</v>
      </c>
      <c r="U1087" s="21" t="s">
        <v>89</v>
      </c>
      <c r="V1087" s="22">
        <v>50</v>
      </c>
      <c r="W1087" s="22">
        <v>3</v>
      </c>
      <c r="X1087" s="23"/>
    </row>
    <row r="1088" spans="1:24" s="1" customFormat="1" ht="108" customHeight="1" x14ac:dyDescent="0.3">
      <c r="A1088" s="11" t="s">
        <v>23</v>
      </c>
      <c r="B1088" s="11" t="s">
        <v>821</v>
      </c>
      <c r="C1088" s="12" t="s">
        <v>1007</v>
      </c>
      <c r="D1088" s="13"/>
      <c r="E1088" s="43" t="str">
        <f>HYPERLINK("https://www.google.ru/search?q=04511-6393&amp;newwindow=1&amp;tbm=isch","Еще фото")</f>
        <v>Еще фото</v>
      </c>
      <c r="F1088" s="14"/>
      <c r="G1088" s="11" t="s">
        <v>237</v>
      </c>
      <c r="H1088" s="11" t="s">
        <v>27</v>
      </c>
      <c r="I1088" s="15" t="s">
        <v>237</v>
      </c>
      <c r="J1088" s="15" t="s">
        <v>37</v>
      </c>
      <c r="K1088" s="16" t="s">
        <v>57</v>
      </c>
      <c r="L1088" s="15" t="s">
        <v>533</v>
      </c>
      <c r="M1088" s="15"/>
      <c r="N1088" s="15" t="s">
        <v>130</v>
      </c>
      <c r="O1088" s="15"/>
      <c r="P1088" s="16" t="s">
        <v>88</v>
      </c>
      <c r="Q1088" s="17">
        <v>10299</v>
      </c>
      <c r="R1088" s="18">
        <v>45</v>
      </c>
      <c r="S1088" s="19">
        <v>6514.1174999999994</v>
      </c>
      <c r="T1088" s="20" t="s">
        <v>75</v>
      </c>
      <c r="U1088" s="21" t="s">
        <v>865</v>
      </c>
      <c r="V1088" s="22">
        <v>52</v>
      </c>
      <c r="W1088" s="22">
        <v>1</v>
      </c>
      <c r="X1088" s="23"/>
    </row>
    <row r="1089" spans="1:24" s="1" customFormat="1" ht="11" customHeight="1" x14ac:dyDescent="0.3">
      <c r="A1089" s="11" t="s">
        <v>23</v>
      </c>
      <c r="B1089" s="11" t="s">
        <v>821</v>
      </c>
      <c r="C1089" s="12" t="s">
        <v>1008</v>
      </c>
      <c r="D1089" s="57"/>
      <c r="E1089" s="43" t="str">
        <f t="shared" ref="E1089:E1098" si="66">HYPERLINK("https://www.google.ru/search?q=04511-6512&amp;newwindow=1&amp;tbm=isch","Еще фото")</f>
        <v>Еще фото</v>
      </c>
      <c r="F1089" s="34" t="s">
        <v>469</v>
      </c>
      <c r="G1089" s="11" t="s">
        <v>237</v>
      </c>
      <c r="H1089" s="11" t="s">
        <v>27</v>
      </c>
      <c r="I1089" s="15" t="s">
        <v>237</v>
      </c>
      <c r="J1089" s="15" t="s">
        <v>37</v>
      </c>
      <c r="K1089" s="16" t="s">
        <v>57</v>
      </c>
      <c r="L1089" s="60"/>
      <c r="M1089" s="15"/>
      <c r="N1089" s="15" t="s">
        <v>99</v>
      </c>
      <c r="O1089" s="15"/>
      <c r="P1089" s="16" t="s">
        <v>1009</v>
      </c>
      <c r="Q1089" s="17">
        <v>8299</v>
      </c>
      <c r="R1089" s="18">
        <v>45</v>
      </c>
      <c r="S1089" s="19">
        <v>5249.1174999999994</v>
      </c>
      <c r="T1089" s="20" t="s">
        <v>75</v>
      </c>
      <c r="U1089" s="21" t="s">
        <v>173</v>
      </c>
      <c r="V1089" s="25" t="s">
        <v>63</v>
      </c>
      <c r="W1089" s="22">
        <v>16</v>
      </c>
      <c r="X1089" s="23"/>
    </row>
    <row r="1090" spans="1:24" s="1" customFormat="1" ht="11" customHeight="1" x14ac:dyDescent="0.3">
      <c r="A1090" s="24" t="s">
        <v>23</v>
      </c>
      <c r="B1090" s="24" t="s">
        <v>821</v>
      </c>
      <c r="C1090" s="12" t="s">
        <v>1008</v>
      </c>
      <c r="D1090" s="58"/>
      <c r="E1090" s="43" t="str">
        <f t="shared" si="66"/>
        <v>Еще фото</v>
      </c>
      <c r="F1090" s="34" t="s">
        <v>469</v>
      </c>
      <c r="G1090" s="24" t="s">
        <v>237</v>
      </c>
      <c r="H1090" s="24" t="s">
        <v>27</v>
      </c>
      <c r="I1090" s="24" t="s">
        <v>237</v>
      </c>
      <c r="J1090" s="15" t="s">
        <v>37</v>
      </c>
      <c r="K1090" s="16" t="s">
        <v>57</v>
      </c>
      <c r="L1090" s="61"/>
      <c r="M1090" s="15"/>
      <c r="N1090" s="15" t="s">
        <v>99</v>
      </c>
      <c r="O1090" s="15"/>
      <c r="P1090" s="16" t="s">
        <v>1009</v>
      </c>
      <c r="Q1090" s="17">
        <v>8299</v>
      </c>
      <c r="R1090" s="18">
        <v>45</v>
      </c>
      <c r="S1090" s="19">
        <v>5249.1174999999994</v>
      </c>
      <c r="T1090" s="20" t="s">
        <v>75</v>
      </c>
      <c r="U1090" s="21" t="s">
        <v>53</v>
      </c>
      <c r="V1090" s="22">
        <v>46</v>
      </c>
      <c r="W1090" s="22">
        <v>16</v>
      </c>
      <c r="X1090" s="23"/>
    </row>
    <row r="1091" spans="1:24" s="1" customFormat="1" ht="11" customHeight="1" x14ac:dyDescent="0.3">
      <c r="A1091" s="24" t="s">
        <v>23</v>
      </c>
      <c r="B1091" s="24" t="s">
        <v>821</v>
      </c>
      <c r="C1091" s="12" t="s">
        <v>1008</v>
      </c>
      <c r="D1091" s="58"/>
      <c r="E1091" s="43" t="str">
        <f t="shared" si="66"/>
        <v>Еще фото</v>
      </c>
      <c r="F1091" s="34" t="s">
        <v>469</v>
      </c>
      <c r="G1091" s="24" t="s">
        <v>237</v>
      </c>
      <c r="H1091" s="24" t="s">
        <v>27</v>
      </c>
      <c r="I1091" s="24" t="s">
        <v>237</v>
      </c>
      <c r="J1091" s="15" t="s">
        <v>37</v>
      </c>
      <c r="K1091" s="16" t="s">
        <v>57</v>
      </c>
      <c r="L1091" s="61"/>
      <c r="M1091" s="15"/>
      <c r="N1091" s="15" t="s">
        <v>99</v>
      </c>
      <c r="O1091" s="15"/>
      <c r="P1091" s="16" t="s">
        <v>1009</v>
      </c>
      <c r="Q1091" s="17">
        <v>8299</v>
      </c>
      <c r="R1091" s="18">
        <v>45</v>
      </c>
      <c r="S1091" s="19">
        <v>5249.1174999999994</v>
      </c>
      <c r="T1091" s="20" t="s">
        <v>75</v>
      </c>
      <c r="U1091" s="21" t="s">
        <v>109</v>
      </c>
      <c r="V1091" s="25" t="s">
        <v>65</v>
      </c>
      <c r="W1091" s="22">
        <v>16</v>
      </c>
      <c r="X1091" s="23"/>
    </row>
    <row r="1092" spans="1:24" s="1" customFormat="1" ht="11" customHeight="1" x14ac:dyDescent="0.3">
      <c r="A1092" s="24" t="s">
        <v>23</v>
      </c>
      <c r="B1092" s="24" t="s">
        <v>821</v>
      </c>
      <c r="C1092" s="12" t="s">
        <v>1008</v>
      </c>
      <c r="D1092" s="58"/>
      <c r="E1092" s="43" t="str">
        <f t="shared" si="66"/>
        <v>Еще фото</v>
      </c>
      <c r="F1092" s="34" t="s">
        <v>469</v>
      </c>
      <c r="G1092" s="24" t="s">
        <v>237</v>
      </c>
      <c r="H1092" s="24" t="s">
        <v>27</v>
      </c>
      <c r="I1092" s="24" t="s">
        <v>237</v>
      </c>
      <c r="J1092" s="15" t="s">
        <v>37</v>
      </c>
      <c r="K1092" s="16" t="s">
        <v>57</v>
      </c>
      <c r="L1092" s="61"/>
      <c r="M1092" s="15"/>
      <c r="N1092" s="15" t="s">
        <v>99</v>
      </c>
      <c r="O1092" s="15"/>
      <c r="P1092" s="16" t="s">
        <v>1009</v>
      </c>
      <c r="Q1092" s="17">
        <v>8299</v>
      </c>
      <c r="R1092" s="18">
        <v>45</v>
      </c>
      <c r="S1092" s="19">
        <v>5249.1174999999994</v>
      </c>
      <c r="T1092" s="20" t="s">
        <v>75</v>
      </c>
      <c r="U1092" s="21" t="s">
        <v>140</v>
      </c>
      <c r="V1092" s="25" t="s">
        <v>65</v>
      </c>
      <c r="W1092" s="22">
        <v>5</v>
      </c>
      <c r="X1092" s="23"/>
    </row>
    <row r="1093" spans="1:24" s="1" customFormat="1" ht="11" customHeight="1" x14ac:dyDescent="0.3">
      <c r="A1093" s="24" t="s">
        <v>23</v>
      </c>
      <c r="B1093" s="24" t="s">
        <v>821</v>
      </c>
      <c r="C1093" s="12" t="s">
        <v>1008</v>
      </c>
      <c r="D1093" s="58"/>
      <c r="E1093" s="43" t="str">
        <f t="shared" si="66"/>
        <v>Еще фото</v>
      </c>
      <c r="F1093" s="34" t="s">
        <v>469</v>
      </c>
      <c r="G1093" s="24" t="s">
        <v>237</v>
      </c>
      <c r="H1093" s="24" t="s">
        <v>27</v>
      </c>
      <c r="I1093" s="24" t="s">
        <v>237</v>
      </c>
      <c r="J1093" s="15" t="s">
        <v>37</v>
      </c>
      <c r="K1093" s="16" t="s">
        <v>57</v>
      </c>
      <c r="L1093" s="61"/>
      <c r="M1093" s="15"/>
      <c r="N1093" s="15" t="s">
        <v>99</v>
      </c>
      <c r="O1093" s="15"/>
      <c r="P1093" s="16" t="s">
        <v>1009</v>
      </c>
      <c r="Q1093" s="17">
        <v>8299</v>
      </c>
      <c r="R1093" s="18">
        <v>45</v>
      </c>
      <c r="S1093" s="19">
        <v>5249.1174999999994</v>
      </c>
      <c r="T1093" s="20" t="s">
        <v>75</v>
      </c>
      <c r="U1093" s="21" t="s">
        <v>165</v>
      </c>
      <c r="V1093" s="22">
        <v>48</v>
      </c>
      <c r="W1093" s="22">
        <v>12</v>
      </c>
      <c r="X1093" s="23"/>
    </row>
    <row r="1094" spans="1:24" s="1" customFormat="1" ht="11" customHeight="1" x14ac:dyDescent="0.3">
      <c r="A1094" s="24" t="s">
        <v>23</v>
      </c>
      <c r="B1094" s="24" t="s">
        <v>821</v>
      </c>
      <c r="C1094" s="12" t="s">
        <v>1008</v>
      </c>
      <c r="D1094" s="58"/>
      <c r="E1094" s="43" t="str">
        <f t="shared" si="66"/>
        <v>Еще фото</v>
      </c>
      <c r="F1094" s="34" t="s">
        <v>469</v>
      </c>
      <c r="G1094" s="24" t="s">
        <v>237</v>
      </c>
      <c r="H1094" s="24" t="s">
        <v>27</v>
      </c>
      <c r="I1094" s="24" t="s">
        <v>237</v>
      </c>
      <c r="J1094" s="15" t="s">
        <v>37</v>
      </c>
      <c r="K1094" s="16" t="s">
        <v>57</v>
      </c>
      <c r="L1094" s="61"/>
      <c r="M1094" s="15"/>
      <c r="N1094" s="15" t="s">
        <v>99</v>
      </c>
      <c r="O1094" s="15"/>
      <c r="P1094" s="16" t="s">
        <v>1009</v>
      </c>
      <c r="Q1094" s="17">
        <v>8299</v>
      </c>
      <c r="R1094" s="18">
        <v>45</v>
      </c>
      <c r="S1094" s="19">
        <v>5249.1174999999994</v>
      </c>
      <c r="T1094" s="20" t="s">
        <v>75</v>
      </c>
      <c r="U1094" s="21" t="s">
        <v>104</v>
      </c>
      <c r="V1094" s="22">
        <v>48</v>
      </c>
      <c r="W1094" s="22">
        <v>3</v>
      </c>
      <c r="X1094" s="23"/>
    </row>
    <row r="1095" spans="1:24" s="1" customFormat="1" ht="11" customHeight="1" x14ac:dyDescent="0.3">
      <c r="A1095" s="24" t="s">
        <v>23</v>
      </c>
      <c r="B1095" s="24" t="s">
        <v>821</v>
      </c>
      <c r="C1095" s="12" t="s">
        <v>1008</v>
      </c>
      <c r="D1095" s="58"/>
      <c r="E1095" s="43" t="str">
        <f t="shared" si="66"/>
        <v>Еще фото</v>
      </c>
      <c r="F1095" s="34" t="s">
        <v>469</v>
      </c>
      <c r="G1095" s="24" t="s">
        <v>237</v>
      </c>
      <c r="H1095" s="24" t="s">
        <v>27</v>
      </c>
      <c r="I1095" s="24" t="s">
        <v>237</v>
      </c>
      <c r="J1095" s="15" t="s">
        <v>37</v>
      </c>
      <c r="K1095" s="16" t="s">
        <v>57</v>
      </c>
      <c r="L1095" s="61"/>
      <c r="M1095" s="15"/>
      <c r="N1095" s="15" t="s">
        <v>99</v>
      </c>
      <c r="O1095" s="15"/>
      <c r="P1095" s="16" t="s">
        <v>1009</v>
      </c>
      <c r="Q1095" s="17">
        <v>8299</v>
      </c>
      <c r="R1095" s="18">
        <v>45</v>
      </c>
      <c r="S1095" s="19">
        <v>5249.1174999999994</v>
      </c>
      <c r="T1095" s="20" t="s">
        <v>75</v>
      </c>
      <c r="U1095" s="21" t="s">
        <v>166</v>
      </c>
      <c r="V1095" s="25" t="s">
        <v>96</v>
      </c>
      <c r="W1095" s="22">
        <v>7</v>
      </c>
      <c r="X1095" s="23"/>
    </row>
    <row r="1096" spans="1:24" s="1" customFormat="1" ht="11" customHeight="1" x14ac:dyDescent="0.3">
      <c r="A1096" s="24" t="s">
        <v>23</v>
      </c>
      <c r="B1096" s="24" t="s">
        <v>821</v>
      </c>
      <c r="C1096" s="12" t="s">
        <v>1008</v>
      </c>
      <c r="D1096" s="58"/>
      <c r="E1096" s="43" t="str">
        <f t="shared" si="66"/>
        <v>Еще фото</v>
      </c>
      <c r="F1096" s="34" t="s">
        <v>469</v>
      </c>
      <c r="G1096" s="24" t="s">
        <v>237</v>
      </c>
      <c r="H1096" s="24" t="s">
        <v>27</v>
      </c>
      <c r="I1096" s="24" t="s">
        <v>237</v>
      </c>
      <c r="J1096" s="15" t="s">
        <v>37</v>
      </c>
      <c r="K1096" s="16" t="s">
        <v>57</v>
      </c>
      <c r="L1096" s="61"/>
      <c r="M1096" s="15"/>
      <c r="N1096" s="15" t="s">
        <v>99</v>
      </c>
      <c r="O1096" s="15"/>
      <c r="P1096" s="16" t="s">
        <v>1009</v>
      </c>
      <c r="Q1096" s="17">
        <v>8299</v>
      </c>
      <c r="R1096" s="18">
        <v>45</v>
      </c>
      <c r="S1096" s="19">
        <v>5249.1174999999994</v>
      </c>
      <c r="T1096" s="20" t="s">
        <v>75</v>
      </c>
      <c r="U1096" s="21" t="s">
        <v>89</v>
      </c>
      <c r="V1096" s="22">
        <v>50</v>
      </c>
      <c r="W1096" s="22">
        <v>5</v>
      </c>
      <c r="X1096" s="23"/>
    </row>
    <row r="1097" spans="1:24" s="1" customFormat="1" ht="11" customHeight="1" x14ac:dyDescent="0.3">
      <c r="A1097" s="24" t="s">
        <v>23</v>
      </c>
      <c r="B1097" s="24" t="s">
        <v>821</v>
      </c>
      <c r="C1097" s="12" t="s">
        <v>1008</v>
      </c>
      <c r="D1097" s="58"/>
      <c r="E1097" s="43" t="str">
        <f t="shared" si="66"/>
        <v>Еще фото</v>
      </c>
      <c r="F1097" s="34" t="s">
        <v>469</v>
      </c>
      <c r="G1097" s="24" t="s">
        <v>237</v>
      </c>
      <c r="H1097" s="24" t="s">
        <v>27</v>
      </c>
      <c r="I1097" s="24" t="s">
        <v>237</v>
      </c>
      <c r="J1097" s="15" t="s">
        <v>37</v>
      </c>
      <c r="K1097" s="16" t="s">
        <v>57</v>
      </c>
      <c r="L1097" s="61"/>
      <c r="M1097" s="15"/>
      <c r="N1097" s="15" t="s">
        <v>99</v>
      </c>
      <c r="O1097" s="15"/>
      <c r="P1097" s="16" t="s">
        <v>1009</v>
      </c>
      <c r="Q1097" s="17">
        <v>8299</v>
      </c>
      <c r="R1097" s="18">
        <v>45</v>
      </c>
      <c r="S1097" s="19">
        <v>5249.1174999999994</v>
      </c>
      <c r="T1097" s="20" t="s">
        <v>75</v>
      </c>
      <c r="U1097" s="21" t="s">
        <v>100</v>
      </c>
      <c r="V1097" s="22">
        <v>50</v>
      </c>
      <c r="W1097" s="22">
        <v>9</v>
      </c>
      <c r="X1097" s="23"/>
    </row>
    <row r="1098" spans="1:24" s="1" customFormat="1" ht="11" customHeight="1" x14ac:dyDescent="0.3">
      <c r="A1098" s="15" t="s">
        <v>23</v>
      </c>
      <c r="B1098" s="15" t="s">
        <v>821</v>
      </c>
      <c r="C1098" s="12" t="s">
        <v>1008</v>
      </c>
      <c r="D1098" s="59"/>
      <c r="E1098" s="43" t="str">
        <f t="shared" si="66"/>
        <v>Еще фото</v>
      </c>
      <c r="F1098" s="35" t="s">
        <v>469</v>
      </c>
      <c r="G1098" s="15" t="s">
        <v>237</v>
      </c>
      <c r="H1098" s="15" t="s">
        <v>27</v>
      </c>
      <c r="I1098" s="15" t="s">
        <v>237</v>
      </c>
      <c r="J1098" s="15" t="s">
        <v>37</v>
      </c>
      <c r="K1098" s="15" t="s">
        <v>57</v>
      </c>
      <c r="L1098" s="62"/>
      <c r="M1098" s="15"/>
      <c r="N1098" s="15" t="s">
        <v>99</v>
      </c>
      <c r="O1098" s="15"/>
      <c r="P1098" s="15" t="s">
        <v>1009</v>
      </c>
      <c r="Q1098" s="27">
        <v>8299</v>
      </c>
      <c r="R1098" s="28">
        <v>45</v>
      </c>
      <c r="S1098" s="29">
        <v>5249.1174999999994</v>
      </c>
      <c r="T1098" s="20" t="s">
        <v>75</v>
      </c>
      <c r="U1098" s="21" t="s">
        <v>167</v>
      </c>
      <c r="V1098" s="22">
        <v>52</v>
      </c>
      <c r="W1098" s="22">
        <v>6</v>
      </c>
      <c r="X1098" s="23"/>
    </row>
    <row r="1099" spans="1:24" s="1" customFormat="1" ht="52.05" customHeight="1" x14ac:dyDescent="0.3">
      <c r="A1099" s="11" t="s">
        <v>23</v>
      </c>
      <c r="B1099" s="11" t="s">
        <v>821</v>
      </c>
      <c r="C1099" s="12" t="s">
        <v>1010</v>
      </c>
      <c r="D1099" s="63"/>
      <c r="E1099" s="43" t="str">
        <f>HYPERLINK("https://www.google.ru/search?q=04511-6518&amp;newwindow=1&amp;tbm=isch","Еще фото")</f>
        <v>Еще фото</v>
      </c>
      <c r="F1099" s="14"/>
      <c r="G1099" s="11" t="s">
        <v>237</v>
      </c>
      <c r="H1099" s="11" t="s">
        <v>27</v>
      </c>
      <c r="I1099" s="15" t="s">
        <v>237</v>
      </c>
      <c r="J1099" s="15" t="s">
        <v>37</v>
      </c>
      <c r="K1099" s="16" t="s">
        <v>57</v>
      </c>
      <c r="L1099" s="60" t="s">
        <v>533</v>
      </c>
      <c r="M1099" s="15"/>
      <c r="N1099" s="15" t="s">
        <v>130</v>
      </c>
      <c r="O1099" s="15"/>
      <c r="P1099" s="16" t="s">
        <v>1009</v>
      </c>
      <c r="Q1099" s="17">
        <v>15199</v>
      </c>
      <c r="R1099" s="18">
        <v>45</v>
      </c>
      <c r="S1099" s="19">
        <v>9613.3675000000003</v>
      </c>
      <c r="T1099" s="20" t="s">
        <v>75</v>
      </c>
      <c r="U1099" s="21" t="s">
        <v>173</v>
      </c>
      <c r="V1099" s="25" t="s">
        <v>63</v>
      </c>
      <c r="W1099" s="22">
        <v>1</v>
      </c>
      <c r="X1099" s="23"/>
    </row>
    <row r="1100" spans="1:24" s="1" customFormat="1" ht="61.05" customHeight="1" x14ac:dyDescent="0.3">
      <c r="A1100" s="24" t="s">
        <v>23</v>
      </c>
      <c r="B1100" s="24" t="s">
        <v>821</v>
      </c>
      <c r="C1100" s="12" t="s">
        <v>1010</v>
      </c>
      <c r="D1100" s="64"/>
      <c r="E1100" s="43" t="str">
        <f>HYPERLINK("https://www.google.ru/search?q=04511-6518&amp;newwindow=1&amp;tbm=isch","Еще фото")</f>
        <v>Еще фото</v>
      </c>
      <c r="F1100" s="14"/>
      <c r="G1100" s="24" t="s">
        <v>237</v>
      </c>
      <c r="H1100" s="24" t="s">
        <v>27</v>
      </c>
      <c r="I1100" s="24" t="s">
        <v>237</v>
      </c>
      <c r="J1100" s="15" t="s">
        <v>37</v>
      </c>
      <c r="K1100" s="16" t="s">
        <v>57</v>
      </c>
      <c r="L1100" s="62"/>
      <c r="M1100" s="15"/>
      <c r="N1100" s="15" t="s">
        <v>130</v>
      </c>
      <c r="O1100" s="15"/>
      <c r="P1100" s="16" t="s">
        <v>1009</v>
      </c>
      <c r="Q1100" s="17">
        <v>15199</v>
      </c>
      <c r="R1100" s="18">
        <v>45</v>
      </c>
      <c r="S1100" s="19">
        <v>9613.3675000000003</v>
      </c>
      <c r="T1100" s="20" t="s">
        <v>75</v>
      </c>
      <c r="U1100" s="21" t="s">
        <v>53</v>
      </c>
      <c r="V1100" s="22">
        <v>46</v>
      </c>
      <c r="W1100" s="22">
        <v>1</v>
      </c>
      <c r="X1100" s="23"/>
    </row>
    <row r="1101" spans="1:24" s="1" customFormat="1" ht="11" customHeight="1" x14ac:dyDescent="0.3">
      <c r="A1101" s="11" t="s">
        <v>23</v>
      </c>
      <c r="B1101" s="11" t="s">
        <v>821</v>
      </c>
      <c r="C1101" s="12" t="s">
        <v>1011</v>
      </c>
      <c r="D1101" s="57"/>
      <c r="E1101" s="43" t="str">
        <f t="shared" ref="E1101:E1110" si="67">HYPERLINK("https://www.google.ru/search?q=04511-6523&amp;newwindow=1&amp;tbm=isch","Еще фото")</f>
        <v>Еще фото</v>
      </c>
      <c r="F1101" s="34" t="s">
        <v>469</v>
      </c>
      <c r="G1101" s="11" t="s">
        <v>237</v>
      </c>
      <c r="H1101" s="11" t="s">
        <v>27</v>
      </c>
      <c r="I1101" s="15" t="s">
        <v>237</v>
      </c>
      <c r="J1101" s="15" t="s">
        <v>37</v>
      </c>
      <c r="K1101" s="16" t="s">
        <v>57</v>
      </c>
      <c r="L1101" s="60"/>
      <c r="M1101" s="15"/>
      <c r="N1101" s="15" t="s">
        <v>87</v>
      </c>
      <c r="O1101" s="15"/>
      <c r="P1101" s="16" t="s">
        <v>1012</v>
      </c>
      <c r="Q1101" s="17">
        <v>16899</v>
      </c>
      <c r="R1101" s="18">
        <v>45</v>
      </c>
      <c r="S1101" s="19">
        <v>10688.6175</v>
      </c>
      <c r="T1101" s="20" t="s">
        <v>75</v>
      </c>
      <c r="U1101" s="21" t="s">
        <v>173</v>
      </c>
      <c r="V1101" s="25" t="s">
        <v>63</v>
      </c>
      <c r="W1101" s="22">
        <v>16</v>
      </c>
      <c r="X1101" s="23"/>
    </row>
    <row r="1102" spans="1:24" s="1" customFormat="1" ht="11" customHeight="1" x14ac:dyDescent="0.3">
      <c r="A1102" s="24" t="s">
        <v>23</v>
      </c>
      <c r="B1102" s="24" t="s">
        <v>821</v>
      </c>
      <c r="C1102" s="12" t="s">
        <v>1011</v>
      </c>
      <c r="D1102" s="58"/>
      <c r="E1102" s="43" t="str">
        <f t="shared" si="67"/>
        <v>Еще фото</v>
      </c>
      <c r="F1102" s="34" t="s">
        <v>469</v>
      </c>
      <c r="G1102" s="24" t="s">
        <v>237</v>
      </c>
      <c r="H1102" s="24" t="s">
        <v>27</v>
      </c>
      <c r="I1102" s="24" t="s">
        <v>237</v>
      </c>
      <c r="J1102" s="15" t="s">
        <v>37</v>
      </c>
      <c r="K1102" s="16" t="s">
        <v>57</v>
      </c>
      <c r="L1102" s="61"/>
      <c r="M1102" s="15"/>
      <c r="N1102" s="15" t="s">
        <v>87</v>
      </c>
      <c r="O1102" s="15"/>
      <c r="P1102" s="16" t="s">
        <v>1012</v>
      </c>
      <c r="Q1102" s="17">
        <v>16899</v>
      </c>
      <c r="R1102" s="18">
        <v>45</v>
      </c>
      <c r="S1102" s="19">
        <v>10688.6175</v>
      </c>
      <c r="T1102" s="20" t="s">
        <v>75</v>
      </c>
      <c r="U1102" s="21" t="s">
        <v>53</v>
      </c>
      <c r="V1102" s="22">
        <v>46</v>
      </c>
      <c r="W1102" s="22">
        <v>18</v>
      </c>
      <c r="X1102" s="23"/>
    </row>
    <row r="1103" spans="1:24" s="1" customFormat="1" ht="11" customHeight="1" x14ac:dyDescent="0.3">
      <c r="A1103" s="24" t="s">
        <v>23</v>
      </c>
      <c r="B1103" s="24" t="s">
        <v>821</v>
      </c>
      <c r="C1103" s="12" t="s">
        <v>1011</v>
      </c>
      <c r="D1103" s="58"/>
      <c r="E1103" s="43" t="str">
        <f t="shared" si="67"/>
        <v>Еще фото</v>
      </c>
      <c r="F1103" s="34" t="s">
        <v>469</v>
      </c>
      <c r="G1103" s="24" t="s">
        <v>237</v>
      </c>
      <c r="H1103" s="24" t="s">
        <v>27</v>
      </c>
      <c r="I1103" s="24" t="s">
        <v>237</v>
      </c>
      <c r="J1103" s="15" t="s">
        <v>37</v>
      </c>
      <c r="K1103" s="16" t="s">
        <v>57</v>
      </c>
      <c r="L1103" s="61"/>
      <c r="M1103" s="15"/>
      <c r="N1103" s="15" t="s">
        <v>87</v>
      </c>
      <c r="O1103" s="15"/>
      <c r="P1103" s="16" t="s">
        <v>1012</v>
      </c>
      <c r="Q1103" s="17">
        <v>16899</v>
      </c>
      <c r="R1103" s="18">
        <v>45</v>
      </c>
      <c r="S1103" s="19">
        <v>10688.6175</v>
      </c>
      <c r="T1103" s="20" t="s">
        <v>75</v>
      </c>
      <c r="U1103" s="21" t="s">
        <v>109</v>
      </c>
      <c r="V1103" s="25" t="s">
        <v>65</v>
      </c>
      <c r="W1103" s="22">
        <v>19</v>
      </c>
      <c r="X1103" s="23"/>
    </row>
    <row r="1104" spans="1:24" s="1" customFormat="1" ht="11" customHeight="1" x14ac:dyDescent="0.3">
      <c r="A1104" s="24" t="s">
        <v>23</v>
      </c>
      <c r="B1104" s="24" t="s">
        <v>821</v>
      </c>
      <c r="C1104" s="12" t="s">
        <v>1011</v>
      </c>
      <c r="D1104" s="58"/>
      <c r="E1104" s="43" t="str">
        <f t="shared" si="67"/>
        <v>Еще фото</v>
      </c>
      <c r="F1104" s="34" t="s">
        <v>469</v>
      </c>
      <c r="G1104" s="24" t="s">
        <v>237</v>
      </c>
      <c r="H1104" s="24" t="s">
        <v>27</v>
      </c>
      <c r="I1104" s="24" t="s">
        <v>237</v>
      </c>
      <c r="J1104" s="15" t="s">
        <v>37</v>
      </c>
      <c r="K1104" s="16" t="s">
        <v>57</v>
      </c>
      <c r="L1104" s="61"/>
      <c r="M1104" s="15"/>
      <c r="N1104" s="15" t="s">
        <v>87</v>
      </c>
      <c r="O1104" s="15"/>
      <c r="P1104" s="16" t="s">
        <v>1012</v>
      </c>
      <c r="Q1104" s="17">
        <v>16899</v>
      </c>
      <c r="R1104" s="18">
        <v>45</v>
      </c>
      <c r="S1104" s="19">
        <v>10688.6175</v>
      </c>
      <c r="T1104" s="20" t="s">
        <v>75</v>
      </c>
      <c r="U1104" s="21" t="s">
        <v>140</v>
      </c>
      <c r="V1104" s="25" t="s">
        <v>65</v>
      </c>
      <c r="W1104" s="22">
        <v>6</v>
      </c>
      <c r="X1104" s="23"/>
    </row>
    <row r="1105" spans="1:24" s="1" customFormat="1" ht="11" customHeight="1" x14ac:dyDescent="0.3">
      <c r="A1105" s="24" t="s">
        <v>23</v>
      </c>
      <c r="B1105" s="24" t="s">
        <v>821</v>
      </c>
      <c r="C1105" s="12" t="s">
        <v>1011</v>
      </c>
      <c r="D1105" s="58"/>
      <c r="E1105" s="43" t="str">
        <f t="shared" si="67"/>
        <v>Еще фото</v>
      </c>
      <c r="F1105" s="34" t="s">
        <v>469</v>
      </c>
      <c r="G1105" s="24" t="s">
        <v>237</v>
      </c>
      <c r="H1105" s="24" t="s">
        <v>27</v>
      </c>
      <c r="I1105" s="24" t="s">
        <v>237</v>
      </c>
      <c r="J1105" s="15" t="s">
        <v>37</v>
      </c>
      <c r="K1105" s="16" t="s">
        <v>57</v>
      </c>
      <c r="L1105" s="61"/>
      <c r="M1105" s="15"/>
      <c r="N1105" s="15" t="s">
        <v>87</v>
      </c>
      <c r="O1105" s="15"/>
      <c r="P1105" s="16" t="s">
        <v>1012</v>
      </c>
      <c r="Q1105" s="17">
        <v>16899</v>
      </c>
      <c r="R1105" s="18">
        <v>45</v>
      </c>
      <c r="S1105" s="19">
        <v>10688.6175</v>
      </c>
      <c r="T1105" s="20" t="s">
        <v>75</v>
      </c>
      <c r="U1105" s="21" t="s">
        <v>165</v>
      </c>
      <c r="V1105" s="22">
        <v>48</v>
      </c>
      <c r="W1105" s="22">
        <v>16</v>
      </c>
      <c r="X1105" s="23"/>
    </row>
    <row r="1106" spans="1:24" s="1" customFormat="1" ht="11" customHeight="1" x14ac:dyDescent="0.3">
      <c r="A1106" s="24" t="s">
        <v>23</v>
      </c>
      <c r="B1106" s="24" t="s">
        <v>821</v>
      </c>
      <c r="C1106" s="12" t="s">
        <v>1011</v>
      </c>
      <c r="D1106" s="58"/>
      <c r="E1106" s="43" t="str">
        <f t="shared" si="67"/>
        <v>Еще фото</v>
      </c>
      <c r="F1106" s="34" t="s">
        <v>469</v>
      </c>
      <c r="G1106" s="24" t="s">
        <v>237</v>
      </c>
      <c r="H1106" s="24" t="s">
        <v>27</v>
      </c>
      <c r="I1106" s="24" t="s">
        <v>237</v>
      </c>
      <c r="J1106" s="15" t="s">
        <v>37</v>
      </c>
      <c r="K1106" s="16" t="s">
        <v>57</v>
      </c>
      <c r="L1106" s="61"/>
      <c r="M1106" s="15"/>
      <c r="N1106" s="15" t="s">
        <v>87</v>
      </c>
      <c r="O1106" s="15"/>
      <c r="P1106" s="16" t="s">
        <v>1012</v>
      </c>
      <c r="Q1106" s="17">
        <v>16899</v>
      </c>
      <c r="R1106" s="18">
        <v>45</v>
      </c>
      <c r="S1106" s="19">
        <v>10688.6175</v>
      </c>
      <c r="T1106" s="20" t="s">
        <v>75</v>
      </c>
      <c r="U1106" s="21" t="s">
        <v>104</v>
      </c>
      <c r="V1106" s="22">
        <v>48</v>
      </c>
      <c r="W1106" s="22">
        <v>4</v>
      </c>
      <c r="X1106" s="23"/>
    </row>
    <row r="1107" spans="1:24" s="1" customFormat="1" ht="11" customHeight="1" x14ac:dyDescent="0.3">
      <c r="A1107" s="24" t="s">
        <v>23</v>
      </c>
      <c r="B1107" s="24" t="s">
        <v>821</v>
      </c>
      <c r="C1107" s="12" t="s">
        <v>1011</v>
      </c>
      <c r="D1107" s="58"/>
      <c r="E1107" s="43" t="str">
        <f t="shared" si="67"/>
        <v>Еще фото</v>
      </c>
      <c r="F1107" s="34" t="s">
        <v>469</v>
      </c>
      <c r="G1107" s="24" t="s">
        <v>237</v>
      </c>
      <c r="H1107" s="24" t="s">
        <v>27</v>
      </c>
      <c r="I1107" s="24" t="s">
        <v>237</v>
      </c>
      <c r="J1107" s="15" t="s">
        <v>37</v>
      </c>
      <c r="K1107" s="16" t="s">
        <v>57</v>
      </c>
      <c r="L1107" s="61"/>
      <c r="M1107" s="15"/>
      <c r="N1107" s="15" t="s">
        <v>87</v>
      </c>
      <c r="O1107" s="15"/>
      <c r="P1107" s="16" t="s">
        <v>1012</v>
      </c>
      <c r="Q1107" s="17">
        <v>16899</v>
      </c>
      <c r="R1107" s="18">
        <v>45</v>
      </c>
      <c r="S1107" s="19">
        <v>10688.6175</v>
      </c>
      <c r="T1107" s="20" t="s">
        <v>75</v>
      </c>
      <c r="U1107" s="21" t="s">
        <v>166</v>
      </c>
      <c r="V1107" s="25" t="s">
        <v>96</v>
      </c>
      <c r="W1107" s="22">
        <v>14</v>
      </c>
      <c r="X1107" s="23"/>
    </row>
    <row r="1108" spans="1:24" s="1" customFormat="1" ht="11" customHeight="1" x14ac:dyDescent="0.3">
      <c r="A1108" s="24" t="s">
        <v>23</v>
      </c>
      <c r="B1108" s="24" t="s">
        <v>821</v>
      </c>
      <c r="C1108" s="12" t="s">
        <v>1011</v>
      </c>
      <c r="D1108" s="58"/>
      <c r="E1108" s="43" t="str">
        <f t="shared" si="67"/>
        <v>Еще фото</v>
      </c>
      <c r="F1108" s="34" t="s">
        <v>469</v>
      </c>
      <c r="G1108" s="24" t="s">
        <v>237</v>
      </c>
      <c r="H1108" s="24" t="s">
        <v>27</v>
      </c>
      <c r="I1108" s="24" t="s">
        <v>237</v>
      </c>
      <c r="J1108" s="15" t="s">
        <v>37</v>
      </c>
      <c r="K1108" s="16" t="s">
        <v>57</v>
      </c>
      <c r="L1108" s="61"/>
      <c r="M1108" s="15"/>
      <c r="N1108" s="15" t="s">
        <v>87</v>
      </c>
      <c r="O1108" s="15"/>
      <c r="P1108" s="16" t="s">
        <v>1012</v>
      </c>
      <c r="Q1108" s="17">
        <v>16899</v>
      </c>
      <c r="R1108" s="18">
        <v>45</v>
      </c>
      <c r="S1108" s="19">
        <v>10688.6175</v>
      </c>
      <c r="T1108" s="20" t="s">
        <v>75</v>
      </c>
      <c r="U1108" s="21" t="s">
        <v>89</v>
      </c>
      <c r="V1108" s="22">
        <v>50</v>
      </c>
      <c r="W1108" s="22">
        <v>10</v>
      </c>
      <c r="X1108" s="23"/>
    </row>
    <row r="1109" spans="1:24" s="1" customFormat="1" ht="11" customHeight="1" x14ac:dyDescent="0.3">
      <c r="A1109" s="24" t="s">
        <v>23</v>
      </c>
      <c r="B1109" s="24" t="s">
        <v>821</v>
      </c>
      <c r="C1109" s="12" t="s">
        <v>1011</v>
      </c>
      <c r="D1109" s="58"/>
      <c r="E1109" s="43" t="str">
        <f t="shared" si="67"/>
        <v>Еще фото</v>
      </c>
      <c r="F1109" s="34" t="s">
        <v>469</v>
      </c>
      <c r="G1109" s="24" t="s">
        <v>237</v>
      </c>
      <c r="H1109" s="24" t="s">
        <v>27</v>
      </c>
      <c r="I1109" s="24" t="s">
        <v>237</v>
      </c>
      <c r="J1109" s="15" t="s">
        <v>37</v>
      </c>
      <c r="K1109" s="16" t="s">
        <v>57</v>
      </c>
      <c r="L1109" s="61"/>
      <c r="M1109" s="15"/>
      <c r="N1109" s="15" t="s">
        <v>87</v>
      </c>
      <c r="O1109" s="15"/>
      <c r="P1109" s="16" t="s">
        <v>1012</v>
      </c>
      <c r="Q1109" s="17">
        <v>16899</v>
      </c>
      <c r="R1109" s="18">
        <v>45</v>
      </c>
      <c r="S1109" s="19">
        <v>10688.6175</v>
      </c>
      <c r="T1109" s="20" t="s">
        <v>75</v>
      </c>
      <c r="U1109" s="21" t="s">
        <v>100</v>
      </c>
      <c r="V1109" s="22">
        <v>50</v>
      </c>
      <c r="W1109" s="22">
        <v>11</v>
      </c>
      <c r="X1109" s="23"/>
    </row>
    <row r="1110" spans="1:24" s="1" customFormat="1" ht="11" customHeight="1" x14ac:dyDescent="0.3">
      <c r="A1110" s="15" t="s">
        <v>23</v>
      </c>
      <c r="B1110" s="15" t="s">
        <v>821</v>
      </c>
      <c r="C1110" s="12" t="s">
        <v>1011</v>
      </c>
      <c r="D1110" s="59"/>
      <c r="E1110" s="43" t="str">
        <f t="shared" si="67"/>
        <v>Еще фото</v>
      </c>
      <c r="F1110" s="35" t="s">
        <v>469</v>
      </c>
      <c r="G1110" s="15" t="s">
        <v>237</v>
      </c>
      <c r="H1110" s="15" t="s">
        <v>27</v>
      </c>
      <c r="I1110" s="15" t="s">
        <v>237</v>
      </c>
      <c r="J1110" s="15" t="s">
        <v>37</v>
      </c>
      <c r="K1110" s="15" t="s">
        <v>57</v>
      </c>
      <c r="L1110" s="62"/>
      <c r="M1110" s="15"/>
      <c r="N1110" s="15" t="s">
        <v>87</v>
      </c>
      <c r="O1110" s="15"/>
      <c r="P1110" s="15" t="s">
        <v>1012</v>
      </c>
      <c r="Q1110" s="27">
        <v>16899</v>
      </c>
      <c r="R1110" s="28">
        <v>45</v>
      </c>
      <c r="S1110" s="29">
        <v>10688.6175</v>
      </c>
      <c r="T1110" s="20" t="s">
        <v>75</v>
      </c>
      <c r="U1110" s="21" t="s">
        <v>167</v>
      </c>
      <c r="V1110" s="22">
        <v>52</v>
      </c>
      <c r="W1110" s="22">
        <v>12</v>
      </c>
      <c r="X1110" s="23"/>
    </row>
    <row r="1111" spans="1:24" s="1" customFormat="1" ht="52.05" customHeight="1" x14ac:dyDescent="0.3">
      <c r="A1111" s="11" t="s">
        <v>23</v>
      </c>
      <c r="B1111" s="11" t="s">
        <v>821</v>
      </c>
      <c r="C1111" s="12" t="s">
        <v>1013</v>
      </c>
      <c r="D1111" s="63"/>
      <c r="E1111" s="43" t="str">
        <f>HYPERLINK("https://www.google.ru/search?q=04511-6534&amp;newwindow=1&amp;tbm=isch","Еще фото")</f>
        <v>Еще фото</v>
      </c>
      <c r="F1111" s="14"/>
      <c r="G1111" s="11" t="s">
        <v>237</v>
      </c>
      <c r="H1111" s="11" t="s">
        <v>27</v>
      </c>
      <c r="I1111" s="15" t="s">
        <v>237</v>
      </c>
      <c r="J1111" s="15" t="s">
        <v>37</v>
      </c>
      <c r="K1111" s="16" t="s">
        <v>57</v>
      </c>
      <c r="L1111" s="60" t="s">
        <v>533</v>
      </c>
      <c r="M1111" s="15"/>
      <c r="N1111" s="15" t="s">
        <v>138</v>
      </c>
      <c r="O1111" s="15"/>
      <c r="P1111" s="16" t="s">
        <v>358</v>
      </c>
      <c r="Q1111" s="17">
        <v>12099</v>
      </c>
      <c r="R1111" s="18">
        <v>45</v>
      </c>
      <c r="S1111" s="19">
        <v>7652.6174999999994</v>
      </c>
      <c r="T1111" s="20" t="s">
        <v>75</v>
      </c>
      <c r="U1111" s="21" t="s">
        <v>165</v>
      </c>
      <c r="V1111" s="22">
        <v>48</v>
      </c>
      <c r="W1111" s="22">
        <v>1</v>
      </c>
      <c r="X1111" s="23"/>
    </row>
    <row r="1112" spans="1:24" s="1" customFormat="1" ht="61.05" customHeight="1" x14ac:dyDescent="0.3">
      <c r="A1112" s="24" t="s">
        <v>23</v>
      </c>
      <c r="B1112" s="24" t="s">
        <v>821</v>
      </c>
      <c r="C1112" s="12" t="s">
        <v>1013</v>
      </c>
      <c r="D1112" s="64"/>
      <c r="E1112" s="43" t="str">
        <f>HYPERLINK("https://www.google.ru/search?q=04511-6534&amp;newwindow=1&amp;tbm=isch","Еще фото")</f>
        <v>Еще фото</v>
      </c>
      <c r="F1112" s="14"/>
      <c r="G1112" s="24" t="s">
        <v>237</v>
      </c>
      <c r="H1112" s="24" t="s">
        <v>27</v>
      </c>
      <c r="I1112" s="24" t="s">
        <v>237</v>
      </c>
      <c r="J1112" s="15" t="s">
        <v>37</v>
      </c>
      <c r="K1112" s="16" t="s">
        <v>57</v>
      </c>
      <c r="L1112" s="62"/>
      <c r="M1112" s="15"/>
      <c r="N1112" s="15" t="s">
        <v>138</v>
      </c>
      <c r="O1112" s="15"/>
      <c r="P1112" s="16" t="s">
        <v>358</v>
      </c>
      <c r="Q1112" s="17">
        <v>12099</v>
      </c>
      <c r="R1112" s="18">
        <v>45</v>
      </c>
      <c r="S1112" s="19">
        <v>7652.6174999999994</v>
      </c>
      <c r="T1112" s="20" t="s">
        <v>75</v>
      </c>
      <c r="U1112" s="21" t="s">
        <v>166</v>
      </c>
      <c r="V1112" s="25" t="s">
        <v>96</v>
      </c>
      <c r="W1112" s="22">
        <v>1</v>
      </c>
      <c r="X1112" s="23"/>
    </row>
    <row r="1113" spans="1:24" s="1" customFormat="1" ht="14" customHeight="1" x14ac:dyDescent="0.3">
      <c r="A1113" s="11" t="s">
        <v>23</v>
      </c>
      <c r="B1113" s="11" t="s">
        <v>821</v>
      </c>
      <c r="C1113" s="12" t="s">
        <v>1014</v>
      </c>
      <c r="D1113" s="57"/>
      <c r="E1113" s="43" t="str">
        <f t="shared" ref="E1113:E1119" si="68">HYPERLINK("https://www.google.ru/search?q=04511-6556&amp;newwindow=1&amp;tbm=isch","Еще фото")</f>
        <v>Еще фото</v>
      </c>
      <c r="F1113" s="34" t="s">
        <v>469</v>
      </c>
      <c r="G1113" s="11" t="s">
        <v>237</v>
      </c>
      <c r="H1113" s="11" t="s">
        <v>27</v>
      </c>
      <c r="I1113" s="15" t="s">
        <v>237</v>
      </c>
      <c r="J1113" s="15" t="s">
        <v>37</v>
      </c>
      <c r="K1113" s="16" t="s">
        <v>57</v>
      </c>
      <c r="L1113" s="60"/>
      <c r="M1113" s="15"/>
      <c r="N1113" s="15" t="s">
        <v>130</v>
      </c>
      <c r="O1113" s="15"/>
      <c r="P1113" s="16" t="s">
        <v>1012</v>
      </c>
      <c r="Q1113" s="17">
        <v>8299</v>
      </c>
      <c r="R1113" s="18">
        <v>45</v>
      </c>
      <c r="S1113" s="19">
        <v>5249.1174999999994</v>
      </c>
      <c r="T1113" s="20" t="s">
        <v>75</v>
      </c>
      <c r="U1113" s="21" t="s">
        <v>173</v>
      </c>
      <c r="V1113" s="25" t="s">
        <v>63</v>
      </c>
      <c r="W1113" s="22">
        <v>6</v>
      </c>
      <c r="X1113" s="23"/>
    </row>
    <row r="1114" spans="1:24" s="1" customFormat="1" ht="14" customHeight="1" x14ac:dyDescent="0.3">
      <c r="A1114" s="24" t="s">
        <v>23</v>
      </c>
      <c r="B1114" s="24" t="s">
        <v>821</v>
      </c>
      <c r="C1114" s="12" t="s">
        <v>1014</v>
      </c>
      <c r="D1114" s="58"/>
      <c r="E1114" s="43" t="str">
        <f t="shared" si="68"/>
        <v>Еще фото</v>
      </c>
      <c r="F1114" s="34" t="s">
        <v>469</v>
      </c>
      <c r="G1114" s="24" t="s">
        <v>237</v>
      </c>
      <c r="H1114" s="24" t="s">
        <v>27</v>
      </c>
      <c r="I1114" s="24" t="s">
        <v>237</v>
      </c>
      <c r="J1114" s="15" t="s">
        <v>37</v>
      </c>
      <c r="K1114" s="16" t="s">
        <v>57</v>
      </c>
      <c r="L1114" s="61"/>
      <c r="M1114" s="15"/>
      <c r="N1114" s="15" t="s">
        <v>130</v>
      </c>
      <c r="O1114" s="15"/>
      <c r="P1114" s="16" t="s">
        <v>1012</v>
      </c>
      <c r="Q1114" s="17">
        <v>8299</v>
      </c>
      <c r="R1114" s="18">
        <v>45</v>
      </c>
      <c r="S1114" s="19">
        <v>5249.1174999999994</v>
      </c>
      <c r="T1114" s="20" t="s">
        <v>75</v>
      </c>
      <c r="U1114" s="21" t="s">
        <v>53</v>
      </c>
      <c r="V1114" s="22">
        <v>46</v>
      </c>
      <c r="W1114" s="22">
        <v>6</v>
      </c>
      <c r="X1114" s="23"/>
    </row>
    <row r="1115" spans="1:24" s="1" customFormat="1" ht="14" customHeight="1" x14ac:dyDescent="0.3">
      <c r="A1115" s="24" t="s">
        <v>23</v>
      </c>
      <c r="B1115" s="24" t="s">
        <v>821</v>
      </c>
      <c r="C1115" s="12" t="s">
        <v>1014</v>
      </c>
      <c r="D1115" s="58"/>
      <c r="E1115" s="43" t="str">
        <f t="shared" si="68"/>
        <v>Еще фото</v>
      </c>
      <c r="F1115" s="34" t="s">
        <v>469</v>
      </c>
      <c r="G1115" s="24" t="s">
        <v>237</v>
      </c>
      <c r="H1115" s="24" t="s">
        <v>27</v>
      </c>
      <c r="I1115" s="24" t="s">
        <v>237</v>
      </c>
      <c r="J1115" s="15" t="s">
        <v>37</v>
      </c>
      <c r="K1115" s="16" t="s">
        <v>57</v>
      </c>
      <c r="L1115" s="61"/>
      <c r="M1115" s="15"/>
      <c r="N1115" s="15" t="s">
        <v>130</v>
      </c>
      <c r="O1115" s="15"/>
      <c r="P1115" s="16" t="s">
        <v>1012</v>
      </c>
      <c r="Q1115" s="17">
        <v>8299</v>
      </c>
      <c r="R1115" s="18">
        <v>45</v>
      </c>
      <c r="S1115" s="19">
        <v>5249.1174999999994</v>
      </c>
      <c r="T1115" s="20" t="s">
        <v>75</v>
      </c>
      <c r="U1115" s="21" t="s">
        <v>109</v>
      </c>
      <c r="V1115" s="25" t="s">
        <v>65</v>
      </c>
      <c r="W1115" s="22">
        <v>6</v>
      </c>
      <c r="X1115" s="23"/>
    </row>
    <row r="1116" spans="1:24" s="1" customFormat="1" ht="14" customHeight="1" x14ac:dyDescent="0.3">
      <c r="A1116" s="24" t="s">
        <v>23</v>
      </c>
      <c r="B1116" s="24" t="s">
        <v>821</v>
      </c>
      <c r="C1116" s="12" t="s">
        <v>1014</v>
      </c>
      <c r="D1116" s="58"/>
      <c r="E1116" s="43" t="str">
        <f t="shared" si="68"/>
        <v>Еще фото</v>
      </c>
      <c r="F1116" s="34" t="s">
        <v>469</v>
      </c>
      <c r="G1116" s="24" t="s">
        <v>237</v>
      </c>
      <c r="H1116" s="24" t="s">
        <v>27</v>
      </c>
      <c r="I1116" s="24" t="s">
        <v>237</v>
      </c>
      <c r="J1116" s="15" t="s">
        <v>37</v>
      </c>
      <c r="K1116" s="16" t="s">
        <v>57</v>
      </c>
      <c r="L1116" s="61"/>
      <c r="M1116" s="15"/>
      <c r="N1116" s="15" t="s">
        <v>130</v>
      </c>
      <c r="O1116" s="15"/>
      <c r="P1116" s="16" t="s">
        <v>1012</v>
      </c>
      <c r="Q1116" s="17">
        <v>8299</v>
      </c>
      <c r="R1116" s="18">
        <v>45</v>
      </c>
      <c r="S1116" s="19">
        <v>5249.1174999999994</v>
      </c>
      <c r="T1116" s="20" t="s">
        <v>75</v>
      </c>
      <c r="U1116" s="21" t="s">
        <v>140</v>
      </c>
      <c r="V1116" s="25" t="s">
        <v>65</v>
      </c>
      <c r="W1116" s="22">
        <v>3</v>
      </c>
      <c r="X1116" s="23"/>
    </row>
    <row r="1117" spans="1:24" s="1" customFormat="1" ht="14" customHeight="1" x14ac:dyDescent="0.3">
      <c r="A1117" s="24" t="s">
        <v>23</v>
      </c>
      <c r="B1117" s="24" t="s">
        <v>821</v>
      </c>
      <c r="C1117" s="12" t="s">
        <v>1014</v>
      </c>
      <c r="D1117" s="58"/>
      <c r="E1117" s="43" t="str">
        <f t="shared" si="68"/>
        <v>Еще фото</v>
      </c>
      <c r="F1117" s="34" t="s">
        <v>469</v>
      </c>
      <c r="G1117" s="24" t="s">
        <v>237</v>
      </c>
      <c r="H1117" s="24" t="s">
        <v>27</v>
      </c>
      <c r="I1117" s="24" t="s">
        <v>237</v>
      </c>
      <c r="J1117" s="15" t="s">
        <v>37</v>
      </c>
      <c r="K1117" s="16" t="s">
        <v>57</v>
      </c>
      <c r="L1117" s="61"/>
      <c r="M1117" s="15"/>
      <c r="N1117" s="15" t="s">
        <v>130</v>
      </c>
      <c r="O1117" s="15"/>
      <c r="P1117" s="16" t="s">
        <v>1012</v>
      </c>
      <c r="Q1117" s="17">
        <v>8299</v>
      </c>
      <c r="R1117" s="18">
        <v>45</v>
      </c>
      <c r="S1117" s="19">
        <v>5249.1174999999994</v>
      </c>
      <c r="T1117" s="20" t="s">
        <v>75</v>
      </c>
      <c r="U1117" s="21" t="s">
        <v>165</v>
      </c>
      <c r="V1117" s="22">
        <v>48</v>
      </c>
      <c r="W1117" s="22">
        <v>4</v>
      </c>
      <c r="X1117" s="23"/>
    </row>
    <row r="1118" spans="1:24" s="1" customFormat="1" ht="14" customHeight="1" x14ac:dyDescent="0.3">
      <c r="A1118" s="24" t="s">
        <v>23</v>
      </c>
      <c r="B1118" s="24" t="s">
        <v>821</v>
      </c>
      <c r="C1118" s="12" t="s">
        <v>1014</v>
      </c>
      <c r="D1118" s="58"/>
      <c r="E1118" s="43" t="str">
        <f t="shared" si="68"/>
        <v>Еще фото</v>
      </c>
      <c r="F1118" s="34" t="s">
        <v>469</v>
      </c>
      <c r="G1118" s="24" t="s">
        <v>237</v>
      </c>
      <c r="H1118" s="24" t="s">
        <v>27</v>
      </c>
      <c r="I1118" s="24" t="s">
        <v>237</v>
      </c>
      <c r="J1118" s="15" t="s">
        <v>37</v>
      </c>
      <c r="K1118" s="16" t="s">
        <v>57</v>
      </c>
      <c r="L1118" s="61"/>
      <c r="M1118" s="15"/>
      <c r="N1118" s="15" t="s">
        <v>130</v>
      </c>
      <c r="O1118" s="15"/>
      <c r="P1118" s="16" t="s">
        <v>1012</v>
      </c>
      <c r="Q1118" s="17">
        <v>8299</v>
      </c>
      <c r="R1118" s="18">
        <v>45</v>
      </c>
      <c r="S1118" s="19">
        <v>5249.1174999999994</v>
      </c>
      <c r="T1118" s="20" t="s">
        <v>75</v>
      </c>
      <c r="U1118" s="21" t="s">
        <v>200</v>
      </c>
      <c r="V1118" s="25" t="s">
        <v>96</v>
      </c>
      <c r="W1118" s="22">
        <v>1</v>
      </c>
      <c r="X1118" s="23"/>
    </row>
    <row r="1119" spans="1:24" s="1" customFormat="1" ht="17" customHeight="1" x14ac:dyDescent="0.3">
      <c r="A1119" s="24" t="s">
        <v>23</v>
      </c>
      <c r="B1119" s="24" t="s">
        <v>821</v>
      </c>
      <c r="C1119" s="12" t="s">
        <v>1014</v>
      </c>
      <c r="D1119" s="59"/>
      <c r="E1119" s="43" t="str">
        <f t="shared" si="68"/>
        <v>Еще фото</v>
      </c>
      <c r="F1119" s="34" t="s">
        <v>469</v>
      </c>
      <c r="G1119" s="24" t="s">
        <v>237</v>
      </c>
      <c r="H1119" s="24" t="s">
        <v>27</v>
      </c>
      <c r="I1119" s="24" t="s">
        <v>237</v>
      </c>
      <c r="J1119" s="15" t="s">
        <v>37</v>
      </c>
      <c r="K1119" s="16" t="s">
        <v>57</v>
      </c>
      <c r="L1119" s="62"/>
      <c r="M1119" s="15"/>
      <c r="N1119" s="15" t="s">
        <v>130</v>
      </c>
      <c r="O1119" s="15"/>
      <c r="P1119" s="16" t="s">
        <v>1012</v>
      </c>
      <c r="Q1119" s="17">
        <v>8299</v>
      </c>
      <c r="R1119" s="18">
        <v>45</v>
      </c>
      <c r="S1119" s="19">
        <v>5249.1174999999994</v>
      </c>
      <c r="T1119" s="20" t="s">
        <v>75</v>
      </c>
      <c r="U1119" s="21" t="s">
        <v>203</v>
      </c>
      <c r="V1119" s="22">
        <v>50</v>
      </c>
      <c r="W1119" s="22">
        <v>1</v>
      </c>
      <c r="X1119" s="23"/>
    </row>
    <row r="1120" spans="1:24" s="1" customFormat="1" ht="26" customHeight="1" x14ac:dyDescent="0.3">
      <c r="A1120" s="11" t="s">
        <v>23</v>
      </c>
      <c r="B1120" s="11" t="s">
        <v>1015</v>
      </c>
      <c r="C1120" s="12" t="s">
        <v>1016</v>
      </c>
      <c r="D1120" s="57"/>
      <c r="E1120" s="43" t="str">
        <f>HYPERLINK("https://www.google.ru/search?q=05510-1160&amp;newwindow=1&amp;tbm=isch","Еще фото")</f>
        <v>Еще фото</v>
      </c>
      <c r="F1120" s="14"/>
      <c r="G1120" s="11" t="s">
        <v>237</v>
      </c>
      <c r="H1120" s="11" t="s">
        <v>27</v>
      </c>
      <c r="I1120" s="15" t="s">
        <v>237</v>
      </c>
      <c r="J1120" s="15" t="s">
        <v>37</v>
      </c>
      <c r="K1120" s="16" t="s">
        <v>57</v>
      </c>
      <c r="L1120" s="60" t="s">
        <v>357</v>
      </c>
      <c r="M1120" s="15"/>
      <c r="N1120" s="15" t="s">
        <v>87</v>
      </c>
      <c r="O1120" s="15"/>
      <c r="P1120" s="16" t="s">
        <v>554</v>
      </c>
      <c r="Q1120" s="17">
        <v>15799</v>
      </c>
      <c r="R1120" s="18">
        <v>45</v>
      </c>
      <c r="S1120" s="19">
        <v>9992.8675000000003</v>
      </c>
      <c r="T1120" s="20" t="s">
        <v>75</v>
      </c>
      <c r="U1120" s="21" t="s">
        <v>173</v>
      </c>
      <c r="V1120" s="25" t="s">
        <v>63</v>
      </c>
      <c r="W1120" s="22">
        <v>1</v>
      </c>
      <c r="X1120" s="23"/>
    </row>
    <row r="1121" spans="1:24" s="1" customFormat="1" ht="26" customHeight="1" x14ac:dyDescent="0.3">
      <c r="A1121" s="24" t="s">
        <v>23</v>
      </c>
      <c r="B1121" s="24" t="s">
        <v>1015</v>
      </c>
      <c r="C1121" s="12" t="s">
        <v>1016</v>
      </c>
      <c r="D1121" s="58"/>
      <c r="E1121" s="43" t="str">
        <f>HYPERLINK("https://www.google.ru/search?q=05510-1160&amp;newwindow=1&amp;tbm=isch","Еще фото")</f>
        <v>Еще фото</v>
      </c>
      <c r="F1121" s="14"/>
      <c r="G1121" s="24" t="s">
        <v>237</v>
      </c>
      <c r="H1121" s="24" t="s">
        <v>27</v>
      </c>
      <c r="I1121" s="24" t="s">
        <v>237</v>
      </c>
      <c r="J1121" s="15" t="s">
        <v>37</v>
      </c>
      <c r="K1121" s="16" t="s">
        <v>57</v>
      </c>
      <c r="L1121" s="61"/>
      <c r="M1121" s="15"/>
      <c r="N1121" s="15" t="s">
        <v>87</v>
      </c>
      <c r="O1121" s="15"/>
      <c r="P1121" s="16" t="s">
        <v>554</v>
      </c>
      <c r="Q1121" s="17">
        <v>15799</v>
      </c>
      <c r="R1121" s="18">
        <v>45</v>
      </c>
      <c r="S1121" s="19">
        <v>9992.8675000000003</v>
      </c>
      <c r="T1121" s="20" t="s">
        <v>75</v>
      </c>
      <c r="U1121" s="21" t="s">
        <v>53</v>
      </c>
      <c r="V1121" s="22">
        <v>46</v>
      </c>
      <c r="W1121" s="22">
        <v>2</v>
      </c>
      <c r="X1121" s="23"/>
    </row>
    <row r="1122" spans="1:24" s="1" customFormat="1" ht="26" customHeight="1" x14ac:dyDescent="0.3">
      <c r="A1122" s="24" t="s">
        <v>23</v>
      </c>
      <c r="B1122" s="24" t="s">
        <v>1015</v>
      </c>
      <c r="C1122" s="12" t="s">
        <v>1016</v>
      </c>
      <c r="D1122" s="58"/>
      <c r="E1122" s="43" t="str">
        <f>HYPERLINK("https://www.google.ru/search?q=05510-1160&amp;newwindow=1&amp;tbm=isch","Еще фото")</f>
        <v>Еще фото</v>
      </c>
      <c r="F1122" s="14"/>
      <c r="G1122" s="24" t="s">
        <v>237</v>
      </c>
      <c r="H1122" s="24" t="s">
        <v>27</v>
      </c>
      <c r="I1122" s="24" t="s">
        <v>237</v>
      </c>
      <c r="J1122" s="15" t="s">
        <v>37</v>
      </c>
      <c r="K1122" s="16" t="s">
        <v>57</v>
      </c>
      <c r="L1122" s="61"/>
      <c r="M1122" s="15"/>
      <c r="N1122" s="15" t="s">
        <v>87</v>
      </c>
      <c r="O1122" s="15"/>
      <c r="P1122" s="16" t="s">
        <v>554</v>
      </c>
      <c r="Q1122" s="17">
        <v>15799</v>
      </c>
      <c r="R1122" s="18">
        <v>45</v>
      </c>
      <c r="S1122" s="19">
        <v>9992.8675000000003</v>
      </c>
      <c r="T1122" s="20" t="s">
        <v>75</v>
      </c>
      <c r="U1122" s="21" t="s">
        <v>109</v>
      </c>
      <c r="V1122" s="25" t="s">
        <v>65</v>
      </c>
      <c r="W1122" s="22">
        <v>1</v>
      </c>
      <c r="X1122" s="23"/>
    </row>
    <row r="1123" spans="1:24" s="1" customFormat="1" ht="26" customHeight="1" x14ac:dyDescent="0.3">
      <c r="A1123" s="24" t="s">
        <v>23</v>
      </c>
      <c r="B1123" s="24" t="s">
        <v>1015</v>
      </c>
      <c r="C1123" s="12" t="s">
        <v>1016</v>
      </c>
      <c r="D1123" s="59"/>
      <c r="E1123" s="43" t="str">
        <f>HYPERLINK("https://www.google.ru/search?q=05510-1160&amp;newwindow=1&amp;tbm=isch","Еще фото")</f>
        <v>Еще фото</v>
      </c>
      <c r="F1123" s="14"/>
      <c r="G1123" s="24" t="s">
        <v>237</v>
      </c>
      <c r="H1123" s="24" t="s">
        <v>27</v>
      </c>
      <c r="I1123" s="24" t="s">
        <v>237</v>
      </c>
      <c r="J1123" s="15" t="s">
        <v>37</v>
      </c>
      <c r="K1123" s="16" t="s">
        <v>57</v>
      </c>
      <c r="L1123" s="62"/>
      <c r="M1123" s="15"/>
      <c r="N1123" s="15" t="s">
        <v>87</v>
      </c>
      <c r="O1123" s="15"/>
      <c r="P1123" s="16" t="s">
        <v>554</v>
      </c>
      <c r="Q1123" s="17">
        <v>15799</v>
      </c>
      <c r="R1123" s="18">
        <v>45</v>
      </c>
      <c r="S1123" s="19">
        <v>9992.8675000000003</v>
      </c>
      <c r="T1123" s="20" t="s">
        <v>75</v>
      </c>
      <c r="U1123" s="21" t="s">
        <v>165</v>
      </c>
      <c r="V1123" s="22">
        <v>48</v>
      </c>
      <c r="W1123" s="22">
        <v>1</v>
      </c>
      <c r="X1123" s="23"/>
    </row>
    <row r="1124" spans="1:24" s="1" customFormat="1" ht="35" customHeight="1" x14ac:dyDescent="0.3">
      <c r="A1124" s="11" t="s">
        <v>23</v>
      </c>
      <c r="B1124" s="11" t="s">
        <v>1017</v>
      </c>
      <c r="C1124" s="12" t="s">
        <v>1018</v>
      </c>
      <c r="D1124" s="57"/>
      <c r="E1124" s="43" t="str">
        <f>HYPERLINK("https://www.google.ru/search?q=05510-1248&amp;newwindow=1&amp;tbm=isch","Еще фото")</f>
        <v>Еще фото</v>
      </c>
      <c r="F1124" s="14"/>
      <c r="G1124" s="11" t="s">
        <v>237</v>
      </c>
      <c r="H1124" s="11" t="s">
        <v>27</v>
      </c>
      <c r="I1124" s="15" t="s">
        <v>237</v>
      </c>
      <c r="J1124" s="15" t="s">
        <v>37</v>
      </c>
      <c r="K1124" s="16" t="s">
        <v>57</v>
      </c>
      <c r="L1124" s="60" t="s">
        <v>357</v>
      </c>
      <c r="M1124" s="15"/>
      <c r="N1124" s="15" t="s">
        <v>130</v>
      </c>
      <c r="O1124" s="15"/>
      <c r="P1124" s="16" t="s">
        <v>254</v>
      </c>
      <c r="Q1124" s="17">
        <v>14899</v>
      </c>
      <c r="R1124" s="18">
        <v>45</v>
      </c>
      <c r="S1124" s="19">
        <v>9423.6175000000003</v>
      </c>
      <c r="T1124" s="20" t="s">
        <v>75</v>
      </c>
      <c r="U1124" s="21" t="s">
        <v>109</v>
      </c>
      <c r="V1124" s="25" t="s">
        <v>65</v>
      </c>
      <c r="W1124" s="22">
        <v>1</v>
      </c>
      <c r="X1124" s="23"/>
    </row>
    <row r="1125" spans="1:24" s="1" customFormat="1" ht="35" customHeight="1" x14ac:dyDescent="0.3">
      <c r="A1125" s="24" t="s">
        <v>23</v>
      </c>
      <c r="B1125" s="24" t="s">
        <v>1017</v>
      </c>
      <c r="C1125" s="12" t="s">
        <v>1018</v>
      </c>
      <c r="D1125" s="58"/>
      <c r="E1125" s="43" t="str">
        <f>HYPERLINK("https://www.google.ru/search?q=05510-1248&amp;newwindow=1&amp;tbm=isch","Еще фото")</f>
        <v>Еще фото</v>
      </c>
      <c r="F1125" s="14"/>
      <c r="G1125" s="24" t="s">
        <v>237</v>
      </c>
      <c r="H1125" s="24" t="s">
        <v>27</v>
      </c>
      <c r="I1125" s="24" t="s">
        <v>237</v>
      </c>
      <c r="J1125" s="15" t="s">
        <v>37</v>
      </c>
      <c r="K1125" s="16" t="s">
        <v>57</v>
      </c>
      <c r="L1125" s="61"/>
      <c r="M1125" s="15"/>
      <c r="N1125" s="15" t="s">
        <v>130</v>
      </c>
      <c r="O1125" s="15"/>
      <c r="P1125" s="16" t="s">
        <v>254</v>
      </c>
      <c r="Q1125" s="17">
        <v>14899</v>
      </c>
      <c r="R1125" s="18">
        <v>45</v>
      </c>
      <c r="S1125" s="19">
        <v>9423.6175000000003</v>
      </c>
      <c r="T1125" s="20" t="s">
        <v>75</v>
      </c>
      <c r="U1125" s="21" t="s">
        <v>166</v>
      </c>
      <c r="V1125" s="25" t="s">
        <v>96</v>
      </c>
      <c r="W1125" s="22">
        <v>1</v>
      </c>
      <c r="X1125" s="23"/>
    </row>
    <row r="1126" spans="1:24" s="1" customFormat="1" ht="37.049999999999997" customHeight="1" x14ac:dyDescent="0.3">
      <c r="A1126" s="24" t="s">
        <v>23</v>
      </c>
      <c r="B1126" s="24" t="s">
        <v>1017</v>
      </c>
      <c r="C1126" s="12" t="s">
        <v>1018</v>
      </c>
      <c r="D1126" s="59"/>
      <c r="E1126" s="43" t="str">
        <f>HYPERLINK("https://www.google.ru/search?q=05510-1248&amp;newwindow=1&amp;tbm=isch","Еще фото")</f>
        <v>Еще фото</v>
      </c>
      <c r="F1126" s="14"/>
      <c r="G1126" s="24" t="s">
        <v>237</v>
      </c>
      <c r="H1126" s="24" t="s">
        <v>27</v>
      </c>
      <c r="I1126" s="24" t="s">
        <v>237</v>
      </c>
      <c r="J1126" s="15" t="s">
        <v>37</v>
      </c>
      <c r="K1126" s="16" t="s">
        <v>57</v>
      </c>
      <c r="L1126" s="62"/>
      <c r="M1126" s="15"/>
      <c r="N1126" s="15" t="s">
        <v>130</v>
      </c>
      <c r="O1126" s="15"/>
      <c r="P1126" s="16" t="s">
        <v>254</v>
      </c>
      <c r="Q1126" s="17">
        <v>14899</v>
      </c>
      <c r="R1126" s="18">
        <v>45</v>
      </c>
      <c r="S1126" s="19">
        <v>9423.6175000000003</v>
      </c>
      <c r="T1126" s="20" t="s">
        <v>75</v>
      </c>
      <c r="U1126" s="21" t="s">
        <v>167</v>
      </c>
      <c r="V1126" s="22">
        <v>52</v>
      </c>
      <c r="W1126" s="22">
        <v>1</v>
      </c>
      <c r="X1126" s="23"/>
    </row>
    <row r="1127" spans="1:24" s="1" customFormat="1" ht="11" customHeight="1" x14ac:dyDescent="0.3">
      <c r="A1127" s="11" t="s">
        <v>23</v>
      </c>
      <c r="B1127" s="11" t="s">
        <v>1019</v>
      </c>
      <c r="C1127" s="12" t="s">
        <v>1020</v>
      </c>
      <c r="D1127" s="57"/>
      <c r="E1127" s="43" t="str">
        <f t="shared" ref="E1127:E1139" si="69">HYPERLINK("https://www.google.ru/search?q=08513-0933&amp;newwindow=1&amp;tbm=isch","Еще фото")</f>
        <v>Еще фото</v>
      </c>
      <c r="F1127" s="14"/>
      <c r="G1127" s="11" t="s">
        <v>237</v>
      </c>
      <c r="H1127" s="11" t="s">
        <v>27</v>
      </c>
      <c r="I1127" s="15" t="s">
        <v>237</v>
      </c>
      <c r="J1127" s="15" t="s">
        <v>28</v>
      </c>
      <c r="K1127" s="16" t="s">
        <v>57</v>
      </c>
      <c r="L1127" s="60" t="s">
        <v>1021</v>
      </c>
      <c r="M1127" s="15" t="s">
        <v>72</v>
      </c>
      <c r="N1127" s="15" t="s">
        <v>138</v>
      </c>
      <c r="O1127" s="15" t="s">
        <v>121</v>
      </c>
      <c r="P1127" s="16" t="s">
        <v>580</v>
      </c>
      <c r="Q1127" s="17">
        <v>12399</v>
      </c>
      <c r="R1127" s="18">
        <v>45</v>
      </c>
      <c r="S1127" s="19">
        <v>7842.3674999999994</v>
      </c>
      <c r="T1127" s="20" t="s">
        <v>75</v>
      </c>
      <c r="U1127" s="21" t="s">
        <v>173</v>
      </c>
      <c r="V1127" s="25" t="s">
        <v>63</v>
      </c>
      <c r="W1127" s="22">
        <v>1</v>
      </c>
      <c r="X1127" s="23"/>
    </row>
    <row r="1128" spans="1:24" s="1" customFormat="1" ht="11" customHeight="1" x14ac:dyDescent="0.3">
      <c r="A1128" s="24" t="s">
        <v>23</v>
      </c>
      <c r="B1128" s="24" t="s">
        <v>1019</v>
      </c>
      <c r="C1128" s="12" t="s">
        <v>1020</v>
      </c>
      <c r="D1128" s="58"/>
      <c r="E1128" s="43" t="str">
        <f t="shared" si="69"/>
        <v>Еще фото</v>
      </c>
      <c r="F1128" s="14"/>
      <c r="G1128" s="24" t="s">
        <v>237</v>
      </c>
      <c r="H1128" s="24" t="s">
        <v>27</v>
      </c>
      <c r="I1128" s="24" t="s">
        <v>237</v>
      </c>
      <c r="J1128" s="15" t="s">
        <v>28</v>
      </c>
      <c r="K1128" s="16" t="s">
        <v>57</v>
      </c>
      <c r="L1128" s="61"/>
      <c r="M1128" s="15" t="s">
        <v>72</v>
      </c>
      <c r="N1128" s="15" t="s">
        <v>138</v>
      </c>
      <c r="O1128" s="15" t="s">
        <v>121</v>
      </c>
      <c r="P1128" s="16" t="s">
        <v>580</v>
      </c>
      <c r="Q1128" s="17">
        <v>12399</v>
      </c>
      <c r="R1128" s="18">
        <v>45</v>
      </c>
      <c r="S1128" s="19">
        <v>7842.3674999999994</v>
      </c>
      <c r="T1128" s="20" t="s">
        <v>75</v>
      </c>
      <c r="U1128" s="21" t="s">
        <v>52</v>
      </c>
      <c r="V1128" s="22">
        <v>46</v>
      </c>
      <c r="W1128" s="22">
        <v>1</v>
      </c>
      <c r="X1128" s="23"/>
    </row>
    <row r="1129" spans="1:24" s="1" customFormat="1" ht="11" customHeight="1" x14ac:dyDescent="0.3">
      <c r="A1129" s="24" t="s">
        <v>23</v>
      </c>
      <c r="B1129" s="24" t="s">
        <v>1019</v>
      </c>
      <c r="C1129" s="12" t="s">
        <v>1020</v>
      </c>
      <c r="D1129" s="58"/>
      <c r="E1129" s="43" t="str">
        <f t="shared" si="69"/>
        <v>Еще фото</v>
      </c>
      <c r="F1129" s="14"/>
      <c r="G1129" s="24" t="s">
        <v>237</v>
      </c>
      <c r="H1129" s="24" t="s">
        <v>27</v>
      </c>
      <c r="I1129" s="24" t="s">
        <v>237</v>
      </c>
      <c r="J1129" s="15" t="s">
        <v>28</v>
      </c>
      <c r="K1129" s="16" t="s">
        <v>57</v>
      </c>
      <c r="L1129" s="61"/>
      <c r="M1129" s="15" t="s">
        <v>72</v>
      </c>
      <c r="N1129" s="15" t="s">
        <v>138</v>
      </c>
      <c r="O1129" s="15" t="s">
        <v>121</v>
      </c>
      <c r="P1129" s="16" t="s">
        <v>580</v>
      </c>
      <c r="Q1129" s="17">
        <v>12399</v>
      </c>
      <c r="R1129" s="18">
        <v>45</v>
      </c>
      <c r="S1129" s="19">
        <v>7842.3674999999994</v>
      </c>
      <c r="T1129" s="20" t="s">
        <v>75</v>
      </c>
      <c r="U1129" s="21" t="s">
        <v>53</v>
      </c>
      <c r="V1129" s="22">
        <v>46</v>
      </c>
      <c r="W1129" s="22">
        <v>1</v>
      </c>
      <c r="X1129" s="23"/>
    </row>
    <row r="1130" spans="1:24" s="1" customFormat="1" ht="11" customHeight="1" x14ac:dyDescent="0.3">
      <c r="A1130" s="24" t="s">
        <v>23</v>
      </c>
      <c r="B1130" s="24" t="s">
        <v>1019</v>
      </c>
      <c r="C1130" s="12" t="s">
        <v>1020</v>
      </c>
      <c r="D1130" s="58"/>
      <c r="E1130" s="43" t="str">
        <f t="shared" si="69"/>
        <v>Еще фото</v>
      </c>
      <c r="F1130" s="14"/>
      <c r="G1130" s="24" t="s">
        <v>237</v>
      </c>
      <c r="H1130" s="24" t="s">
        <v>27</v>
      </c>
      <c r="I1130" s="24" t="s">
        <v>237</v>
      </c>
      <c r="J1130" s="15" t="s">
        <v>28</v>
      </c>
      <c r="K1130" s="16" t="s">
        <v>57</v>
      </c>
      <c r="L1130" s="61"/>
      <c r="M1130" s="15" t="s">
        <v>72</v>
      </c>
      <c r="N1130" s="15" t="s">
        <v>138</v>
      </c>
      <c r="O1130" s="15" t="s">
        <v>121</v>
      </c>
      <c r="P1130" s="16" t="s">
        <v>580</v>
      </c>
      <c r="Q1130" s="17">
        <v>12399</v>
      </c>
      <c r="R1130" s="18">
        <v>45</v>
      </c>
      <c r="S1130" s="19">
        <v>7842.3674999999994</v>
      </c>
      <c r="T1130" s="20" t="s">
        <v>75</v>
      </c>
      <c r="U1130" s="21" t="s">
        <v>188</v>
      </c>
      <c r="V1130" s="25" t="s">
        <v>65</v>
      </c>
      <c r="W1130" s="22">
        <v>1</v>
      </c>
      <c r="X1130" s="23"/>
    </row>
    <row r="1131" spans="1:24" s="1" customFormat="1" ht="11" customHeight="1" x14ac:dyDescent="0.3">
      <c r="A1131" s="24" t="s">
        <v>23</v>
      </c>
      <c r="B1131" s="24" t="s">
        <v>1019</v>
      </c>
      <c r="C1131" s="12" t="s">
        <v>1020</v>
      </c>
      <c r="D1131" s="58"/>
      <c r="E1131" s="43" t="str">
        <f t="shared" si="69"/>
        <v>Еще фото</v>
      </c>
      <c r="F1131" s="14"/>
      <c r="G1131" s="24" t="s">
        <v>237</v>
      </c>
      <c r="H1131" s="24" t="s">
        <v>27</v>
      </c>
      <c r="I1131" s="24" t="s">
        <v>237</v>
      </c>
      <c r="J1131" s="15" t="s">
        <v>28</v>
      </c>
      <c r="K1131" s="16" t="s">
        <v>57</v>
      </c>
      <c r="L1131" s="61"/>
      <c r="M1131" s="15" t="s">
        <v>72</v>
      </c>
      <c r="N1131" s="15" t="s">
        <v>138</v>
      </c>
      <c r="O1131" s="15" t="s">
        <v>121</v>
      </c>
      <c r="P1131" s="16" t="s">
        <v>580</v>
      </c>
      <c r="Q1131" s="17">
        <v>12399</v>
      </c>
      <c r="R1131" s="18">
        <v>45</v>
      </c>
      <c r="S1131" s="19">
        <v>7842.3674999999994</v>
      </c>
      <c r="T1131" s="20" t="s">
        <v>75</v>
      </c>
      <c r="U1131" s="21" t="s">
        <v>109</v>
      </c>
      <c r="V1131" s="25" t="s">
        <v>65</v>
      </c>
      <c r="W1131" s="22">
        <v>1</v>
      </c>
      <c r="X1131" s="23"/>
    </row>
    <row r="1132" spans="1:24" s="1" customFormat="1" ht="11" customHeight="1" x14ac:dyDescent="0.3">
      <c r="A1132" s="24" t="s">
        <v>23</v>
      </c>
      <c r="B1132" s="24" t="s">
        <v>1019</v>
      </c>
      <c r="C1132" s="12" t="s">
        <v>1020</v>
      </c>
      <c r="D1132" s="58"/>
      <c r="E1132" s="43" t="str">
        <f t="shared" si="69"/>
        <v>Еще фото</v>
      </c>
      <c r="F1132" s="14"/>
      <c r="G1132" s="24" t="s">
        <v>237</v>
      </c>
      <c r="H1132" s="24" t="s">
        <v>27</v>
      </c>
      <c r="I1132" s="24" t="s">
        <v>237</v>
      </c>
      <c r="J1132" s="15" t="s">
        <v>28</v>
      </c>
      <c r="K1132" s="16" t="s">
        <v>57</v>
      </c>
      <c r="L1132" s="61"/>
      <c r="M1132" s="15" t="s">
        <v>72</v>
      </c>
      <c r="N1132" s="15" t="s">
        <v>138</v>
      </c>
      <c r="O1132" s="15" t="s">
        <v>121</v>
      </c>
      <c r="P1132" s="16" t="s">
        <v>580</v>
      </c>
      <c r="Q1132" s="17">
        <v>12399</v>
      </c>
      <c r="R1132" s="18">
        <v>45</v>
      </c>
      <c r="S1132" s="19">
        <v>7842.3674999999994</v>
      </c>
      <c r="T1132" s="20" t="s">
        <v>75</v>
      </c>
      <c r="U1132" s="21" t="s">
        <v>140</v>
      </c>
      <c r="V1132" s="25" t="s">
        <v>65</v>
      </c>
      <c r="W1132" s="22">
        <v>1</v>
      </c>
      <c r="X1132" s="23"/>
    </row>
    <row r="1133" spans="1:24" s="1" customFormat="1" ht="11" customHeight="1" x14ac:dyDescent="0.3">
      <c r="A1133" s="24" t="s">
        <v>23</v>
      </c>
      <c r="B1133" s="24" t="s">
        <v>1019</v>
      </c>
      <c r="C1133" s="12" t="s">
        <v>1020</v>
      </c>
      <c r="D1133" s="58"/>
      <c r="E1133" s="43" t="str">
        <f t="shared" si="69"/>
        <v>Еще фото</v>
      </c>
      <c r="F1133" s="14"/>
      <c r="G1133" s="24" t="s">
        <v>237</v>
      </c>
      <c r="H1133" s="24" t="s">
        <v>27</v>
      </c>
      <c r="I1133" s="24" t="s">
        <v>237</v>
      </c>
      <c r="J1133" s="15" t="s">
        <v>28</v>
      </c>
      <c r="K1133" s="16" t="s">
        <v>57</v>
      </c>
      <c r="L1133" s="61"/>
      <c r="M1133" s="15" t="s">
        <v>72</v>
      </c>
      <c r="N1133" s="15" t="s">
        <v>138</v>
      </c>
      <c r="O1133" s="15" t="s">
        <v>121</v>
      </c>
      <c r="P1133" s="16" t="s">
        <v>580</v>
      </c>
      <c r="Q1133" s="17">
        <v>12399</v>
      </c>
      <c r="R1133" s="18">
        <v>45</v>
      </c>
      <c r="S1133" s="19">
        <v>7842.3674999999994</v>
      </c>
      <c r="T1133" s="20" t="s">
        <v>75</v>
      </c>
      <c r="U1133" s="21" t="s">
        <v>95</v>
      </c>
      <c r="V1133" s="22">
        <v>48</v>
      </c>
      <c r="W1133" s="22">
        <v>1</v>
      </c>
      <c r="X1133" s="23"/>
    </row>
    <row r="1134" spans="1:24" s="1" customFormat="1" ht="11" customHeight="1" x14ac:dyDescent="0.3">
      <c r="A1134" s="24" t="s">
        <v>23</v>
      </c>
      <c r="B1134" s="24" t="s">
        <v>1019</v>
      </c>
      <c r="C1134" s="12" t="s">
        <v>1020</v>
      </c>
      <c r="D1134" s="58"/>
      <c r="E1134" s="43" t="str">
        <f t="shared" si="69"/>
        <v>Еще фото</v>
      </c>
      <c r="F1134" s="14"/>
      <c r="G1134" s="24" t="s">
        <v>237</v>
      </c>
      <c r="H1134" s="24" t="s">
        <v>27</v>
      </c>
      <c r="I1134" s="24" t="s">
        <v>237</v>
      </c>
      <c r="J1134" s="15" t="s">
        <v>28</v>
      </c>
      <c r="K1134" s="16" t="s">
        <v>57</v>
      </c>
      <c r="L1134" s="61"/>
      <c r="M1134" s="15" t="s">
        <v>72</v>
      </c>
      <c r="N1134" s="15" t="s">
        <v>138</v>
      </c>
      <c r="O1134" s="15" t="s">
        <v>121</v>
      </c>
      <c r="P1134" s="16" t="s">
        <v>580</v>
      </c>
      <c r="Q1134" s="17">
        <v>12399</v>
      </c>
      <c r="R1134" s="18">
        <v>45</v>
      </c>
      <c r="S1134" s="19">
        <v>7842.3674999999994</v>
      </c>
      <c r="T1134" s="20" t="s">
        <v>75</v>
      </c>
      <c r="U1134" s="21" t="s">
        <v>165</v>
      </c>
      <c r="V1134" s="22">
        <v>48</v>
      </c>
      <c r="W1134" s="22">
        <v>3</v>
      </c>
      <c r="X1134" s="23"/>
    </row>
    <row r="1135" spans="1:24" s="1" customFormat="1" ht="11" customHeight="1" x14ac:dyDescent="0.3">
      <c r="A1135" s="24" t="s">
        <v>23</v>
      </c>
      <c r="B1135" s="24" t="s">
        <v>1019</v>
      </c>
      <c r="C1135" s="12" t="s">
        <v>1020</v>
      </c>
      <c r="D1135" s="58"/>
      <c r="E1135" s="43" t="str">
        <f t="shared" si="69"/>
        <v>Еще фото</v>
      </c>
      <c r="F1135" s="14"/>
      <c r="G1135" s="24" t="s">
        <v>237</v>
      </c>
      <c r="H1135" s="24" t="s">
        <v>27</v>
      </c>
      <c r="I1135" s="24" t="s">
        <v>237</v>
      </c>
      <c r="J1135" s="15" t="s">
        <v>28</v>
      </c>
      <c r="K1135" s="16" t="s">
        <v>57</v>
      </c>
      <c r="L1135" s="61"/>
      <c r="M1135" s="15" t="s">
        <v>72</v>
      </c>
      <c r="N1135" s="15" t="s">
        <v>138</v>
      </c>
      <c r="O1135" s="15" t="s">
        <v>121</v>
      </c>
      <c r="P1135" s="16" t="s">
        <v>580</v>
      </c>
      <c r="Q1135" s="17">
        <v>12399</v>
      </c>
      <c r="R1135" s="18">
        <v>45</v>
      </c>
      <c r="S1135" s="19">
        <v>7842.3674999999994</v>
      </c>
      <c r="T1135" s="20" t="s">
        <v>75</v>
      </c>
      <c r="U1135" s="21" t="s">
        <v>104</v>
      </c>
      <c r="V1135" s="22">
        <v>48</v>
      </c>
      <c r="W1135" s="22">
        <v>1</v>
      </c>
      <c r="X1135" s="23"/>
    </row>
    <row r="1136" spans="1:24" s="1" customFormat="1" ht="11" customHeight="1" x14ac:dyDescent="0.3">
      <c r="A1136" s="15" t="s">
        <v>23</v>
      </c>
      <c r="B1136" s="15" t="s">
        <v>1019</v>
      </c>
      <c r="C1136" s="12" t="s">
        <v>1020</v>
      </c>
      <c r="D1136" s="58"/>
      <c r="E1136" s="43" t="str">
        <f t="shared" si="69"/>
        <v>Еще фото</v>
      </c>
      <c r="F1136" s="26"/>
      <c r="G1136" s="15" t="s">
        <v>237</v>
      </c>
      <c r="H1136" s="15" t="s">
        <v>27</v>
      </c>
      <c r="I1136" s="15" t="s">
        <v>237</v>
      </c>
      <c r="J1136" s="15" t="s">
        <v>28</v>
      </c>
      <c r="K1136" s="15" t="s">
        <v>57</v>
      </c>
      <c r="L1136" s="61"/>
      <c r="M1136" s="15" t="s">
        <v>72</v>
      </c>
      <c r="N1136" s="15" t="s">
        <v>138</v>
      </c>
      <c r="O1136" s="15" t="s">
        <v>121</v>
      </c>
      <c r="P1136" s="15" t="s">
        <v>580</v>
      </c>
      <c r="Q1136" s="27">
        <v>12399</v>
      </c>
      <c r="R1136" s="28">
        <v>45</v>
      </c>
      <c r="S1136" s="29">
        <v>7842.3674999999994</v>
      </c>
      <c r="T1136" s="20" t="s">
        <v>75</v>
      </c>
      <c r="U1136" s="21" t="s">
        <v>166</v>
      </c>
      <c r="V1136" s="25" t="s">
        <v>96</v>
      </c>
      <c r="W1136" s="22">
        <v>3</v>
      </c>
      <c r="X1136" s="23"/>
    </row>
    <row r="1137" spans="1:24" s="1" customFormat="1" ht="11" customHeight="1" x14ac:dyDescent="0.3">
      <c r="A1137" s="15" t="s">
        <v>23</v>
      </c>
      <c r="B1137" s="15" t="s">
        <v>1019</v>
      </c>
      <c r="C1137" s="12" t="s">
        <v>1020</v>
      </c>
      <c r="D1137" s="58"/>
      <c r="E1137" s="43" t="str">
        <f t="shared" si="69"/>
        <v>Еще фото</v>
      </c>
      <c r="F1137" s="26"/>
      <c r="G1137" s="15" t="s">
        <v>237</v>
      </c>
      <c r="H1137" s="15" t="s">
        <v>27</v>
      </c>
      <c r="I1137" s="15" t="s">
        <v>237</v>
      </c>
      <c r="J1137" s="15" t="s">
        <v>28</v>
      </c>
      <c r="K1137" s="15" t="s">
        <v>57</v>
      </c>
      <c r="L1137" s="61"/>
      <c r="M1137" s="15" t="s">
        <v>72</v>
      </c>
      <c r="N1137" s="15" t="s">
        <v>138</v>
      </c>
      <c r="O1137" s="15" t="s">
        <v>121</v>
      </c>
      <c r="P1137" s="15" t="s">
        <v>580</v>
      </c>
      <c r="Q1137" s="27">
        <v>12399</v>
      </c>
      <c r="R1137" s="28">
        <v>45</v>
      </c>
      <c r="S1137" s="29">
        <v>7842.3674999999994</v>
      </c>
      <c r="T1137" s="20" t="s">
        <v>75</v>
      </c>
      <c r="U1137" s="21" t="s">
        <v>359</v>
      </c>
      <c r="V1137" s="25" t="s">
        <v>96</v>
      </c>
      <c r="W1137" s="22">
        <v>1</v>
      </c>
      <c r="X1137" s="23"/>
    </row>
    <row r="1138" spans="1:24" s="1" customFormat="1" ht="11" customHeight="1" x14ac:dyDescent="0.3">
      <c r="A1138" s="15" t="s">
        <v>23</v>
      </c>
      <c r="B1138" s="15" t="s">
        <v>1019</v>
      </c>
      <c r="C1138" s="12" t="s">
        <v>1020</v>
      </c>
      <c r="D1138" s="58"/>
      <c r="E1138" s="43" t="str">
        <f t="shared" si="69"/>
        <v>Еще фото</v>
      </c>
      <c r="F1138" s="26"/>
      <c r="G1138" s="15" t="s">
        <v>237</v>
      </c>
      <c r="H1138" s="15" t="s">
        <v>27</v>
      </c>
      <c r="I1138" s="15" t="s">
        <v>237</v>
      </c>
      <c r="J1138" s="15" t="s">
        <v>28</v>
      </c>
      <c r="K1138" s="15" t="s">
        <v>57</v>
      </c>
      <c r="L1138" s="61"/>
      <c r="M1138" s="15" t="s">
        <v>72</v>
      </c>
      <c r="N1138" s="15" t="s">
        <v>138</v>
      </c>
      <c r="O1138" s="15" t="s">
        <v>121</v>
      </c>
      <c r="P1138" s="15" t="s">
        <v>580</v>
      </c>
      <c r="Q1138" s="27">
        <v>12399</v>
      </c>
      <c r="R1138" s="28">
        <v>45</v>
      </c>
      <c r="S1138" s="29">
        <v>7842.3674999999994</v>
      </c>
      <c r="T1138" s="20" t="s">
        <v>75</v>
      </c>
      <c r="U1138" s="21" t="s">
        <v>203</v>
      </c>
      <c r="V1138" s="22">
        <v>50</v>
      </c>
      <c r="W1138" s="22">
        <v>1</v>
      </c>
      <c r="X1138" s="23"/>
    </row>
    <row r="1139" spans="1:24" s="1" customFormat="1" ht="11" customHeight="1" x14ac:dyDescent="0.3">
      <c r="A1139" s="15" t="s">
        <v>23</v>
      </c>
      <c r="B1139" s="15" t="s">
        <v>1019</v>
      </c>
      <c r="C1139" s="12" t="s">
        <v>1020</v>
      </c>
      <c r="D1139" s="59"/>
      <c r="E1139" s="43" t="str">
        <f t="shared" si="69"/>
        <v>Еще фото</v>
      </c>
      <c r="F1139" s="26"/>
      <c r="G1139" s="15" t="s">
        <v>237</v>
      </c>
      <c r="H1139" s="15" t="s">
        <v>27</v>
      </c>
      <c r="I1139" s="15" t="s">
        <v>237</v>
      </c>
      <c r="J1139" s="15" t="s">
        <v>28</v>
      </c>
      <c r="K1139" s="15" t="s">
        <v>57</v>
      </c>
      <c r="L1139" s="62"/>
      <c r="M1139" s="15" t="s">
        <v>72</v>
      </c>
      <c r="N1139" s="15" t="s">
        <v>138</v>
      </c>
      <c r="O1139" s="15" t="s">
        <v>121</v>
      </c>
      <c r="P1139" s="15" t="s">
        <v>580</v>
      </c>
      <c r="Q1139" s="27">
        <v>12399</v>
      </c>
      <c r="R1139" s="28">
        <v>45</v>
      </c>
      <c r="S1139" s="29">
        <v>7842.3674999999994</v>
      </c>
      <c r="T1139" s="20" t="s">
        <v>75</v>
      </c>
      <c r="U1139" s="21" t="s">
        <v>89</v>
      </c>
      <c r="V1139" s="22">
        <v>50</v>
      </c>
      <c r="W1139" s="22">
        <v>3</v>
      </c>
      <c r="X1139" s="23"/>
    </row>
    <row r="1140" spans="1:24" s="1" customFormat="1" ht="108" customHeight="1" x14ac:dyDescent="0.3">
      <c r="A1140" s="11" t="s">
        <v>23</v>
      </c>
      <c r="B1140" s="11" t="s">
        <v>1022</v>
      </c>
      <c r="C1140" s="12" t="s">
        <v>1023</v>
      </c>
      <c r="D1140" s="13"/>
      <c r="E1140" s="43" t="str">
        <f>HYPERLINK("https://www.google.ru/search?q=12501-0438&amp;newwindow=1&amp;tbm=isch","Еще фото")</f>
        <v>Еще фото</v>
      </c>
      <c r="F1140" s="14" t="s">
        <v>182</v>
      </c>
      <c r="G1140" s="11" t="s">
        <v>237</v>
      </c>
      <c r="H1140" s="11" t="s">
        <v>27</v>
      </c>
      <c r="I1140" s="15" t="s">
        <v>237</v>
      </c>
      <c r="J1140" s="15" t="s">
        <v>37</v>
      </c>
      <c r="K1140" s="16" t="s">
        <v>29</v>
      </c>
      <c r="L1140" s="15" t="s">
        <v>1024</v>
      </c>
      <c r="M1140" s="15"/>
      <c r="N1140" s="15" t="s">
        <v>130</v>
      </c>
      <c r="O1140" s="15"/>
      <c r="P1140" s="16" t="s">
        <v>32</v>
      </c>
      <c r="Q1140" s="17">
        <v>15399</v>
      </c>
      <c r="R1140" s="18">
        <v>45</v>
      </c>
      <c r="S1140" s="19">
        <v>9739.8675000000003</v>
      </c>
      <c r="T1140" s="20" t="s">
        <v>75</v>
      </c>
      <c r="U1140" s="21" t="s">
        <v>53</v>
      </c>
      <c r="V1140" s="22">
        <v>48</v>
      </c>
      <c r="W1140" s="22">
        <v>1</v>
      </c>
      <c r="X1140" s="23"/>
    </row>
    <row r="1141" spans="1:24" s="1" customFormat="1" ht="52.05" customHeight="1" x14ac:dyDescent="0.3">
      <c r="A1141" s="11" t="s">
        <v>23</v>
      </c>
      <c r="B1141" s="11" t="s">
        <v>1025</v>
      </c>
      <c r="C1141" s="12" t="s">
        <v>1026</v>
      </c>
      <c r="D1141" s="63"/>
      <c r="E1141" s="43" t="str">
        <f>HYPERLINK("https://www.google.ru/search?q=12501-0554&amp;newwindow=1&amp;tbm=isch","Еще фото")</f>
        <v>Еще фото</v>
      </c>
      <c r="F1141" s="34" t="s">
        <v>469</v>
      </c>
      <c r="G1141" s="11" t="s">
        <v>237</v>
      </c>
      <c r="H1141" s="11" t="s">
        <v>27</v>
      </c>
      <c r="I1141" s="15" t="s">
        <v>237</v>
      </c>
      <c r="J1141" s="15" t="s">
        <v>37</v>
      </c>
      <c r="K1141" s="16" t="s">
        <v>29</v>
      </c>
      <c r="L1141" s="60" t="s">
        <v>1027</v>
      </c>
      <c r="M1141" s="15"/>
      <c r="N1141" s="15" t="s">
        <v>130</v>
      </c>
      <c r="O1141" s="15"/>
      <c r="P1141" s="16" t="s">
        <v>254</v>
      </c>
      <c r="Q1141" s="17">
        <v>19499</v>
      </c>
      <c r="R1141" s="18">
        <v>45</v>
      </c>
      <c r="S1141" s="19">
        <v>12333.1175</v>
      </c>
      <c r="T1141" s="20" t="s">
        <v>75</v>
      </c>
      <c r="U1141" s="21" t="s">
        <v>43</v>
      </c>
      <c r="V1141" s="25" t="s">
        <v>44</v>
      </c>
      <c r="W1141" s="22">
        <v>2</v>
      </c>
      <c r="X1141" s="23"/>
    </row>
    <row r="1142" spans="1:24" s="1" customFormat="1" ht="61.05" customHeight="1" x14ac:dyDescent="0.3">
      <c r="A1142" s="24" t="s">
        <v>23</v>
      </c>
      <c r="B1142" s="24" t="s">
        <v>1025</v>
      </c>
      <c r="C1142" s="12" t="s">
        <v>1026</v>
      </c>
      <c r="D1142" s="64"/>
      <c r="E1142" s="43" t="str">
        <f>HYPERLINK("https://www.google.ru/search?q=12501-0554&amp;newwindow=1&amp;tbm=isch","Еще фото")</f>
        <v>Еще фото</v>
      </c>
      <c r="F1142" s="34" t="s">
        <v>469</v>
      </c>
      <c r="G1142" s="24" t="s">
        <v>237</v>
      </c>
      <c r="H1142" s="24" t="s">
        <v>27</v>
      </c>
      <c r="I1142" s="24" t="s">
        <v>237</v>
      </c>
      <c r="J1142" s="15" t="s">
        <v>37</v>
      </c>
      <c r="K1142" s="16" t="s">
        <v>29</v>
      </c>
      <c r="L1142" s="62"/>
      <c r="M1142" s="15"/>
      <c r="N1142" s="15" t="s">
        <v>130</v>
      </c>
      <c r="O1142" s="15"/>
      <c r="P1142" s="16" t="s">
        <v>254</v>
      </c>
      <c r="Q1142" s="17">
        <v>19499</v>
      </c>
      <c r="R1142" s="18">
        <v>45</v>
      </c>
      <c r="S1142" s="19">
        <v>12333.1175</v>
      </c>
      <c r="T1142" s="20" t="s">
        <v>75</v>
      </c>
      <c r="U1142" s="21" t="s">
        <v>46</v>
      </c>
      <c r="V1142" s="22">
        <v>42</v>
      </c>
      <c r="W1142" s="22">
        <v>1</v>
      </c>
      <c r="X1142" s="23"/>
    </row>
    <row r="1143" spans="1:24" s="1" customFormat="1" ht="26" customHeight="1" x14ac:dyDescent="0.3">
      <c r="A1143" s="11" t="s">
        <v>23</v>
      </c>
      <c r="B1143" s="11" t="s">
        <v>1028</v>
      </c>
      <c r="C1143" s="12" t="s">
        <v>1029</v>
      </c>
      <c r="D1143" s="57"/>
      <c r="E1143" s="43" t="str">
        <f>HYPERLINK("https://www.google.ru/search?q=12501-0599&amp;newwindow=1&amp;tbm=isch","Еще фото")</f>
        <v>Еще фото</v>
      </c>
      <c r="F1143" s="34" t="s">
        <v>469</v>
      </c>
      <c r="G1143" s="11" t="s">
        <v>237</v>
      </c>
      <c r="H1143" s="11" t="s">
        <v>27</v>
      </c>
      <c r="I1143" s="15" t="s">
        <v>237</v>
      </c>
      <c r="J1143" s="15" t="s">
        <v>37</v>
      </c>
      <c r="K1143" s="16" t="s">
        <v>29</v>
      </c>
      <c r="L1143" s="60" t="s">
        <v>1030</v>
      </c>
      <c r="M1143" s="15"/>
      <c r="N1143" s="15" t="s">
        <v>130</v>
      </c>
      <c r="O1143" s="15"/>
      <c r="P1143" s="16" t="s">
        <v>32</v>
      </c>
      <c r="Q1143" s="17">
        <v>22699</v>
      </c>
      <c r="R1143" s="18">
        <v>45</v>
      </c>
      <c r="S1143" s="19">
        <v>14357.1175</v>
      </c>
      <c r="T1143" s="20" t="s">
        <v>75</v>
      </c>
      <c r="U1143" s="21" t="s">
        <v>47</v>
      </c>
      <c r="V1143" s="25" t="s">
        <v>48</v>
      </c>
      <c r="W1143" s="22">
        <v>3</v>
      </c>
      <c r="X1143" s="23"/>
    </row>
    <row r="1144" spans="1:24" s="1" customFormat="1" ht="26" customHeight="1" x14ac:dyDescent="0.3">
      <c r="A1144" s="24" t="s">
        <v>23</v>
      </c>
      <c r="B1144" s="24" t="s">
        <v>1028</v>
      </c>
      <c r="C1144" s="12" t="s">
        <v>1029</v>
      </c>
      <c r="D1144" s="58"/>
      <c r="E1144" s="43" t="str">
        <f>HYPERLINK("https://www.google.ru/search?q=12501-0599&amp;newwindow=1&amp;tbm=isch","Еще фото")</f>
        <v>Еще фото</v>
      </c>
      <c r="F1144" s="34" t="s">
        <v>469</v>
      </c>
      <c r="G1144" s="24" t="s">
        <v>237</v>
      </c>
      <c r="H1144" s="24" t="s">
        <v>27</v>
      </c>
      <c r="I1144" s="24" t="s">
        <v>237</v>
      </c>
      <c r="J1144" s="15" t="s">
        <v>37</v>
      </c>
      <c r="K1144" s="16" t="s">
        <v>29</v>
      </c>
      <c r="L1144" s="61"/>
      <c r="M1144" s="15"/>
      <c r="N1144" s="15" t="s">
        <v>130</v>
      </c>
      <c r="O1144" s="15"/>
      <c r="P1144" s="16" t="s">
        <v>32</v>
      </c>
      <c r="Q1144" s="17">
        <v>22699</v>
      </c>
      <c r="R1144" s="18">
        <v>45</v>
      </c>
      <c r="S1144" s="19">
        <v>14357.1175</v>
      </c>
      <c r="T1144" s="20" t="s">
        <v>75</v>
      </c>
      <c r="U1144" s="21" t="s">
        <v>51</v>
      </c>
      <c r="V1144" s="22">
        <v>44</v>
      </c>
      <c r="W1144" s="22">
        <v>1</v>
      </c>
      <c r="X1144" s="23"/>
    </row>
    <row r="1145" spans="1:24" s="1" customFormat="1" ht="26" customHeight="1" x14ac:dyDescent="0.3">
      <c r="A1145" s="24" t="s">
        <v>23</v>
      </c>
      <c r="B1145" s="24" t="s">
        <v>1028</v>
      </c>
      <c r="C1145" s="12" t="s">
        <v>1029</v>
      </c>
      <c r="D1145" s="58"/>
      <c r="E1145" s="43" t="str">
        <f>HYPERLINK("https://www.google.ru/search?q=12501-0599&amp;newwindow=1&amp;tbm=isch","Еще фото")</f>
        <v>Еще фото</v>
      </c>
      <c r="F1145" s="34" t="s">
        <v>469</v>
      </c>
      <c r="G1145" s="24" t="s">
        <v>237</v>
      </c>
      <c r="H1145" s="24" t="s">
        <v>27</v>
      </c>
      <c r="I1145" s="24" t="s">
        <v>237</v>
      </c>
      <c r="J1145" s="15" t="s">
        <v>37</v>
      </c>
      <c r="K1145" s="16" t="s">
        <v>29</v>
      </c>
      <c r="L1145" s="61"/>
      <c r="M1145" s="15"/>
      <c r="N1145" s="15" t="s">
        <v>130</v>
      </c>
      <c r="O1145" s="15"/>
      <c r="P1145" s="16" t="s">
        <v>32</v>
      </c>
      <c r="Q1145" s="17">
        <v>22699</v>
      </c>
      <c r="R1145" s="18">
        <v>45</v>
      </c>
      <c r="S1145" s="19">
        <v>14357.1175</v>
      </c>
      <c r="T1145" s="20" t="s">
        <v>75</v>
      </c>
      <c r="U1145" s="21" t="s">
        <v>52</v>
      </c>
      <c r="V1145" s="22">
        <v>48</v>
      </c>
      <c r="W1145" s="22">
        <v>4</v>
      </c>
      <c r="X1145" s="23"/>
    </row>
    <row r="1146" spans="1:24" s="1" customFormat="1" ht="26" customHeight="1" x14ac:dyDescent="0.3">
      <c r="A1146" s="24" t="s">
        <v>23</v>
      </c>
      <c r="B1146" s="24" t="s">
        <v>1028</v>
      </c>
      <c r="C1146" s="12" t="s">
        <v>1029</v>
      </c>
      <c r="D1146" s="59"/>
      <c r="E1146" s="43" t="str">
        <f>HYPERLINK("https://www.google.ru/search?q=12501-0599&amp;newwindow=1&amp;tbm=isch","Еще фото")</f>
        <v>Еще фото</v>
      </c>
      <c r="F1146" s="34" t="s">
        <v>469</v>
      </c>
      <c r="G1146" s="24" t="s">
        <v>237</v>
      </c>
      <c r="H1146" s="24" t="s">
        <v>27</v>
      </c>
      <c r="I1146" s="24" t="s">
        <v>237</v>
      </c>
      <c r="J1146" s="15" t="s">
        <v>37</v>
      </c>
      <c r="K1146" s="16" t="s">
        <v>29</v>
      </c>
      <c r="L1146" s="62"/>
      <c r="M1146" s="15"/>
      <c r="N1146" s="15" t="s">
        <v>130</v>
      </c>
      <c r="O1146" s="15"/>
      <c r="P1146" s="16" t="s">
        <v>32</v>
      </c>
      <c r="Q1146" s="17">
        <v>22699</v>
      </c>
      <c r="R1146" s="18">
        <v>45</v>
      </c>
      <c r="S1146" s="19">
        <v>14357.1175</v>
      </c>
      <c r="T1146" s="20" t="s">
        <v>75</v>
      </c>
      <c r="U1146" s="21" t="s">
        <v>95</v>
      </c>
      <c r="V1146" s="22">
        <v>50</v>
      </c>
      <c r="W1146" s="22">
        <v>1</v>
      </c>
      <c r="X1146" s="23"/>
    </row>
    <row r="1147" spans="1:24" s="1" customFormat="1" ht="14" customHeight="1" x14ac:dyDescent="0.3">
      <c r="A1147" s="11" t="s">
        <v>23</v>
      </c>
      <c r="B1147" s="11" t="s">
        <v>1031</v>
      </c>
      <c r="C1147" s="12" t="s">
        <v>1032</v>
      </c>
      <c r="D1147" s="57"/>
      <c r="E1147" s="43" t="str">
        <f t="shared" ref="E1147:E1153" si="70">HYPERLINK("https://www.google.ru/search?q=17778-0034&amp;newwindow=1&amp;tbm=isch","Еще фото")</f>
        <v>Еще фото</v>
      </c>
      <c r="F1147" s="14"/>
      <c r="G1147" s="11" t="s">
        <v>237</v>
      </c>
      <c r="H1147" s="11" t="s">
        <v>27</v>
      </c>
      <c r="I1147" s="15" t="s">
        <v>237</v>
      </c>
      <c r="J1147" s="15" t="s">
        <v>37</v>
      </c>
      <c r="K1147" s="16" t="s">
        <v>29</v>
      </c>
      <c r="L1147" s="60" t="s">
        <v>238</v>
      </c>
      <c r="M1147" s="15"/>
      <c r="N1147" s="15" t="s">
        <v>39</v>
      </c>
      <c r="O1147" s="15"/>
      <c r="P1147" s="16" t="s">
        <v>242</v>
      </c>
      <c r="Q1147" s="17">
        <v>9499</v>
      </c>
      <c r="R1147" s="18">
        <v>45</v>
      </c>
      <c r="S1147" s="19">
        <v>6008.1174999999994</v>
      </c>
      <c r="T1147" s="20" t="s">
        <v>75</v>
      </c>
      <c r="U1147" s="21" t="s">
        <v>47</v>
      </c>
      <c r="V1147" s="25" t="s">
        <v>48</v>
      </c>
      <c r="W1147" s="22">
        <v>6</v>
      </c>
      <c r="X1147" s="23"/>
    </row>
    <row r="1148" spans="1:24" s="1" customFormat="1" ht="14" customHeight="1" x14ac:dyDescent="0.3">
      <c r="A1148" s="24" t="s">
        <v>23</v>
      </c>
      <c r="B1148" s="24" t="s">
        <v>1031</v>
      </c>
      <c r="C1148" s="12" t="s">
        <v>1032</v>
      </c>
      <c r="D1148" s="58"/>
      <c r="E1148" s="43" t="str">
        <f t="shared" si="70"/>
        <v>Еще фото</v>
      </c>
      <c r="F1148" s="14"/>
      <c r="G1148" s="24" t="s">
        <v>237</v>
      </c>
      <c r="H1148" s="24" t="s">
        <v>27</v>
      </c>
      <c r="I1148" s="24" t="s">
        <v>237</v>
      </c>
      <c r="J1148" s="15" t="s">
        <v>37</v>
      </c>
      <c r="K1148" s="16" t="s">
        <v>29</v>
      </c>
      <c r="L1148" s="61"/>
      <c r="M1148" s="15"/>
      <c r="N1148" s="15" t="s">
        <v>39</v>
      </c>
      <c r="O1148" s="15"/>
      <c r="P1148" s="16" t="s">
        <v>242</v>
      </c>
      <c r="Q1148" s="17">
        <v>9499</v>
      </c>
      <c r="R1148" s="18">
        <v>45</v>
      </c>
      <c r="S1148" s="19">
        <v>6008.1174999999994</v>
      </c>
      <c r="T1148" s="20" t="s">
        <v>75</v>
      </c>
      <c r="U1148" s="21" t="s">
        <v>49</v>
      </c>
      <c r="V1148" s="25" t="s">
        <v>48</v>
      </c>
      <c r="W1148" s="22">
        <v>6</v>
      </c>
      <c r="X1148" s="23"/>
    </row>
    <row r="1149" spans="1:24" s="1" customFormat="1" ht="14" customHeight="1" x14ac:dyDescent="0.3">
      <c r="A1149" s="24" t="s">
        <v>23</v>
      </c>
      <c r="B1149" s="24" t="s">
        <v>1031</v>
      </c>
      <c r="C1149" s="12" t="s">
        <v>1032</v>
      </c>
      <c r="D1149" s="58"/>
      <c r="E1149" s="43" t="str">
        <f t="shared" si="70"/>
        <v>Еще фото</v>
      </c>
      <c r="F1149" s="14"/>
      <c r="G1149" s="24" t="s">
        <v>237</v>
      </c>
      <c r="H1149" s="24" t="s">
        <v>27</v>
      </c>
      <c r="I1149" s="24" t="s">
        <v>237</v>
      </c>
      <c r="J1149" s="15" t="s">
        <v>37</v>
      </c>
      <c r="K1149" s="16" t="s">
        <v>29</v>
      </c>
      <c r="L1149" s="61"/>
      <c r="M1149" s="15"/>
      <c r="N1149" s="15" t="s">
        <v>39</v>
      </c>
      <c r="O1149" s="15"/>
      <c r="P1149" s="16" t="s">
        <v>242</v>
      </c>
      <c r="Q1149" s="17">
        <v>9499</v>
      </c>
      <c r="R1149" s="18">
        <v>45</v>
      </c>
      <c r="S1149" s="19">
        <v>6008.1174999999994</v>
      </c>
      <c r="T1149" s="20" t="s">
        <v>75</v>
      </c>
      <c r="U1149" s="21" t="s">
        <v>50</v>
      </c>
      <c r="V1149" s="22">
        <v>44</v>
      </c>
      <c r="W1149" s="22">
        <v>13</v>
      </c>
      <c r="X1149" s="23"/>
    </row>
    <row r="1150" spans="1:24" s="1" customFormat="1" ht="14" customHeight="1" x14ac:dyDescent="0.3">
      <c r="A1150" s="24" t="s">
        <v>23</v>
      </c>
      <c r="B1150" s="24" t="s">
        <v>1031</v>
      </c>
      <c r="C1150" s="12" t="s">
        <v>1032</v>
      </c>
      <c r="D1150" s="58"/>
      <c r="E1150" s="43" t="str">
        <f t="shared" si="70"/>
        <v>Еще фото</v>
      </c>
      <c r="F1150" s="14"/>
      <c r="G1150" s="24" t="s">
        <v>237</v>
      </c>
      <c r="H1150" s="24" t="s">
        <v>27</v>
      </c>
      <c r="I1150" s="24" t="s">
        <v>237</v>
      </c>
      <c r="J1150" s="15" t="s">
        <v>37</v>
      </c>
      <c r="K1150" s="16" t="s">
        <v>29</v>
      </c>
      <c r="L1150" s="61"/>
      <c r="M1150" s="15"/>
      <c r="N1150" s="15" t="s">
        <v>39</v>
      </c>
      <c r="O1150" s="15"/>
      <c r="P1150" s="16" t="s">
        <v>242</v>
      </c>
      <c r="Q1150" s="17">
        <v>9499</v>
      </c>
      <c r="R1150" s="18">
        <v>45</v>
      </c>
      <c r="S1150" s="19">
        <v>6008.1174999999994</v>
      </c>
      <c r="T1150" s="20" t="s">
        <v>75</v>
      </c>
      <c r="U1150" s="21" t="s">
        <v>51</v>
      </c>
      <c r="V1150" s="22">
        <v>44</v>
      </c>
      <c r="W1150" s="22">
        <v>6</v>
      </c>
      <c r="X1150" s="23"/>
    </row>
    <row r="1151" spans="1:24" s="1" customFormat="1" ht="14" customHeight="1" x14ac:dyDescent="0.3">
      <c r="A1151" s="24" t="s">
        <v>23</v>
      </c>
      <c r="B1151" s="24" t="s">
        <v>1031</v>
      </c>
      <c r="C1151" s="12" t="s">
        <v>1032</v>
      </c>
      <c r="D1151" s="58"/>
      <c r="E1151" s="43" t="str">
        <f t="shared" si="70"/>
        <v>Еще фото</v>
      </c>
      <c r="F1151" s="14"/>
      <c r="G1151" s="24" t="s">
        <v>237</v>
      </c>
      <c r="H1151" s="24" t="s">
        <v>27</v>
      </c>
      <c r="I1151" s="24" t="s">
        <v>237</v>
      </c>
      <c r="J1151" s="15" t="s">
        <v>37</v>
      </c>
      <c r="K1151" s="16" t="s">
        <v>29</v>
      </c>
      <c r="L1151" s="61"/>
      <c r="M1151" s="15"/>
      <c r="N1151" s="15" t="s">
        <v>39</v>
      </c>
      <c r="O1151" s="15"/>
      <c r="P1151" s="16" t="s">
        <v>242</v>
      </c>
      <c r="Q1151" s="17">
        <v>9499</v>
      </c>
      <c r="R1151" s="18">
        <v>45</v>
      </c>
      <c r="S1151" s="19">
        <v>6008.1174999999994</v>
      </c>
      <c r="T1151" s="20" t="s">
        <v>75</v>
      </c>
      <c r="U1151" s="21" t="s">
        <v>230</v>
      </c>
      <c r="V1151" s="22">
        <v>46</v>
      </c>
      <c r="W1151" s="22">
        <v>19</v>
      </c>
      <c r="X1151" s="23"/>
    </row>
    <row r="1152" spans="1:24" s="1" customFormat="1" ht="14" customHeight="1" x14ac:dyDescent="0.3">
      <c r="A1152" s="24" t="s">
        <v>23</v>
      </c>
      <c r="B1152" s="24" t="s">
        <v>1031</v>
      </c>
      <c r="C1152" s="12" t="s">
        <v>1032</v>
      </c>
      <c r="D1152" s="58"/>
      <c r="E1152" s="43" t="str">
        <f t="shared" si="70"/>
        <v>Еще фото</v>
      </c>
      <c r="F1152" s="14"/>
      <c r="G1152" s="24" t="s">
        <v>237</v>
      </c>
      <c r="H1152" s="24" t="s">
        <v>27</v>
      </c>
      <c r="I1152" s="24" t="s">
        <v>237</v>
      </c>
      <c r="J1152" s="15" t="s">
        <v>37</v>
      </c>
      <c r="K1152" s="16" t="s">
        <v>29</v>
      </c>
      <c r="L1152" s="61"/>
      <c r="M1152" s="15"/>
      <c r="N1152" s="15" t="s">
        <v>39</v>
      </c>
      <c r="O1152" s="15"/>
      <c r="P1152" s="16" t="s">
        <v>242</v>
      </c>
      <c r="Q1152" s="17">
        <v>9499</v>
      </c>
      <c r="R1152" s="18">
        <v>45</v>
      </c>
      <c r="S1152" s="19">
        <v>6008.1174999999994</v>
      </c>
      <c r="T1152" s="20" t="s">
        <v>75</v>
      </c>
      <c r="U1152" s="21" t="s">
        <v>173</v>
      </c>
      <c r="V1152" s="22">
        <v>46</v>
      </c>
      <c r="W1152" s="22">
        <v>6</v>
      </c>
      <c r="X1152" s="23"/>
    </row>
    <row r="1153" spans="1:24" s="1" customFormat="1" ht="17" customHeight="1" x14ac:dyDescent="0.3">
      <c r="A1153" s="24" t="s">
        <v>23</v>
      </c>
      <c r="B1153" s="24" t="s">
        <v>1031</v>
      </c>
      <c r="C1153" s="12" t="s">
        <v>1032</v>
      </c>
      <c r="D1153" s="59"/>
      <c r="E1153" s="43" t="str">
        <f t="shared" si="70"/>
        <v>Еще фото</v>
      </c>
      <c r="F1153" s="14"/>
      <c r="G1153" s="24" t="s">
        <v>237</v>
      </c>
      <c r="H1153" s="24" t="s">
        <v>27</v>
      </c>
      <c r="I1153" s="24" t="s">
        <v>237</v>
      </c>
      <c r="J1153" s="15" t="s">
        <v>37</v>
      </c>
      <c r="K1153" s="16" t="s">
        <v>29</v>
      </c>
      <c r="L1153" s="62"/>
      <c r="M1153" s="15"/>
      <c r="N1153" s="15" t="s">
        <v>39</v>
      </c>
      <c r="O1153" s="15"/>
      <c r="P1153" s="16" t="s">
        <v>242</v>
      </c>
      <c r="Q1153" s="17">
        <v>9499</v>
      </c>
      <c r="R1153" s="18">
        <v>45</v>
      </c>
      <c r="S1153" s="19">
        <v>6008.1174999999994</v>
      </c>
      <c r="T1153" s="20" t="s">
        <v>75</v>
      </c>
      <c r="U1153" s="21" t="s">
        <v>52</v>
      </c>
      <c r="V1153" s="22">
        <v>48</v>
      </c>
      <c r="W1153" s="22">
        <v>14</v>
      </c>
      <c r="X1153" s="23"/>
    </row>
    <row r="1154" spans="1:24" s="1" customFormat="1" ht="17" customHeight="1" x14ac:dyDescent="0.3">
      <c r="A1154" s="11" t="s">
        <v>23</v>
      </c>
      <c r="B1154" s="11" t="s">
        <v>1033</v>
      </c>
      <c r="C1154" s="12" t="s">
        <v>1034</v>
      </c>
      <c r="D1154" s="57"/>
      <c r="E1154" s="43" t="str">
        <f t="shared" ref="E1154:E1159" si="71">HYPERLINK("https://www.google.ru/search?q=18181-1048&amp;newwindow=1&amp;tbm=isch","Еще фото")</f>
        <v>Еще фото</v>
      </c>
      <c r="F1154" s="14" t="s">
        <v>182</v>
      </c>
      <c r="G1154" s="11" t="s">
        <v>237</v>
      </c>
      <c r="H1154" s="11" t="s">
        <v>27</v>
      </c>
      <c r="I1154" s="15" t="s">
        <v>237</v>
      </c>
      <c r="J1154" s="15" t="s">
        <v>37</v>
      </c>
      <c r="K1154" s="16" t="s">
        <v>57</v>
      </c>
      <c r="L1154" s="60"/>
      <c r="M1154" s="15"/>
      <c r="N1154" s="15" t="s">
        <v>130</v>
      </c>
      <c r="O1154" s="15"/>
      <c r="P1154" s="16" t="s">
        <v>1035</v>
      </c>
      <c r="Q1154" s="17">
        <v>11599</v>
      </c>
      <c r="R1154" s="18">
        <v>45</v>
      </c>
      <c r="S1154" s="19">
        <v>7336.3674999999994</v>
      </c>
      <c r="T1154" s="20" t="s">
        <v>75</v>
      </c>
      <c r="U1154" s="21" t="s">
        <v>173</v>
      </c>
      <c r="V1154" s="25" t="s">
        <v>63</v>
      </c>
      <c r="W1154" s="22">
        <v>3</v>
      </c>
      <c r="X1154" s="23"/>
    </row>
    <row r="1155" spans="1:24" s="1" customFormat="1" ht="17" customHeight="1" x14ac:dyDescent="0.3">
      <c r="A1155" s="24" t="s">
        <v>23</v>
      </c>
      <c r="B1155" s="24" t="s">
        <v>1033</v>
      </c>
      <c r="C1155" s="12" t="s">
        <v>1034</v>
      </c>
      <c r="D1155" s="58"/>
      <c r="E1155" s="43" t="str">
        <f t="shared" si="71"/>
        <v>Еще фото</v>
      </c>
      <c r="F1155" s="14" t="s">
        <v>182</v>
      </c>
      <c r="G1155" s="24" t="s">
        <v>237</v>
      </c>
      <c r="H1155" s="24" t="s">
        <v>27</v>
      </c>
      <c r="I1155" s="24" t="s">
        <v>237</v>
      </c>
      <c r="J1155" s="15" t="s">
        <v>37</v>
      </c>
      <c r="K1155" s="16" t="s">
        <v>57</v>
      </c>
      <c r="L1155" s="61"/>
      <c r="M1155" s="15"/>
      <c r="N1155" s="15" t="s">
        <v>130</v>
      </c>
      <c r="O1155" s="15"/>
      <c r="P1155" s="16" t="s">
        <v>1035</v>
      </c>
      <c r="Q1155" s="17">
        <v>11599</v>
      </c>
      <c r="R1155" s="18">
        <v>45</v>
      </c>
      <c r="S1155" s="19">
        <v>7336.3674999999994</v>
      </c>
      <c r="T1155" s="20" t="s">
        <v>75</v>
      </c>
      <c r="U1155" s="21" t="s">
        <v>53</v>
      </c>
      <c r="V1155" s="22">
        <v>46</v>
      </c>
      <c r="W1155" s="22">
        <v>3</v>
      </c>
      <c r="X1155" s="23"/>
    </row>
    <row r="1156" spans="1:24" s="1" customFormat="1" ht="17" customHeight="1" x14ac:dyDescent="0.3">
      <c r="A1156" s="24" t="s">
        <v>23</v>
      </c>
      <c r="B1156" s="24" t="s">
        <v>1033</v>
      </c>
      <c r="C1156" s="12" t="s">
        <v>1034</v>
      </c>
      <c r="D1156" s="58"/>
      <c r="E1156" s="43" t="str">
        <f t="shared" si="71"/>
        <v>Еще фото</v>
      </c>
      <c r="F1156" s="14" t="s">
        <v>182</v>
      </c>
      <c r="G1156" s="24" t="s">
        <v>237</v>
      </c>
      <c r="H1156" s="24" t="s">
        <v>27</v>
      </c>
      <c r="I1156" s="24" t="s">
        <v>237</v>
      </c>
      <c r="J1156" s="15" t="s">
        <v>37</v>
      </c>
      <c r="K1156" s="16" t="s">
        <v>57</v>
      </c>
      <c r="L1156" s="61"/>
      <c r="M1156" s="15"/>
      <c r="N1156" s="15" t="s">
        <v>130</v>
      </c>
      <c r="O1156" s="15"/>
      <c r="P1156" s="16" t="s">
        <v>1035</v>
      </c>
      <c r="Q1156" s="17">
        <v>11599</v>
      </c>
      <c r="R1156" s="18">
        <v>45</v>
      </c>
      <c r="S1156" s="19">
        <v>7336.3674999999994</v>
      </c>
      <c r="T1156" s="20" t="s">
        <v>75</v>
      </c>
      <c r="U1156" s="21" t="s">
        <v>165</v>
      </c>
      <c r="V1156" s="22">
        <v>48</v>
      </c>
      <c r="W1156" s="22">
        <v>2</v>
      </c>
      <c r="X1156" s="23"/>
    </row>
    <row r="1157" spans="1:24" s="1" customFormat="1" ht="17" customHeight="1" x14ac:dyDescent="0.3">
      <c r="A1157" s="24" t="s">
        <v>23</v>
      </c>
      <c r="B1157" s="24" t="s">
        <v>1033</v>
      </c>
      <c r="C1157" s="12" t="s">
        <v>1034</v>
      </c>
      <c r="D1157" s="58"/>
      <c r="E1157" s="43" t="str">
        <f t="shared" si="71"/>
        <v>Еще фото</v>
      </c>
      <c r="F1157" s="14" t="s">
        <v>182</v>
      </c>
      <c r="G1157" s="24" t="s">
        <v>237</v>
      </c>
      <c r="H1157" s="24" t="s">
        <v>27</v>
      </c>
      <c r="I1157" s="24" t="s">
        <v>237</v>
      </c>
      <c r="J1157" s="15" t="s">
        <v>37</v>
      </c>
      <c r="K1157" s="16" t="s">
        <v>57</v>
      </c>
      <c r="L1157" s="61"/>
      <c r="M1157" s="15"/>
      <c r="N1157" s="15" t="s">
        <v>130</v>
      </c>
      <c r="O1157" s="15"/>
      <c r="P1157" s="16" t="s">
        <v>1035</v>
      </c>
      <c r="Q1157" s="17">
        <v>11599</v>
      </c>
      <c r="R1157" s="18">
        <v>45</v>
      </c>
      <c r="S1157" s="19">
        <v>7336.3674999999994</v>
      </c>
      <c r="T1157" s="20" t="s">
        <v>75</v>
      </c>
      <c r="U1157" s="21" t="s">
        <v>166</v>
      </c>
      <c r="V1157" s="25" t="s">
        <v>96</v>
      </c>
      <c r="W1157" s="22">
        <v>4</v>
      </c>
      <c r="X1157" s="23"/>
    </row>
    <row r="1158" spans="1:24" s="1" customFormat="1" ht="17" customHeight="1" x14ac:dyDescent="0.3">
      <c r="A1158" s="24" t="s">
        <v>23</v>
      </c>
      <c r="B1158" s="24" t="s">
        <v>1033</v>
      </c>
      <c r="C1158" s="12" t="s">
        <v>1034</v>
      </c>
      <c r="D1158" s="58"/>
      <c r="E1158" s="43" t="str">
        <f t="shared" si="71"/>
        <v>Еще фото</v>
      </c>
      <c r="F1158" s="14" t="s">
        <v>182</v>
      </c>
      <c r="G1158" s="24" t="s">
        <v>237</v>
      </c>
      <c r="H1158" s="24" t="s">
        <v>27</v>
      </c>
      <c r="I1158" s="24" t="s">
        <v>237</v>
      </c>
      <c r="J1158" s="15" t="s">
        <v>37</v>
      </c>
      <c r="K1158" s="16" t="s">
        <v>57</v>
      </c>
      <c r="L1158" s="61"/>
      <c r="M1158" s="15"/>
      <c r="N1158" s="15" t="s">
        <v>130</v>
      </c>
      <c r="O1158" s="15"/>
      <c r="P1158" s="16" t="s">
        <v>1035</v>
      </c>
      <c r="Q1158" s="17">
        <v>11599</v>
      </c>
      <c r="R1158" s="18">
        <v>45</v>
      </c>
      <c r="S1158" s="19">
        <v>7336.3674999999994</v>
      </c>
      <c r="T1158" s="20" t="s">
        <v>75</v>
      </c>
      <c r="U1158" s="21" t="s">
        <v>203</v>
      </c>
      <c r="V1158" s="22">
        <v>50</v>
      </c>
      <c r="W1158" s="22">
        <v>6</v>
      </c>
      <c r="X1158" s="23"/>
    </row>
    <row r="1159" spans="1:24" s="1" customFormat="1" ht="22.05" customHeight="1" x14ac:dyDescent="0.3">
      <c r="A1159" s="24" t="s">
        <v>23</v>
      </c>
      <c r="B1159" s="24" t="s">
        <v>1033</v>
      </c>
      <c r="C1159" s="12" t="s">
        <v>1034</v>
      </c>
      <c r="D1159" s="59"/>
      <c r="E1159" s="43" t="str">
        <f t="shared" si="71"/>
        <v>Еще фото</v>
      </c>
      <c r="F1159" s="14" t="s">
        <v>182</v>
      </c>
      <c r="G1159" s="24" t="s">
        <v>237</v>
      </c>
      <c r="H1159" s="24" t="s">
        <v>27</v>
      </c>
      <c r="I1159" s="24" t="s">
        <v>237</v>
      </c>
      <c r="J1159" s="15" t="s">
        <v>37</v>
      </c>
      <c r="K1159" s="16" t="s">
        <v>57</v>
      </c>
      <c r="L1159" s="62"/>
      <c r="M1159" s="15"/>
      <c r="N1159" s="15" t="s">
        <v>130</v>
      </c>
      <c r="O1159" s="15"/>
      <c r="P1159" s="16" t="s">
        <v>1035</v>
      </c>
      <c r="Q1159" s="17">
        <v>11599</v>
      </c>
      <c r="R1159" s="18">
        <v>45</v>
      </c>
      <c r="S1159" s="19">
        <v>7336.3674999999994</v>
      </c>
      <c r="T1159" s="20" t="s">
        <v>75</v>
      </c>
      <c r="U1159" s="21" t="s">
        <v>100</v>
      </c>
      <c r="V1159" s="22">
        <v>50</v>
      </c>
      <c r="W1159" s="22">
        <v>3</v>
      </c>
      <c r="X1159" s="23"/>
    </row>
    <row r="1160" spans="1:24" s="1" customFormat="1" ht="35" customHeight="1" x14ac:dyDescent="0.3">
      <c r="A1160" s="11" t="s">
        <v>23</v>
      </c>
      <c r="B1160" s="11" t="s">
        <v>1036</v>
      </c>
      <c r="C1160" s="12" t="s">
        <v>1037</v>
      </c>
      <c r="D1160" s="57"/>
      <c r="E1160" s="43" t="str">
        <f>HYPERLINK("https://www.google.ru/search?q=18757-0176&amp;newwindow=1&amp;tbm=isch","Еще фото")</f>
        <v>Еще фото</v>
      </c>
      <c r="F1160" s="14"/>
      <c r="G1160" s="11" t="s">
        <v>237</v>
      </c>
      <c r="H1160" s="11" t="s">
        <v>27</v>
      </c>
      <c r="I1160" s="15" t="s">
        <v>237</v>
      </c>
      <c r="J1160" s="15" t="s">
        <v>37</v>
      </c>
      <c r="K1160" s="16" t="s">
        <v>57</v>
      </c>
      <c r="L1160" s="60" t="s">
        <v>1038</v>
      </c>
      <c r="M1160" s="15"/>
      <c r="N1160" s="15" t="s">
        <v>130</v>
      </c>
      <c r="O1160" s="15"/>
      <c r="P1160" s="16" t="s">
        <v>254</v>
      </c>
      <c r="Q1160" s="17">
        <v>12999</v>
      </c>
      <c r="R1160" s="18">
        <v>45</v>
      </c>
      <c r="S1160" s="19">
        <v>8221.8674999999985</v>
      </c>
      <c r="T1160" s="20" t="s">
        <v>75</v>
      </c>
      <c r="U1160" s="21" t="s">
        <v>859</v>
      </c>
      <c r="V1160" s="25" t="s">
        <v>538</v>
      </c>
      <c r="W1160" s="22">
        <v>1</v>
      </c>
      <c r="X1160" s="23"/>
    </row>
    <row r="1161" spans="1:24" s="1" customFormat="1" ht="35" customHeight="1" x14ac:dyDescent="0.3">
      <c r="A1161" s="24" t="s">
        <v>23</v>
      </c>
      <c r="B1161" s="24" t="s">
        <v>1036</v>
      </c>
      <c r="C1161" s="12" t="s">
        <v>1037</v>
      </c>
      <c r="D1161" s="58"/>
      <c r="E1161" s="43" t="str">
        <f>HYPERLINK("https://www.google.ru/search?q=18757-0176&amp;newwindow=1&amp;tbm=isch","Еще фото")</f>
        <v>Еще фото</v>
      </c>
      <c r="F1161" s="14"/>
      <c r="G1161" s="24" t="s">
        <v>237</v>
      </c>
      <c r="H1161" s="24" t="s">
        <v>27</v>
      </c>
      <c r="I1161" s="24" t="s">
        <v>237</v>
      </c>
      <c r="J1161" s="15" t="s">
        <v>37</v>
      </c>
      <c r="K1161" s="16" t="s">
        <v>57</v>
      </c>
      <c r="L1161" s="61"/>
      <c r="M1161" s="15"/>
      <c r="N1161" s="15" t="s">
        <v>130</v>
      </c>
      <c r="O1161" s="15"/>
      <c r="P1161" s="16" t="s">
        <v>254</v>
      </c>
      <c r="Q1161" s="17">
        <v>12999</v>
      </c>
      <c r="R1161" s="18">
        <v>45</v>
      </c>
      <c r="S1161" s="19">
        <v>8221.8674999999985</v>
      </c>
      <c r="T1161" s="20" t="s">
        <v>75</v>
      </c>
      <c r="U1161" s="21" t="s">
        <v>1039</v>
      </c>
      <c r="V1161" s="25" t="s">
        <v>1040</v>
      </c>
      <c r="W1161" s="22">
        <v>2</v>
      </c>
      <c r="X1161" s="23"/>
    </row>
    <row r="1162" spans="1:24" s="1" customFormat="1" ht="37.049999999999997" customHeight="1" x14ac:dyDescent="0.3">
      <c r="A1162" s="24" t="s">
        <v>23</v>
      </c>
      <c r="B1162" s="24" t="s">
        <v>1036</v>
      </c>
      <c r="C1162" s="12" t="s">
        <v>1037</v>
      </c>
      <c r="D1162" s="59"/>
      <c r="E1162" s="43" t="str">
        <f>HYPERLINK("https://www.google.ru/search?q=18757-0176&amp;newwindow=1&amp;tbm=isch","Еще фото")</f>
        <v>Еще фото</v>
      </c>
      <c r="F1162" s="14"/>
      <c r="G1162" s="24" t="s">
        <v>237</v>
      </c>
      <c r="H1162" s="24" t="s">
        <v>27</v>
      </c>
      <c r="I1162" s="24" t="s">
        <v>237</v>
      </c>
      <c r="J1162" s="15" t="s">
        <v>37</v>
      </c>
      <c r="K1162" s="16" t="s">
        <v>57</v>
      </c>
      <c r="L1162" s="62"/>
      <c r="M1162" s="15"/>
      <c r="N1162" s="15" t="s">
        <v>130</v>
      </c>
      <c r="O1162" s="15"/>
      <c r="P1162" s="16" t="s">
        <v>254</v>
      </c>
      <c r="Q1162" s="17">
        <v>12999</v>
      </c>
      <c r="R1162" s="18">
        <v>45</v>
      </c>
      <c r="S1162" s="19">
        <v>8221.8674999999985</v>
      </c>
      <c r="T1162" s="20" t="s">
        <v>75</v>
      </c>
      <c r="U1162" s="21" t="s">
        <v>1041</v>
      </c>
      <c r="V1162" s="25" t="s">
        <v>1042</v>
      </c>
      <c r="W1162" s="22">
        <v>4</v>
      </c>
      <c r="X1162" s="23"/>
    </row>
    <row r="1163" spans="1:24" s="1" customFormat="1" ht="13.05" customHeight="1" x14ac:dyDescent="0.3">
      <c r="A1163" s="11" t="s">
        <v>23</v>
      </c>
      <c r="B1163" s="11" t="s">
        <v>1036</v>
      </c>
      <c r="C1163" s="12" t="s">
        <v>1043</v>
      </c>
      <c r="D1163" s="57"/>
      <c r="E1163" s="43" t="str">
        <f t="shared" ref="E1163:E1170" si="72">HYPERLINK("https://www.google.ru/search?q=18757-0177&amp;newwindow=1&amp;tbm=isch","Еще фото")</f>
        <v>Еще фото</v>
      </c>
      <c r="F1163" s="34" t="s">
        <v>469</v>
      </c>
      <c r="G1163" s="11" t="s">
        <v>237</v>
      </c>
      <c r="H1163" s="11" t="s">
        <v>27</v>
      </c>
      <c r="I1163" s="15" t="s">
        <v>237</v>
      </c>
      <c r="J1163" s="15" t="s">
        <v>37</v>
      </c>
      <c r="K1163" s="16" t="s">
        <v>57</v>
      </c>
      <c r="L1163" s="60"/>
      <c r="M1163" s="15"/>
      <c r="N1163" s="15" t="s">
        <v>130</v>
      </c>
      <c r="O1163" s="15"/>
      <c r="P1163" s="16" t="s">
        <v>358</v>
      </c>
      <c r="Q1163" s="17">
        <v>14099</v>
      </c>
      <c r="R1163" s="18">
        <v>45</v>
      </c>
      <c r="S1163" s="19">
        <v>8917.6174999999985</v>
      </c>
      <c r="T1163" s="20" t="s">
        <v>75</v>
      </c>
      <c r="U1163" s="33" t="s">
        <v>1044</v>
      </c>
      <c r="V1163" s="22">
        <v>52</v>
      </c>
      <c r="W1163" s="22">
        <v>10</v>
      </c>
      <c r="X1163" s="23"/>
    </row>
    <row r="1164" spans="1:24" s="1" customFormat="1" ht="13.05" customHeight="1" x14ac:dyDescent="0.3">
      <c r="A1164" s="24" t="s">
        <v>23</v>
      </c>
      <c r="B1164" s="24" t="s">
        <v>1036</v>
      </c>
      <c r="C1164" s="12" t="s">
        <v>1043</v>
      </c>
      <c r="D1164" s="58"/>
      <c r="E1164" s="43" t="str">
        <f t="shared" si="72"/>
        <v>Еще фото</v>
      </c>
      <c r="F1164" s="34" t="s">
        <v>469</v>
      </c>
      <c r="G1164" s="24" t="s">
        <v>237</v>
      </c>
      <c r="H1164" s="24" t="s">
        <v>27</v>
      </c>
      <c r="I1164" s="24" t="s">
        <v>237</v>
      </c>
      <c r="J1164" s="15" t="s">
        <v>37</v>
      </c>
      <c r="K1164" s="16" t="s">
        <v>57</v>
      </c>
      <c r="L1164" s="61"/>
      <c r="M1164" s="15"/>
      <c r="N1164" s="15" t="s">
        <v>130</v>
      </c>
      <c r="O1164" s="15"/>
      <c r="P1164" s="16" t="s">
        <v>358</v>
      </c>
      <c r="Q1164" s="17">
        <v>14099</v>
      </c>
      <c r="R1164" s="18">
        <v>45</v>
      </c>
      <c r="S1164" s="19">
        <v>8917.6174999999985</v>
      </c>
      <c r="T1164" s="20" t="s">
        <v>75</v>
      </c>
      <c r="U1164" s="21" t="s">
        <v>1045</v>
      </c>
      <c r="V1164" s="22">
        <v>54</v>
      </c>
      <c r="W1164" s="22">
        <v>15</v>
      </c>
      <c r="X1164" s="23"/>
    </row>
    <row r="1165" spans="1:24" s="1" customFormat="1" ht="13.05" customHeight="1" x14ac:dyDescent="0.3">
      <c r="A1165" s="24" t="s">
        <v>23</v>
      </c>
      <c r="B1165" s="24" t="s">
        <v>1036</v>
      </c>
      <c r="C1165" s="12" t="s">
        <v>1043</v>
      </c>
      <c r="D1165" s="58"/>
      <c r="E1165" s="43" t="str">
        <f t="shared" si="72"/>
        <v>Еще фото</v>
      </c>
      <c r="F1165" s="34" t="s">
        <v>469</v>
      </c>
      <c r="G1165" s="24" t="s">
        <v>237</v>
      </c>
      <c r="H1165" s="24" t="s">
        <v>27</v>
      </c>
      <c r="I1165" s="24" t="s">
        <v>237</v>
      </c>
      <c r="J1165" s="15" t="s">
        <v>37</v>
      </c>
      <c r="K1165" s="16" t="s">
        <v>57</v>
      </c>
      <c r="L1165" s="61"/>
      <c r="M1165" s="15"/>
      <c r="N1165" s="15" t="s">
        <v>130</v>
      </c>
      <c r="O1165" s="15"/>
      <c r="P1165" s="16" t="s">
        <v>358</v>
      </c>
      <c r="Q1165" s="17">
        <v>14099</v>
      </c>
      <c r="R1165" s="18">
        <v>45</v>
      </c>
      <c r="S1165" s="19">
        <v>8917.6174999999985</v>
      </c>
      <c r="T1165" s="20" t="s">
        <v>75</v>
      </c>
      <c r="U1165" s="21" t="s">
        <v>1046</v>
      </c>
      <c r="V1165" s="25" t="s">
        <v>538</v>
      </c>
      <c r="W1165" s="22">
        <v>3</v>
      </c>
      <c r="X1165" s="23"/>
    </row>
    <row r="1166" spans="1:24" s="1" customFormat="1" ht="13.05" customHeight="1" x14ac:dyDescent="0.3">
      <c r="A1166" s="24" t="s">
        <v>23</v>
      </c>
      <c r="B1166" s="24" t="s">
        <v>1036</v>
      </c>
      <c r="C1166" s="12" t="s">
        <v>1043</v>
      </c>
      <c r="D1166" s="58"/>
      <c r="E1166" s="43" t="str">
        <f t="shared" si="72"/>
        <v>Еще фото</v>
      </c>
      <c r="F1166" s="34" t="s">
        <v>469</v>
      </c>
      <c r="G1166" s="24" t="s">
        <v>237</v>
      </c>
      <c r="H1166" s="24" t="s">
        <v>27</v>
      </c>
      <c r="I1166" s="24" t="s">
        <v>237</v>
      </c>
      <c r="J1166" s="15" t="s">
        <v>37</v>
      </c>
      <c r="K1166" s="16" t="s">
        <v>57</v>
      </c>
      <c r="L1166" s="61"/>
      <c r="M1166" s="15"/>
      <c r="N1166" s="15" t="s">
        <v>130</v>
      </c>
      <c r="O1166" s="15"/>
      <c r="P1166" s="16" t="s">
        <v>358</v>
      </c>
      <c r="Q1166" s="17">
        <v>14099</v>
      </c>
      <c r="R1166" s="18">
        <v>45</v>
      </c>
      <c r="S1166" s="19">
        <v>8917.6174999999985</v>
      </c>
      <c r="T1166" s="20" t="s">
        <v>75</v>
      </c>
      <c r="U1166" s="21" t="s">
        <v>859</v>
      </c>
      <c r="V1166" s="25" t="s">
        <v>538</v>
      </c>
      <c r="W1166" s="22">
        <v>9</v>
      </c>
      <c r="X1166" s="23"/>
    </row>
    <row r="1167" spans="1:24" s="1" customFormat="1" ht="13.05" customHeight="1" x14ac:dyDescent="0.3">
      <c r="A1167" s="24" t="s">
        <v>23</v>
      </c>
      <c r="B1167" s="24" t="s">
        <v>1036</v>
      </c>
      <c r="C1167" s="12" t="s">
        <v>1043</v>
      </c>
      <c r="D1167" s="58"/>
      <c r="E1167" s="43" t="str">
        <f t="shared" si="72"/>
        <v>Еще фото</v>
      </c>
      <c r="F1167" s="34" t="s">
        <v>469</v>
      </c>
      <c r="G1167" s="24" t="s">
        <v>237</v>
      </c>
      <c r="H1167" s="24" t="s">
        <v>27</v>
      </c>
      <c r="I1167" s="24" t="s">
        <v>237</v>
      </c>
      <c r="J1167" s="15" t="s">
        <v>37</v>
      </c>
      <c r="K1167" s="16" t="s">
        <v>57</v>
      </c>
      <c r="L1167" s="61"/>
      <c r="M1167" s="15"/>
      <c r="N1167" s="15" t="s">
        <v>130</v>
      </c>
      <c r="O1167" s="15"/>
      <c r="P1167" s="16" t="s">
        <v>358</v>
      </c>
      <c r="Q1167" s="17">
        <v>14099</v>
      </c>
      <c r="R1167" s="18">
        <v>45</v>
      </c>
      <c r="S1167" s="19">
        <v>8917.6174999999985</v>
      </c>
      <c r="T1167" s="20" t="s">
        <v>75</v>
      </c>
      <c r="U1167" s="21" t="s">
        <v>1039</v>
      </c>
      <c r="V1167" s="25" t="s">
        <v>1040</v>
      </c>
      <c r="W1167" s="22">
        <v>9</v>
      </c>
      <c r="X1167" s="23"/>
    </row>
    <row r="1168" spans="1:24" s="1" customFormat="1" ht="13.05" customHeight="1" x14ac:dyDescent="0.3">
      <c r="A1168" s="24" t="s">
        <v>23</v>
      </c>
      <c r="B1168" s="24" t="s">
        <v>1036</v>
      </c>
      <c r="C1168" s="12" t="s">
        <v>1043</v>
      </c>
      <c r="D1168" s="58"/>
      <c r="E1168" s="43" t="str">
        <f t="shared" si="72"/>
        <v>Еще фото</v>
      </c>
      <c r="F1168" s="34" t="s">
        <v>469</v>
      </c>
      <c r="G1168" s="24" t="s">
        <v>237</v>
      </c>
      <c r="H1168" s="24" t="s">
        <v>27</v>
      </c>
      <c r="I1168" s="24" t="s">
        <v>237</v>
      </c>
      <c r="J1168" s="15" t="s">
        <v>37</v>
      </c>
      <c r="K1168" s="16" t="s">
        <v>57</v>
      </c>
      <c r="L1168" s="61"/>
      <c r="M1168" s="15"/>
      <c r="N1168" s="15" t="s">
        <v>130</v>
      </c>
      <c r="O1168" s="15"/>
      <c r="P1168" s="16" t="s">
        <v>358</v>
      </c>
      <c r="Q1168" s="17">
        <v>14099</v>
      </c>
      <c r="R1168" s="18">
        <v>45</v>
      </c>
      <c r="S1168" s="19">
        <v>8917.6174999999985</v>
      </c>
      <c r="T1168" s="20" t="s">
        <v>75</v>
      </c>
      <c r="U1168" s="21" t="s">
        <v>1047</v>
      </c>
      <c r="V1168" s="25" t="s">
        <v>1040</v>
      </c>
      <c r="W1168" s="22">
        <v>11</v>
      </c>
      <c r="X1168" s="23"/>
    </row>
    <row r="1169" spans="1:24" s="1" customFormat="1" ht="13.05" customHeight="1" x14ac:dyDescent="0.3">
      <c r="A1169" s="24" t="s">
        <v>23</v>
      </c>
      <c r="B1169" s="24" t="s">
        <v>1036</v>
      </c>
      <c r="C1169" s="12" t="s">
        <v>1043</v>
      </c>
      <c r="D1169" s="58"/>
      <c r="E1169" s="43" t="str">
        <f t="shared" si="72"/>
        <v>Еще фото</v>
      </c>
      <c r="F1169" s="34" t="s">
        <v>469</v>
      </c>
      <c r="G1169" s="24" t="s">
        <v>237</v>
      </c>
      <c r="H1169" s="24" t="s">
        <v>27</v>
      </c>
      <c r="I1169" s="24" t="s">
        <v>237</v>
      </c>
      <c r="J1169" s="15" t="s">
        <v>37</v>
      </c>
      <c r="K1169" s="16" t="s">
        <v>57</v>
      </c>
      <c r="L1169" s="61"/>
      <c r="M1169" s="15"/>
      <c r="N1169" s="15" t="s">
        <v>130</v>
      </c>
      <c r="O1169" s="15"/>
      <c r="P1169" s="16" t="s">
        <v>358</v>
      </c>
      <c r="Q1169" s="17">
        <v>14099</v>
      </c>
      <c r="R1169" s="18">
        <v>45</v>
      </c>
      <c r="S1169" s="19">
        <v>8917.6174999999985</v>
      </c>
      <c r="T1169" s="20" t="s">
        <v>75</v>
      </c>
      <c r="U1169" s="21" t="s">
        <v>1048</v>
      </c>
      <c r="V1169" s="25" t="s">
        <v>1042</v>
      </c>
      <c r="W1169" s="22">
        <v>5</v>
      </c>
      <c r="X1169" s="23"/>
    </row>
    <row r="1170" spans="1:24" s="1" customFormat="1" ht="18" customHeight="1" x14ac:dyDescent="0.3">
      <c r="A1170" s="24" t="s">
        <v>23</v>
      </c>
      <c r="B1170" s="24" t="s">
        <v>1036</v>
      </c>
      <c r="C1170" s="12" t="s">
        <v>1043</v>
      </c>
      <c r="D1170" s="59"/>
      <c r="E1170" s="43" t="str">
        <f t="shared" si="72"/>
        <v>Еще фото</v>
      </c>
      <c r="F1170" s="34" t="s">
        <v>469</v>
      </c>
      <c r="G1170" s="24" t="s">
        <v>237</v>
      </c>
      <c r="H1170" s="24" t="s">
        <v>27</v>
      </c>
      <c r="I1170" s="24" t="s">
        <v>237</v>
      </c>
      <c r="J1170" s="15" t="s">
        <v>37</v>
      </c>
      <c r="K1170" s="16" t="s">
        <v>57</v>
      </c>
      <c r="L1170" s="62"/>
      <c r="M1170" s="15"/>
      <c r="N1170" s="15" t="s">
        <v>130</v>
      </c>
      <c r="O1170" s="15"/>
      <c r="P1170" s="16" t="s">
        <v>358</v>
      </c>
      <c r="Q1170" s="17">
        <v>14099</v>
      </c>
      <c r="R1170" s="18">
        <v>45</v>
      </c>
      <c r="S1170" s="19">
        <v>8917.6174999999985</v>
      </c>
      <c r="T1170" s="20" t="s">
        <v>75</v>
      </c>
      <c r="U1170" s="21" t="s">
        <v>1041</v>
      </c>
      <c r="V1170" s="25" t="s">
        <v>1042</v>
      </c>
      <c r="W1170" s="22">
        <v>8</v>
      </c>
      <c r="X1170" s="23"/>
    </row>
    <row r="1171" spans="1:24" s="1" customFormat="1" ht="52.05" customHeight="1" x14ac:dyDescent="0.3">
      <c r="A1171" s="11" t="s">
        <v>23</v>
      </c>
      <c r="B1171" s="11" t="s">
        <v>1049</v>
      </c>
      <c r="C1171" s="12" t="s">
        <v>1050</v>
      </c>
      <c r="D1171" s="63"/>
      <c r="E1171" s="43" t="str">
        <f>HYPERLINK("https://www.google.ru/search?q=18759-0116&amp;newwindow=1&amp;tbm=isch","Еще фото")</f>
        <v>Еще фото</v>
      </c>
      <c r="F1171" s="14" t="s">
        <v>182</v>
      </c>
      <c r="G1171" s="11" t="s">
        <v>237</v>
      </c>
      <c r="H1171" s="11" t="s">
        <v>27</v>
      </c>
      <c r="I1171" s="15" t="s">
        <v>237</v>
      </c>
      <c r="J1171" s="15" t="s">
        <v>37</v>
      </c>
      <c r="K1171" s="16" t="s">
        <v>29</v>
      </c>
      <c r="L1171" s="60" t="s">
        <v>1051</v>
      </c>
      <c r="M1171" s="15"/>
      <c r="N1171" s="15" t="s">
        <v>130</v>
      </c>
      <c r="O1171" s="15"/>
      <c r="P1171" s="16" t="s">
        <v>322</v>
      </c>
      <c r="Q1171" s="17">
        <v>17499</v>
      </c>
      <c r="R1171" s="18">
        <v>45</v>
      </c>
      <c r="S1171" s="19">
        <v>11068.1175</v>
      </c>
      <c r="T1171" s="20" t="s">
        <v>75</v>
      </c>
      <c r="U1171" s="21" t="s">
        <v>52</v>
      </c>
      <c r="V1171" s="22">
        <v>48</v>
      </c>
      <c r="W1171" s="22">
        <v>2</v>
      </c>
      <c r="X1171" s="23"/>
    </row>
    <row r="1172" spans="1:24" s="1" customFormat="1" ht="61.05" customHeight="1" x14ac:dyDescent="0.3">
      <c r="A1172" s="24" t="s">
        <v>23</v>
      </c>
      <c r="B1172" s="24" t="s">
        <v>1049</v>
      </c>
      <c r="C1172" s="12" t="s">
        <v>1050</v>
      </c>
      <c r="D1172" s="64"/>
      <c r="E1172" s="43" t="str">
        <f>HYPERLINK("https://www.google.ru/search?q=18759-0116&amp;newwindow=1&amp;tbm=isch","Еще фото")</f>
        <v>Еще фото</v>
      </c>
      <c r="F1172" s="14" t="s">
        <v>182</v>
      </c>
      <c r="G1172" s="24" t="s">
        <v>237</v>
      </c>
      <c r="H1172" s="24" t="s">
        <v>27</v>
      </c>
      <c r="I1172" s="24" t="s">
        <v>237</v>
      </c>
      <c r="J1172" s="15" t="s">
        <v>37</v>
      </c>
      <c r="K1172" s="16" t="s">
        <v>29</v>
      </c>
      <c r="L1172" s="62"/>
      <c r="M1172" s="15"/>
      <c r="N1172" s="15" t="s">
        <v>130</v>
      </c>
      <c r="O1172" s="15"/>
      <c r="P1172" s="16" t="s">
        <v>322</v>
      </c>
      <c r="Q1172" s="17">
        <v>17499</v>
      </c>
      <c r="R1172" s="18">
        <v>45</v>
      </c>
      <c r="S1172" s="19">
        <v>11068.1175</v>
      </c>
      <c r="T1172" s="20" t="s">
        <v>75</v>
      </c>
      <c r="U1172" s="21" t="s">
        <v>109</v>
      </c>
      <c r="V1172" s="25" t="s">
        <v>96</v>
      </c>
      <c r="W1172" s="22">
        <v>1</v>
      </c>
      <c r="X1172" s="23"/>
    </row>
    <row r="1173" spans="1:24" s="1" customFormat="1" ht="11" customHeight="1" x14ac:dyDescent="0.3">
      <c r="A1173" s="11" t="s">
        <v>23</v>
      </c>
      <c r="B1173" s="11" t="s">
        <v>1052</v>
      </c>
      <c r="C1173" s="12" t="s">
        <v>1053</v>
      </c>
      <c r="D1173" s="57"/>
      <c r="E1173" s="43" t="str">
        <f t="shared" ref="E1173:E1181" si="73">HYPERLINK("https://www.google.ru/search?q=18759-0201&amp;newwindow=1&amp;tbm=isch","Еще фото")</f>
        <v>Еще фото</v>
      </c>
      <c r="F1173" s="14"/>
      <c r="G1173" s="11" t="s">
        <v>237</v>
      </c>
      <c r="H1173" s="11" t="s">
        <v>27</v>
      </c>
      <c r="I1173" s="15" t="s">
        <v>237</v>
      </c>
      <c r="J1173" s="15" t="s">
        <v>28</v>
      </c>
      <c r="K1173" s="16" t="s">
        <v>29</v>
      </c>
      <c r="L1173" s="60" t="s">
        <v>1054</v>
      </c>
      <c r="M1173" s="15"/>
      <c r="N1173" s="15" t="s">
        <v>138</v>
      </c>
      <c r="O1173" s="15"/>
      <c r="P1173" s="16" t="s">
        <v>837</v>
      </c>
      <c r="Q1173" s="17">
        <v>14399</v>
      </c>
      <c r="R1173" s="18">
        <v>45</v>
      </c>
      <c r="S1173" s="19">
        <v>9107.3674999999985</v>
      </c>
      <c r="T1173" s="20" t="s">
        <v>75</v>
      </c>
      <c r="U1173" s="21" t="s">
        <v>46</v>
      </c>
      <c r="V1173" s="22">
        <v>42</v>
      </c>
      <c r="W1173" s="22">
        <v>12</v>
      </c>
      <c r="X1173" s="23"/>
    </row>
    <row r="1174" spans="1:24" s="1" customFormat="1" ht="11" customHeight="1" x14ac:dyDescent="0.3">
      <c r="A1174" s="24" t="s">
        <v>23</v>
      </c>
      <c r="B1174" s="24" t="s">
        <v>1052</v>
      </c>
      <c r="C1174" s="12" t="s">
        <v>1053</v>
      </c>
      <c r="D1174" s="58"/>
      <c r="E1174" s="43" t="str">
        <f t="shared" si="73"/>
        <v>Еще фото</v>
      </c>
      <c r="F1174" s="14"/>
      <c r="G1174" s="24" t="s">
        <v>237</v>
      </c>
      <c r="H1174" s="24" t="s">
        <v>27</v>
      </c>
      <c r="I1174" s="24" t="s">
        <v>237</v>
      </c>
      <c r="J1174" s="15" t="s">
        <v>28</v>
      </c>
      <c r="K1174" s="16" t="s">
        <v>29</v>
      </c>
      <c r="L1174" s="61"/>
      <c r="M1174" s="15"/>
      <c r="N1174" s="15" t="s">
        <v>138</v>
      </c>
      <c r="O1174" s="15"/>
      <c r="P1174" s="16" t="s">
        <v>837</v>
      </c>
      <c r="Q1174" s="17">
        <v>14399</v>
      </c>
      <c r="R1174" s="18">
        <v>45</v>
      </c>
      <c r="S1174" s="19">
        <v>9107.3674999999985</v>
      </c>
      <c r="T1174" s="20" t="s">
        <v>75</v>
      </c>
      <c r="U1174" s="21" t="s">
        <v>47</v>
      </c>
      <c r="V1174" s="25" t="s">
        <v>48</v>
      </c>
      <c r="W1174" s="22">
        <v>16</v>
      </c>
      <c r="X1174" s="23"/>
    </row>
    <row r="1175" spans="1:24" s="1" customFormat="1" ht="11" customHeight="1" x14ac:dyDescent="0.3">
      <c r="A1175" s="24" t="s">
        <v>23</v>
      </c>
      <c r="B1175" s="24" t="s">
        <v>1052</v>
      </c>
      <c r="C1175" s="12" t="s">
        <v>1053</v>
      </c>
      <c r="D1175" s="58"/>
      <c r="E1175" s="43" t="str">
        <f t="shared" si="73"/>
        <v>Еще фото</v>
      </c>
      <c r="F1175" s="14"/>
      <c r="G1175" s="24" t="s">
        <v>237</v>
      </c>
      <c r="H1175" s="24" t="s">
        <v>27</v>
      </c>
      <c r="I1175" s="24" t="s">
        <v>237</v>
      </c>
      <c r="J1175" s="15" t="s">
        <v>28</v>
      </c>
      <c r="K1175" s="16" t="s">
        <v>29</v>
      </c>
      <c r="L1175" s="61"/>
      <c r="M1175" s="15"/>
      <c r="N1175" s="15" t="s">
        <v>138</v>
      </c>
      <c r="O1175" s="15"/>
      <c r="P1175" s="16" t="s">
        <v>837</v>
      </c>
      <c r="Q1175" s="17">
        <v>14399</v>
      </c>
      <c r="R1175" s="18">
        <v>45</v>
      </c>
      <c r="S1175" s="19">
        <v>9107.3674999999985</v>
      </c>
      <c r="T1175" s="20" t="s">
        <v>75</v>
      </c>
      <c r="U1175" s="21" t="s">
        <v>50</v>
      </c>
      <c r="V1175" s="22">
        <v>44</v>
      </c>
      <c r="W1175" s="22">
        <v>18</v>
      </c>
      <c r="X1175" s="23"/>
    </row>
    <row r="1176" spans="1:24" s="1" customFormat="1" ht="11" customHeight="1" x14ac:dyDescent="0.3">
      <c r="A1176" s="24" t="s">
        <v>23</v>
      </c>
      <c r="B1176" s="24" t="s">
        <v>1052</v>
      </c>
      <c r="C1176" s="12" t="s">
        <v>1053</v>
      </c>
      <c r="D1176" s="58"/>
      <c r="E1176" s="43" t="str">
        <f t="shared" si="73"/>
        <v>Еще фото</v>
      </c>
      <c r="F1176" s="14"/>
      <c r="G1176" s="24" t="s">
        <v>237</v>
      </c>
      <c r="H1176" s="24" t="s">
        <v>27</v>
      </c>
      <c r="I1176" s="24" t="s">
        <v>237</v>
      </c>
      <c r="J1176" s="15" t="s">
        <v>28</v>
      </c>
      <c r="K1176" s="16" t="s">
        <v>29</v>
      </c>
      <c r="L1176" s="61"/>
      <c r="M1176" s="15"/>
      <c r="N1176" s="15" t="s">
        <v>138</v>
      </c>
      <c r="O1176" s="15"/>
      <c r="P1176" s="16" t="s">
        <v>837</v>
      </c>
      <c r="Q1176" s="17">
        <v>14399</v>
      </c>
      <c r="R1176" s="18">
        <v>45</v>
      </c>
      <c r="S1176" s="19">
        <v>9107.3674999999985</v>
      </c>
      <c r="T1176" s="20" t="s">
        <v>75</v>
      </c>
      <c r="U1176" s="21" t="s">
        <v>230</v>
      </c>
      <c r="V1176" s="22">
        <v>46</v>
      </c>
      <c r="W1176" s="22">
        <v>24</v>
      </c>
      <c r="X1176" s="23"/>
    </row>
    <row r="1177" spans="1:24" s="1" customFormat="1" ht="11" customHeight="1" x14ac:dyDescent="0.3">
      <c r="A1177" s="24" t="s">
        <v>23</v>
      </c>
      <c r="B1177" s="24" t="s">
        <v>1052</v>
      </c>
      <c r="C1177" s="12" t="s">
        <v>1053</v>
      </c>
      <c r="D1177" s="58"/>
      <c r="E1177" s="43" t="str">
        <f t="shared" si="73"/>
        <v>Еще фото</v>
      </c>
      <c r="F1177" s="14"/>
      <c r="G1177" s="24" t="s">
        <v>237</v>
      </c>
      <c r="H1177" s="24" t="s">
        <v>27</v>
      </c>
      <c r="I1177" s="24" t="s">
        <v>237</v>
      </c>
      <c r="J1177" s="15" t="s">
        <v>28</v>
      </c>
      <c r="K1177" s="16" t="s">
        <v>29</v>
      </c>
      <c r="L1177" s="61"/>
      <c r="M1177" s="15"/>
      <c r="N1177" s="15" t="s">
        <v>138</v>
      </c>
      <c r="O1177" s="15"/>
      <c r="P1177" s="16" t="s">
        <v>837</v>
      </c>
      <c r="Q1177" s="17">
        <v>14399</v>
      </c>
      <c r="R1177" s="18">
        <v>45</v>
      </c>
      <c r="S1177" s="19">
        <v>9107.3674999999985</v>
      </c>
      <c r="T1177" s="20" t="s">
        <v>75</v>
      </c>
      <c r="U1177" s="21" t="s">
        <v>52</v>
      </c>
      <c r="V1177" s="22">
        <v>48</v>
      </c>
      <c r="W1177" s="22">
        <v>28</v>
      </c>
      <c r="X1177" s="23"/>
    </row>
    <row r="1178" spans="1:24" s="1" customFormat="1" ht="11" customHeight="1" x14ac:dyDescent="0.3">
      <c r="A1178" s="24" t="s">
        <v>23</v>
      </c>
      <c r="B1178" s="24" t="s">
        <v>1052</v>
      </c>
      <c r="C1178" s="12" t="s">
        <v>1053</v>
      </c>
      <c r="D1178" s="58"/>
      <c r="E1178" s="43" t="str">
        <f t="shared" si="73"/>
        <v>Еще фото</v>
      </c>
      <c r="F1178" s="14"/>
      <c r="G1178" s="24" t="s">
        <v>237</v>
      </c>
      <c r="H1178" s="24" t="s">
        <v>27</v>
      </c>
      <c r="I1178" s="24" t="s">
        <v>237</v>
      </c>
      <c r="J1178" s="15" t="s">
        <v>28</v>
      </c>
      <c r="K1178" s="16" t="s">
        <v>29</v>
      </c>
      <c r="L1178" s="61"/>
      <c r="M1178" s="15"/>
      <c r="N1178" s="15" t="s">
        <v>138</v>
      </c>
      <c r="O1178" s="15"/>
      <c r="P1178" s="16" t="s">
        <v>837</v>
      </c>
      <c r="Q1178" s="17">
        <v>14399</v>
      </c>
      <c r="R1178" s="18">
        <v>45</v>
      </c>
      <c r="S1178" s="19">
        <v>9107.3674999999985</v>
      </c>
      <c r="T1178" s="20" t="s">
        <v>75</v>
      </c>
      <c r="U1178" s="21" t="s">
        <v>188</v>
      </c>
      <c r="V1178" s="25" t="s">
        <v>96</v>
      </c>
      <c r="W1178" s="22">
        <v>24</v>
      </c>
      <c r="X1178" s="23"/>
    </row>
    <row r="1179" spans="1:24" s="1" customFormat="1" ht="11" customHeight="1" x14ac:dyDescent="0.3">
      <c r="A1179" s="24" t="s">
        <v>23</v>
      </c>
      <c r="B1179" s="24" t="s">
        <v>1052</v>
      </c>
      <c r="C1179" s="12" t="s">
        <v>1053</v>
      </c>
      <c r="D1179" s="58"/>
      <c r="E1179" s="43" t="str">
        <f t="shared" si="73"/>
        <v>Еще фото</v>
      </c>
      <c r="F1179" s="14"/>
      <c r="G1179" s="24" t="s">
        <v>237</v>
      </c>
      <c r="H1179" s="24" t="s">
        <v>27</v>
      </c>
      <c r="I1179" s="24" t="s">
        <v>237</v>
      </c>
      <c r="J1179" s="15" t="s">
        <v>28</v>
      </c>
      <c r="K1179" s="16" t="s">
        <v>29</v>
      </c>
      <c r="L1179" s="61"/>
      <c r="M1179" s="15"/>
      <c r="N1179" s="15" t="s">
        <v>138</v>
      </c>
      <c r="O1179" s="15"/>
      <c r="P1179" s="16" t="s">
        <v>837</v>
      </c>
      <c r="Q1179" s="17">
        <v>14399</v>
      </c>
      <c r="R1179" s="18">
        <v>45</v>
      </c>
      <c r="S1179" s="19">
        <v>9107.3674999999985</v>
      </c>
      <c r="T1179" s="20" t="s">
        <v>75</v>
      </c>
      <c r="U1179" s="21" t="s">
        <v>95</v>
      </c>
      <c r="V1179" s="22">
        <v>50</v>
      </c>
      <c r="W1179" s="22">
        <v>13</v>
      </c>
      <c r="X1179" s="23"/>
    </row>
    <row r="1180" spans="1:24" s="1" customFormat="1" ht="11" customHeight="1" x14ac:dyDescent="0.3">
      <c r="A1180" s="24" t="s">
        <v>23</v>
      </c>
      <c r="B1180" s="24" t="s">
        <v>1052</v>
      </c>
      <c r="C1180" s="12" t="s">
        <v>1053</v>
      </c>
      <c r="D1180" s="58"/>
      <c r="E1180" s="43" t="str">
        <f t="shared" si="73"/>
        <v>Еще фото</v>
      </c>
      <c r="F1180" s="14"/>
      <c r="G1180" s="24" t="s">
        <v>237</v>
      </c>
      <c r="H1180" s="24" t="s">
        <v>27</v>
      </c>
      <c r="I1180" s="24" t="s">
        <v>237</v>
      </c>
      <c r="J1180" s="15" t="s">
        <v>28</v>
      </c>
      <c r="K1180" s="16" t="s">
        <v>29</v>
      </c>
      <c r="L1180" s="61"/>
      <c r="M1180" s="15"/>
      <c r="N1180" s="15" t="s">
        <v>138</v>
      </c>
      <c r="O1180" s="15"/>
      <c r="P1180" s="16" t="s">
        <v>837</v>
      </c>
      <c r="Q1180" s="17">
        <v>14399</v>
      </c>
      <c r="R1180" s="18">
        <v>45</v>
      </c>
      <c r="S1180" s="19">
        <v>9107.3674999999985</v>
      </c>
      <c r="T1180" s="20" t="s">
        <v>75</v>
      </c>
      <c r="U1180" s="21" t="s">
        <v>165</v>
      </c>
      <c r="V1180" s="22">
        <v>50</v>
      </c>
      <c r="W1180" s="22">
        <v>12</v>
      </c>
      <c r="X1180" s="23"/>
    </row>
    <row r="1181" spans="1:24" s="1" customFormat="1" ht="11" customHeight="1" x14ac:dyDescent="0.3">
      <c r="A1181" s="24" t="s">
        <v>23</v>
      </c>
      <c r="B1181" s="24" t="s">
        <v>1052</v>
      </c>
      <c r="C1181" s="12" t="s">
        <v>1053</v>
      </c>
      <c r="D1181" s="59"/>
      <c r="E1181" s="43" t="str">
        <f t="shared" si="73"/>
        <v>Еще фото</v>
      </c>
      <c r="F1181" s="14"/>
      <c r="G1181" s="24" t="s">
        <v>237</v>
      </c>
      <c r="H1181" s="24" t="s">
        <v>27</v>
      </c>
      <c r="I1181" s="24" t="s">
        <v>237</v>
      </c>
      <c r="J1181" s="15" t="s">
        <v>28</v>
      </c>
      <c r="K1181" s="16" t="s">
        <v>29</v>
      </c>
      <c r="L1181" s="62"/>
      <c r="M1181" s="15"/>
      <c r="N1181" s="15" t="s">
        <v>138</v>
      </c>
      <c r="O1181" s="15"/>
      <c r="P1181" s="16" t="s">
        <v>837</v>
      </c>
      <c r="Q1181" s="17">
        <v>14399</v>
      </c>
      <c r="R1181" s="18">
        <v>45</v>
      </c>
      <c r="S1181" s="19">
        <v>9107.3674999999985</v>
      </c>
      <c r="T1181" s="20" t="s">
        <v>75</v>
      </c>
      <c r="U1181" s="21" t="s">
        <v>166</v>
      </c>
      <c r="V1181" s="25" t="s">
        <v>90</v>
      </c>
      <c r="W1181" s="22">
        <v>8</v>
      </c>
      <c r="X1181" s="23"/>
    </row>
    <row r="1182" spans="1:24" s="1" customFormat="1" ht="52.05" customHeight="1" x14ac:dyDescent="0.3">
      <c r="A1182" s="11" t="s">
        <v>23</v>
      </c>
      <c r="B1182" s="11" t="s">
        <v>363</v>
      </c>
      <c r="C1182" s="12" t="s">
        <v>1055</v>
      </c>
      <c r="D1182" s="63"/>
      <c r="E1182" s="43" t="str">
        <f>HYPERLINK("https://www.google.ru/search?q=18882-0024&amp;newwindow=1&amp;tbm=isch","Еще фото")</f>
        <v>Еще фото</v>
      </c>
      <c r="F1182" s="14"/>
      <c r="G1182" s="11" t="s">
        <v>237</v>
      </c>
      <c r="H1182" s="11" t="s">
        <v>27</v>
      </c>
      <c r="I1182" s="15" t="s">
        <v>237</v>
      </c>
      <c r="J1182" s="15" t="s">
        <v>28</v>
      </c>
      <c r="K1182" s="16" t="s">
        <v>29</v>
      </c>
      <c r="L1182" s="60"/>
      <c r="M1182" s="15" t="s">
        <v>72</v>
      </c>
      <c r="N1182" s="15" t="s">
        <v>39</v>
      </c>
      <c r="O1182" s="15"/>
      <c r="P1182" s="16" t="s">
        <v>242</v>
      </c>
      <c r="Q1182" s="17">
        <v>9899</v>
      </c>
      <c r="R1182" s="18">
        <v>45</v>
      </c>
      <c r="S1182" s="19">
        <v>6261.1174999999994</v>
      </c>
      <c r="T1182" s="20" t="s">
        <v>75</v>
      </c>
      <c r="U1182" s="21" t="s">
        <v>47</v>
      </c>
      <c r="V1182" s="25" t="s">
        <v>48</v>
      </c>
      <c r="W1182" s="22">
        <v>1</v>
      </c>
      <c r="X1182" s="23"/>
    </row>
    <row r="1183" spans="1:24" s="1" customFormat="1" ht="61.05" customHeight="1" x14ac:dyDescent="0.3">
      <c r="A1183" s="24" t="s">
        <v>23</v>
      </c>
      <c r="B1183" s="24" t="s">
        <v>363</v>
      </c>
      <c r="C1183" s="12" t="s">
        <v>1055</v>
      </c>
      <c r="D1183" s="64"/>
      <c r="E1183" s="43" t="str">
        <f>HYPERLINK("https://www.google.ru/search?q=18882-0024&amp;newwindow=1&amp;tbm=isch","Еще фото")</f>
        <v>Еще фото</v>
      </c>
      <c r="F1183" s="14"/>
      <c r="G1183" s="24" t="s">
        <v>237</v>
      </c>
      <c r="H1183" s="24" t="s">
        <v>27</v>
      </c>
      <c r="I1183" s="24" t="s">
        <v>237</v>
      </c>
      <c r="J1183" s="15" t="s">
        <v>28</v>
      </c>
      <c r="K1183" s="16" t="s">
        <v>29</v>
      </c>
      <c r="L1183" s="62"/>
      <c r="M1183" s="15" t="s">
        <v>72</v>
      </c>
      <c r="N1183" s="15" t="s">
        <v>39</v>
      </c>
      <c r="O1183" s="15"/>
      <c r="P1183" s="16" t="s">
        <v>242</v>
      </c>
      <c r="Q1183" s="17">
        <v>9899</v>
      </c>
      <c r="R1183" s="18">
        <v>45</v>
      </c>
      <c r="S1183" s="19">
        <v>6261.1174999999994</v>
      </c>
      <c r="T1183" s="20" t="s">
        <v>75</v>
      </c>
      <c r="U1183" s="21" t="s">
        <v>362</v>
      </c>
      <c r="V1183" s="22">
        <v>44</v>
      </c>
      <c r="W1183" s="22">
        <v>1</v>
      </c>
      <c r="X1183" s="23"/>
    </row>
    <row r="1184" spans="1:24" s="1" customFormat="1" ht="17" customHeight="1" x14ac:dyDescent="0.3">
      <c r="A1184" s="11" t="s">
        <v>23</v>
      </c>
      <c r="B1184" s="11" t="s">
        <v>1056</v>
      </c>
      <c r="C1184" s="12" t="s">
        <v>1057</v>
      </c>
      <c r="D1184" s="57"/>
      <c r="E1184" s="43" t="str">
        <f t="shared" ref="E1184:E1189" si="74">HYPERLINK("https://www.google.ru/search?q=18882-0469&amp;newwindow=1&amp;tbm=isch","Еще фото")</f>
        <v>Еще фото</v>
      </c>
      <c r="F1184" s="14"/>
      <c r="G1184" s="11" t="s">
        <v>237</v>
      </c>
      <c r="H1184" s="11" t="s">
        <v>27</v>
      </c>
      <c r="I1184" s="15" t="s">
        <v>237</v>
      </c>
      <c r="J1184" s="15" t="s">
        <v>28</v>
      </c>
      <c r="K1184" s="16" t="s">
        <v>29</v>
      </c>
      <c r="L1184" s="60" t="s">
        <v>1058</v>
      </c>
      <c r="M1184" s="15" t="s">
        <v>72</v>
      </c>
      <c r="N1184" s="15" t="s">
        <v>138</v>
      </c>
      <c r="O1184" s="15" t="s">
        <v>121</v>
      </c>
      <c r="P1184" s="16" t="s">
        <v>297</v>
      </c>
      <c r="Q1184" s="17">
        <v>16199</v>
      </c>
      <c r="R1184" s="18">
        <v>45</v>
      </c>
      <c r="S1184" s="19">
        <v>10245.8675</v>
      </c>
      <c r="T1184" s="20" t="s">
        <v>75</v>
      </c>
      <c r="U1184" s="21" t="s">
        <v>299</v>
      </c>
      <c r="V1184" s="22">
        <v>38</v>
      </c>
      <c r="W1184" s="22">
        <v>1</v>
      </c>
      <c r="X1184" s="23"/>
    </row>
    <row r="1185" spans="1:24" s="1" customFormat="1" ht="17" customHeight="1" x14ac:dyDescent="0.3">
      <c r="A1185" s="24" t="s">
        <v>23</v>
      </c>
      <c r="B1185" s="24" t="s">
        <v>1056</v>
      </c>
      <c r="C1185" s="12" t="s">
        <v>1057</v>
      </c>
      <c r="D1185" s="58"/>
      <c r="E1185" s="43" t="str">
        <f t="shared" si="74"/>
        <v>Еще фото</v>
      </c>
      <c r="F1185" s="14"/>
      <c r="G1185" s="24" t="s">
        <v>237</v>
      </c>
      <c r="H1185" s="24" t="s">
        <v>27</v>
      </c>
      <c r="I1185" s="24" t="s">
        <v>237</v>
      </c>
      <c r="J1185" s="15" t="s">
        <v>28</v>
      </c>
      <c r="K1185" s="16" t="s">
        <v>29</v>
      </c>
      <c r="L1185" s="61"/>
      <c r="M1185" s="15" t="s">
        <v>72</v>
      </c>
      <c r="N1185" s="15" t="s">
        <v>138</v>
      </c>
      <c r="O1185" s="15" t="s">
        <v>121</v>
      </c>
      <c r="P1185" s="16" t="s">
        <v>297</v>
      </c>
      <c r="Q1185" s="17">
        <v>16199</v>
      </c>
      <c r="R1185" s="18">
        <v>45</v>
      </c>
      <c r="S1185" s="19">
        <v>10245.8675</v>
      </c>
      <c r="T1185" s="20" t="s">
        <v>75</v>
      </c>
      <c r="U1185" s="21" t="s">
        <v>76</v>
      </c>
      <c r="V1185" s="22">
        <v>40</v>
      </c>
      <c r="W1185" s="22">
        <v>1</v>
      </c>
      <c r="X1185" s="23"/>
    </row>
    <row r="1186" spans="1:24" s="1" customFormat="1" ht="17" customHeight="1" x14ac:dyDescent="0.3">
      <c r="A1186" s="24" t="s">
        <v>23</v>
      </c>
      <c r="B1186" s="24" t="s">
        <v>1056</v>
      </c>
      <c r="C1186" s="12" t="s">
        <v>1057</v>
      </c>
      <c r="D1186" s="58"/>
      <c r="E1186" s="43" t="str">
        <f t="shared" si="74"/>
        <v>Еще фото</v>
      </c>
      <c r="F1186" s="14"/>
      <c r="G1186" s="24" t="s">
        <v>237</v>
      </c>
      <c r="H1186" s="24" t="s">
        <v>27</v>
      </c>
      <c r="I1186" s="24" t="s">
        <v>237</v>
      </c>
      <c r="J1186" s="15" t="s">
        <v>28</v>
      </c>
      <c r="K1186" s="16" t="s">
        <v>29</v>
      </c>
      <c r="L1186" s="61"/>
      <c r="M1186" s="15" t="s">
        <v>72</v>
      </c>
      <c r="N1186" s="15" t="s">
        <v>138</v>
      </c>
      <c r="O1186" s="15" t="s">
        <v>121</v>
      </c>
      <c r="P1186" s="16" t="s">
        <v>297</v>
      </c>
      <c r="Q1186" s="17">
        <v>16199</v>
      </c>
      <c r="R1186" s="18">
        <v>45</v>
      </c>
      <c r="S1186" s="19">
        <v>10245.8675</v>
      </c>
      <c r="T1186" s="20" t="s">
        <v>75</v>
      </c>
      <c r="U1186" s="21" t="s">
        <v>255</v>
      </c>
      <c r="V1186" s="22">
        <v>40</v>
      </c>
      <c r="W1186" s="22">
        <v>1</v>
      </c>
      <c r="X1186" s="23"/>
    </row>
    <row r="1187" spans="1:24" s="1" customFormat="1" ht="17" customHeight="1" x14ac:dyDescent="0.3">
      <c r="A1187" s="24" t="s">
        <v>23</v>
      </c>
      <c r="B1187" s="24" t="s">
        <v>1056</v>
      </c>
      <c r="C1187" s="12" t="s">
        <v>1057</v>
      </c>
      <c r="D1187" s="58"/>
      <c r="E1187" s="43" t="str">
        <f t="shared" si="74"/>
        <v>Еще фото</v>
      </c>
      <c r="F1187" s="14"/>
      <c r="G1187" s="24" t="s">
        <v>237</v>
      </c>
      <c r="H1187" s="24" t="s">
        <v>27</v>
      </c>
      <c r="I1187" s="24" t="s">
        <v>237</v>
      </c>
      <c r="J1187" s="15" t="s">
        <v>28</v>
      </c>
      <c r="K1187" s="16" t="s">
        <v>29</v>
      </c>
      <c r="L1187" s="61"/>
      <c r="M1187" s="15" t="s">
        <v>72</v>
      </c>
      <c r="N1187" s="15" t="s">
        <v>138</v>
      </c>
      <c r="O1187" s="15" t="s">
        <v>121</v>
      </c>
      <c r="P1187" s="16" t="s">
        <v>297</v>
      </c>
      <c r="Q1187" s="17">
        <v>16199</v>
      </c>
      <c r="R1187" s="18">
        <v>45</v>
      </c>
      <c r="S1187" s="19">
        <v>10245.8675</v>
      </c>
      <c r="T1187" s="20" t="s">
        <v>75</v>
      </c>
      <c r="U1187" s="21" t="s">
        <v>313</v>
      </c>
      <c r="V1187" s="22">
        <v>44</v>
      </c>
      <c r="W1187" s="22">
        <v>1</v>
      </c>
      <c r="X1187" s="23"/>
    </row>
    <row r="1188" spans="1:24" s="1" customFormat="1" ht="17" customHeight="1" x14ac:dyDescent="0.3">
      <c r="A1188" s="24" t="s">
        <v>23</v>
      </c>
      <c r="B1188" s="24" t="s">
        <v>1056</v>
      </c>
      <c r="C1188" s="12" t="s">
        <v>1057</v>
      </c>
      <c r="D1188" s="58"/>
      <c r="E1188" s="43" t="str">
        <f t="shared" si="74"/>
        <v>Еще фото</v>
      </c>
      <c r="F1188" s="14"/>
      <c r="G1188" s="24" t="s">
        <v>237</v>
      </c>
      <c r="H1188" s="24" t="s">
        <v>27</v>
      </c>
      <c r="I1188" s="24" t="s">
        <v>237</v>
      </c>
      <c r="J1188" s="15" t="s">
        <v>28</v>
      </c>
      <c r="K1188" s="16" t="s">
        <v>29</v>
      </c>
      <c r="L1188" s="61"/>
      <c r="M1188" s="15" t="s">
        <v>72</v>
      </c>
      <c r="N1188" s="15" t="s">
        <v>138</v>
      </c>
      <c r="O1188" s="15" t="s">
        <v>121</v>
      </c>
      <c r="P1188" s="16" t="s">
        <v>297</v>
      </c>
      <c r="Q1188" s="17">
        <v>16199</v>
      </c>
      <c r="R1188" s="18">
        <v>45</v>
      </c>
      <c r="S1188" s="19">
        <v>10245.8675</v>
      </c>
      <c r="T1188" s="20" t="s">
        <v>75</v>
      </c>
      <c r="U1188" s="21" t="s">
        <v>230</v>
      </c>
      <c r="V1188" s="22">
        <v>46</v>
      </c>
      <c r="W1188" s="22">
        <v>1</v>
      </c>
      <c r="X1188" s="23"/>
    </row>
    <row r="1189" spans="1:24" s="1" customFormat="1" ht="22.05" customHeight="1" x14ac:dyDescent="0.3">
      <c r="A1189" s="24" t="s">
        <v>23</v>
      </c>
      <c r="B1189" s="24" t="s">
        <v>1056</v>
      </c>
      <c r="C1189" s="12" t="s">
        <v>1057</v>
      </c>
      <c r="D1189" s="59"/>
      <c r="E1189" s="43" t="str">
        <f t="shared" si="74"/>
        <v>Еще фото</v>
      </c>
      <c r="F1189" s="14"/>
      <c r="G1189" s="24" t="s">
        <v>237</v>
      </c>
      <c r="H1189" s="24" t="s">
        <v>27</v>
      </c>
      <c r="I1189" s="24" t="s">
        <v>237</v>
      </c>
      <c r="J1189" s="15" t="s">
        <v>28</v>
      </c>
      <c r="K1189" s="16" t="s">
        <v>29</v>
      </c>
      <c r="L1189" s="62"/>
      <c r="M1189" s="15" t="s">
        <v>72</v>
      </c>
      <c r="N1189" s="15" t="s">
        <v>138</v>
      </c>
      <c r="O1189" s="15" t="s">
        <v>121</v>
      </c>
      <c r="P1189" s="16" t="s">
        <v>297</v>
      </c>
      <c r="Q1189" s="17">
        <v>16199</v>
      </c>
      <c r="R1189" s="18">
        <v>45</v>
      </c>
      <c r="S1189" s="19">
        <v>10245.8675</v>
      </c>
      <c r="T1189" s="20" t="s">
        <v>75</v>
      </c>
      <c r="U1189" s="21" t="s">
        <v>109</v>
      </c>
      <c r="V1189" s="25" t="s">
        <v>96</v>
      </c>
      <c r="W1189" s="22">
        <v>1</v>
      </c>
      <c r="X1189" s="23"/>
    </row>
    <row r="1190" spans="1:24" s="1" customFormat="1" ht="11" customHeight="1" x14ac:dyDescent="0.3">
      <c r="A1190" s="11" t="s">
        <v>23</v>
      </c>
      <c r="B1190" s="11" t="s">
        <v>1059</v>
      </c>
      <c r="C1190" s="12" t="s">
        <v>1060</v>
      </c>
      <c r="D1190" s="57"/>
      <c r="E1190" s="43" t="str">
        <f t="shared" ref="E1190:E1200" si="75">HYPERLINK("https://www.google.ru/search?q=18882-0594&amp;newwindow=1&amp;tbm=isch","Еще фото")</f>
        <v>Еще фото</v>
      </c>
      <c r="F1190" s="34" t="s">
        <v>469</v>
      </c>
      <c r="G1190" s="11" t="s">
        <v>237</v>
      </c>
      <c r="H1190" s="11" t="s">
        <v>27</v>
      </c>
      <c r="I1190" s="15" t="s">
        <v>237</v>
      </c>
      <c r="J1190" s="15" t="s">
        <v>37</v>
      </c>
      <c r="K1190" s="16" t="s">
        <v>29</v>
      </c>
      <c r="L1190" s="60"/>
      <c r="M1190" s="15"/>
      <c r="N1190" s="15" t="s">
        <v>130</v>
      </c>
      <c r="O1190" s="15"/>
      <c r="P1190" s="16" t="s">
        <v>322</v>
      </c>
      <c r="Q1190" s="17">
        <v>18399</v>
      </c>
      <c r="R1190" s="18">
        <v>45</v>
      </c>
      <c r="S1190" s="19">
        <v>11637.3675</v>
      </c>
      <c r="T1190" s="20" t="s">
        <v>75</v>
      </c>
      <c r="U1190" s="21" t="s">
        <v>42</v>
      </c>
      <c r="V1190" s="22">
        <v>40</v>
      </c>
      <c r="W1190" s="22">
        <v>2</v>
      </c>
      <c r="X1190" s="23"/>
    </row>
    <row r="1191" spans="1:24" s="1" customFormat="1" ht="11" customHeight="1" x14ac:dyDescent="0.3">
      <c r="A1191" s="24" t="s">
        <v>23</v>
      </c>
      <c r="B1191" s="24" t="s">
        <v>1059</v>
      </c>
      <c r="C1191" s="12" t="s">
        <v>1060</v>
      </c>
      <c r="D1191" s="58"/>
      <c r="E1191" s="43" t="str">
        <f t="shared" si="75"/>
        <v>Еще фото</v>
      </c>
      <c r="F1191" s="34" t="s">
        <v>469</v>
      </c>
      <c r="G1191" s="24" t="s">
        <v>237</v>
      </c>
      <c r="H1191" s="24" t="s">
        <v>27</v>
      </c>
      <c r="I1191" s="24" t="s">
        <v>237</v>
      </c>
      <c r="J1191" s="15" t="s">
        <v>37</v>
      </c>
      <c r="K1191" s="16" t="s">
        <v>29</v>
      </c>
      <c r="L1191" s="61"/>
      <c r="M1191" s="15"/>
      <c r="N1191" s="15" t="s">
        <v>130</v>
      </c>
      <c r="O1191" s="15"/>
      <c r="P1191" s="16" t="s">
        <v>322</v>
      </c>
      <c r="Q1191" s="17">
        <v>18399</v>
      </c>
      <c r="R1191" s="18">
        <v>45</v>
      </c>
      <c r="S1191" s="19">
        <v>11637.3675</v>
      </c>
      <c r="T1191" s="20" t="s">
        <v>75</v>
      </c>
      <c r="U1191" s="21" t="s">
        <v>43</v>
      </c>
      <c r="V1191" s="25" t="s">
        <v>44</v>
      </c>
      <c r="W1191" s="22">
        <v>8</v>
      </c>
      <c r="X1191" s="23"/>
    </row>
    <row r="1192" spans="1:24" s="1" customFormat="1" ht="11" customHeight="1" x14ac:dyDescent="0.3">
      <c r="A1192" s="24" t="s">
        <v>23</v>
      </c>
      <c r="B1192" s="24" t="s">
        <v>1059</v>
      </c>
      <c r="C1192" s="12" t="s">
        <v>1060</v>
      </c>
      <c r="D1192" s="58"/>
      <c r="E1192" s="43" t="str">
        <f t="shared" si="75"/>
        <v>Еще фото</v>
      </c>
      <c r="F1192" s="34" t="s">
        <v>469</v>
      </c>
      <c r="G1192" s="24" t="s">
        <v>237</v>
      </c>
      <c r="H1192" s="24" t="s">
        <v>27</v>
      </c>
      <c r="I1192" s="24" t="s">
        <v>237</v>
      </c>
      <c r="J1192" s="15" t="s">
        <v>37</v>
      </c>
      <c r="K1192" s="16" t="s">
        <v>29</v>
      </c>
      <c r="L1192" s="61"/>
      <c r="M1192" s="15"/>
      <c r="N1192" s="15" t="s">
        <v>130</v>
      </c>
      <c r="O1192" s="15"/>
      <c r="P1192" s="16" t="s">
        <v>322</v>
      </c>
      <c r="Q1192" s="17">
        <v>18399</v>
      </c>
      <c r="R1192" s="18">
        <v>45</v>
      </c>
      <c r="S1192" s="19">
        <v>11637.3675</v>
      </c>
      <c r="T1192" s="20" t="s">
        <v>75</v>
      </c>
      <c r="U1192" s="21" t="s">
        <v>45</v>
      </c>
      <c r="V1192" s="25" t="s">
        <v>44</v>
      </c>
      <c r="W1192" s="22">
        <v>2</v>
      </c>
      <c r="X1192" s="23"/>
    </row>
    <row r="1193" spans="1:24" s="1" customFormat="1" ht="11" customHeight="1" x14ac:dyDescent="0.3">
      <c r="A1193" s="24" t="s">
        <v>23</v>
      </c>
      <c r="B1193" s="24" t="s">
        <v>1059</v>
      </c>
      <c r="C1193" s="12" t="s">
        <v>1060</v>
      </c>
      <c r="D1193" s="58"/>
      <c r="E1193" s="43" t="str">
        <f t="shared" si="75"/>
        <v>Еще фото</v>
      </c>
      <c r="F1193" s="34" t="s">
        <v>469</v>
      </c>
      <c r="G1193" s="24" t="s">
        <v>237</v>
      </c>
      <c r="H1193" s="24" t="s">
        <v>27</v>
      </c>
      <c r="I1193" s="24" t="s">
        <v>237</v>
      </c>
      <c r="J1193" s="15" t="s">
        <v>37</v>
      </c>
      <c r="K1193" s="16" t="s">
        <v>29</v>
      </c>
      <c r="L1193" s="61"/>
      <c r="M1193" s="15"/>
      <c r="N1193" s="15" t="s">
        <v>130</v>
      </c>
      <c r="O1193" s="15"/>
      <c r="P1193" s="16" t="s">
        <v>322</v>
      </c>
      <c r="Q1193" s="17">
        <v>18399</v>
      </c>
      <c r="R1193" s="18">
        <v>45</v>
      </c>
      <c r="S1193" s="19">
        <v>11637.3675</v>
      </c>
      <c r="T1193" s="20" t="s">
        <v>75</v>
      </c>
      <c r="U1193" s="21" t="s">
        <v>46</v>
      </c>
      <c r="V1193" s="22">
        <v>42</v>
      </c>
      <c r="W1193" s="22">
        <v>10</v>
      </c>
      <c r="X1193" s="23"/>
    </row>
    <row r="1194" spans="1:24" s="1" customFormat="1" ht="11" customHeight="1" x14ac:dyDescent="0.3">
      <c r="A1194" s="24" t="s">
        <v>23</v>
      </c>
      <c r="B1194" s="24" t="s">
        <v>1059</v>
      </c>
      <c r="C1194" s="12" t="s">
        <v>1060</v>
      </c>
      <c r="D1194" s="58"/>
      <c r="E1194" s="43" t="str">
        <f t="shared" si="75"/>
        <v>Еще фото</v>
      </c>
      <c r="F1194" s="34" t="s">
        <v>469</v>
      </c>
      <c r="G1194" s="24" t="s">
        <v>237</v>
      </c>
      <c r="H1194" s="24" t="s">
        <v>27</v>
      </c>
      <c r="I1194" s="24" t="s">
        <v>237</v>
      </c>
      <c r="J1194" s="15" t="s">
        <v>37</v>
      </c>
      <c r="K1194" s="16" t="s">
        <v>29</v>
      </c>
      <c r="L1194" s="61"/>
      <c r="M1194" s="15"/>
      <c r="N1194" s="15" t="s">
        <v>130</v>
      </c>
      <c r="O1194" s="15"/>
      <c r="P1194" s="16" t="s">
        <v>322</v>
      </c>
      <c r="Q1194" s="17">
        <v>18399</v>
      </c>
      <c r="R1194" s="18">
        <v>45</v>
      </c>
      <c r="S1194" s="19">
        <v>11637.3675</v>
      </c>
      <c r="T1194" s="20" t="s">
        <v>75</v>
      </c>
      <c r="U1194" s="21" t="s">
        <v>158</v>
      </c>
      <c r="V1194" s="22">
        <v>42</v>
      </c>
      <c r="W1194" s="22">
        <v>2</v>
      </c>
      <c r="X1194" s="23"/>
    </row>
    <row r="1195" spans="1:24" s="1" customFormat="1" ht="11" customHeight="1" x14ac:dyDescent="0.3">
      <c r="A1195" s="24" t="s">
        <v>23</v>
      </c>
      <c r="B1195" s="24" t="s">
        <v>1059</v>
      </c>
      <c r="C1195" s="12" t="s">
        <v>1060</v>
      </c>
      <c r="D1195" s="58"/>
      <c r="E1195" s="43" t="str">
        <f t="shared" si="75"/>
        <v>Еще фото</v>
      </c>
      <c r="F1195" s="34" t="s">
        <v>469</v>
      </c>
      <c r="G1195" s="24" t="s">
        <v>237</v>
      </c>
      <c r="H1195" s="24" t="s">
        <v>27</v>
      </c>
      <c r="I1195" s="24" t="s">
        <v>237</v>
      </c>
      <c r="J1195" s="15" t="s">
        <v>37</v>
      </c>
      <c r="K1195" s="16" t="s">
        <v>29</v>
      </c>
      <c r="L1195" s="61"/>
      <c r="M1195" s="15"/>
      <c r="N1195" s="15" t="s">
        <v>130</v>
      </c>
      <c r="O1195" s="15"/>
      <c r="P1195" s="16" t="s">
        <v>322</v>
      </c>
      <c r="Q1195" s="17">
        <v>18399</v>
      </c>
      <c r="R1195" s="18">
        <v>45</v>
      </c>
      <c r="S1195" s="19">
        <v>11637.3675</v>
      </c>
      <c r="T1195" s="20" t="s">
        <v>75</v>
      </c>
      <c r="U1195" s="21" t="s">
        <v>47</v>
      </c>
      <c r="V1195" s="25" t="s">
        <v>48</v>
      </c>
      <c r="W1195" s="22">
        <v>2</v>
      </c>
      <c r="X1195" s="23"/>
    </row>
    <row r="1196" spans="1:24" s="1" customFormat="1" ht="11" customHeight="1" x14ac:dyDescent="0.3">
      <c r="A1196" s="24" t="s">
        <v>23</v>
      </c>
      <c r="B1196" s="24" t="s">
        <v>1059</v>
      </c>
      <c r="C1196" s="12" t="s">
        <v>1060</v>
      </c>
      <c r="D1196" s="58"/>
      <c r="E1196" s="43" t="str">
        <f t="shared" si="75"/>
        <v>Еще фото</v>
      </c>
      <c r="F1196" s="34" t="s">
        <v>469</v>
      </c>
      <c r="G1196" s="24" t="s">
        <v>237</v>
      </c>
      <c r="H1196" s="24" t="s">
        <v>27</v>
      </c>
      <c r="I1196" s="24" t="s">
        <v>237</v>
      </c>
      <c r="J1196" s="15" t="s">
        <v>37</v>
      </c>
      <c r="K1196" s="16" t="s">
        <v>29</v>
      </c>
      <c r="L1196" s="61"/>
      <c r="M1196" s="15"/>
      <c r="N1196" s="15" t="s">
        <v>130</v>
      </c>
      <c r="O1196" s="15"/>
      <c r="P1196" s="16" t="s">
        <v>322</v>
      </c>
      <c r="Q1196" s="17">
        <v>18399</v>
      </c>
      <c r="R1196" s="18">
        <v>45</v>
      </c>
      <c r="S1196" s="19">
        <v>11637.3675</v>
      </c>
      <c r="T1196" s="20" t="s">
        <v>75</v>
      </c>
      <c r="U1196" s="21" t="s">
        <v>49</v>
      </c>
      <c r="V1196" s="25" t="s">
        <v>48</v>
      </c>
      <c r="W1196" s="22">
        <v>4</v>
      </c>
      <c r="X1196" s="23"/>
    </row>
    <row r="1197" spans="1:24" s="1" customFormat="1" ht="11" customHeight="1" x14ac:dyDescent="0.3">
      <c r="A1197" s="24" t="s">
        <v>23</v>
      </c>
      <c r="B1197" s="24" t="s">
        <v>1059</v>
      </c>
      <c r="C1197" s="12" t="s">
        <v>1060</v>
      </c>
      <c r="D1197" s="58"/>
      <c r="E1197" s="43" t="str">
        <f t="shared" si="75"/>
        <v>Еще фото</v>
      </c>
      <c r="F1197" s="34" t="s">
        <v>469</v>
      </c>
      <c r="G1197" s="24" t="s">
        <v>237</v>
      </c>
      <c r="H1197" s="24" t="s">
        <v>27</v>
      </c>
      <c r="I1197" s="24" t="s">
        <v>237</v>
      </c>
      <c r="J1197" s="15" t="s">
        <v>37</v>
      </c>
      <c r="K1197" s="16" t="s">
        <v>29</v>
      </c>
      <c r="L1197" s="61"/>
      <c r="M1197" s="15"/>
      <c r="N1197" s="15" t="s">
        <v>130</v>
      </c>
      <c r="O1197" s="15"/>
      <c r="P1197" s="16" t="s">
        <v>322</v>
      </c>
      <c r="Q1197" s="17">
        <v>18399</v>
      </c>
      <c r="R1197" s="18">
        <v>45</v>
      </c>
      <c r="S1197" s="19">
        <v>11637.3675</v>
      </c>
      <c r="T1197" s="20" t="s">
        <v>75</v>
      </c>
      <c r="U1197" s="21" t="s">
        <v>362</v>
      </c>
      <c r="V1197" s="22">
        <v>44</v>
      </c>
      <c r="W1197" s="22">
        <v>1</v>
      </c>
      <c r="X1197" s="23"/>
    </row>
    <row r="1198" spans="1:24" s="1" customFormat="1" ht="11" customHeight="1" x14ac:dyDescent="0.3">
      <c r="A1198" s="24" t="s">
        <v>23</v>
      </c>
      <c r="B1198" s="24" t="s">
        <v>1059</v>
      </c>
      <c r="C1198" s="12" t="s">
        <v>1060</v>
      </c>
      <c r="D1198" s="58"/>
      <c r="E1198" s="43" t="str">
        <f t="shared" si="75"/>
        <v>Еще фото</v>
      </c>
      <c r="F1198" s="34" t="s">
        <v>469</v>
      </c>
      <c r="G1198" s="24" t="s">
        <v>237</v>
      </c>
      <c r="H1198" s="24" t="s">
        <v>27</v>
      </c>
      <c r="I1198" s="24" t="s">
        <v>237</v>
      </c>
      <c r="J1198" s="15" t="s">
        <v>37</v>
      </c>
      <c r="K1198" s="16" t="s">
        <v>29</v>
      </c>
      <c r="L1198" s="61"/>
      <c r="M1198" s="15"/>
      <c r="N1198" s="15" t="s">
        <v>130</v>
      </c>
      <c r="O1198" s="15"/>
      <c r="P1198" s="16" t="s">
        <v>322</v>
      </c>
      <c r="Q1198" s="17">
        <v>18399</v>
      </c>
      <c r="R1198" s="18">
        <v>45</v>
      </c>
      <c r="S1198" s="19">
        <v>11637.3675</v>
      </c>
      <c r="T1198" s="20" t="s">
        <v>75</v>
      </c>
      <c r="U1198" s="21" t="s">
        <v>50</v>
      </c>
      <c r="V1198" s="22">
        <v>44</v>
      </c>
      <c r="W1198" s="22">
        <v>5</v>
      </c>
      <c r="X1198" s="23"/>
    </row>
    <row r="1199" spans="1:24" s="1" customFormat="1" ht="11" customHeight="1" x14ac:dyDescent="0.3">
      <c r="A1199" s="15" t="s">
        <v>23</v>
      </c>
      <c r="B1199" s="15" t="s">
        <v>1059</v>
      </c>
      <c r="C1199" s="12" t="s">
        <v>1060</v>
      </c>
      <c r="D1199" s="58"/>
      <c r="E1199" s="43" t="str">
        <f t="shared" si="75"/>
        <v>Еще фото</v>
      </c>
      <c r="F1199" s="35" t="s">
        <v>469</v>
      </c>
      <c r="G1199" s="15" t="s">
        <v>237</v>
      </c>
      <c r="H1199" s="15" t="s">
        <v>27</v>
      </c>
      <c r="I1199" s="15" t="s">
        <v>237</v>
      </c>
      <c r="J1199" s="15" t="s">
        <v>37</v>
      </c>
      <c r="K1199" s="15" t="s">
        <v>29</v>
      </c>
      <c r="L1199" s="61"/>
      <c r="M1199" s="15"/>
      <c r="N1199" s="15" t="s">
        <v>130</v>
      </c>
      <c r="O1199" s="15"/>
      <c r="P1199" s="15" t="s">
        <v>322</v>
      </c>
      <c r="Q1199" s="27">
        <v>18399</v>
      </c>
      <c r="R1199" s="28">
        <v>45</v>
      </c>
      <c r="S1199" s="29">
        <v>11637.3675</v>
      </c>
      <c r="T1199" s="20" t="s">
        <v>75</v>
      </c>
      <c r="U1199" s="21" t="s">
        <v>52</v>
      </c>
      <c r="V1199" s="22">
        <v>48</v>
      </c>
      <c r="W1199" s="22">
        <v>3</v>
      </c>
      <c r="X1199" s="23"/>
    </row>
    <row r="1200" spans="1:24" s="1" customFormat="1" ht="11" customHeight="1" x14ac:dyDescent="0.3">
      <c r="A1200" s="15" t="s">
        <v>23</v>
      </c>
      <c r="B1200" s="15" t="s">
        <v>1059</v>
      </c>
      <c r="C1200" s="12" t="s">
        <v>1060</v>
      </c>
      <c r="D1200" s="59"/>
      <c r="E1200" s="43" t="str">
        <f t="shared" si="75"/>
        <v>Еще фото</v>
      </c>
      <c r="F1200" s="35" t="s">
        <v>469</v>
      </c>
      <c r="G1200" s="15" t="s">
        <v>237</v>
      </c>
      <c r="H1200" s="15" t="s">
        <v>27</v>
      </c>
      <c r="I1200" s="15" t="s">
        <v>237</v>
      </c>
      <c r="J1200" s="15" t="s">
        <v>37</v>
      </c>
      <c r="K1200" s="15" t="s">
        <v>29</v>
      </c>
      <c r="L1200" s="62"/>
      <c r="M1200" s="15"/>
      <c r="N1200" s="15" t="s">
        <v>130</v>
      </c>
      <c r="O1200" s="15"/>
      <c r="P1200" s="15" t="s">
        <v>322</v>
      </c>
      <c r="Q1200" s="27">
        <v>18399</v>
      </c>
      <c r="R1200" s="28">
        <v>45</v>
      </c>
      <c r="S1200" s="29">
        <v>11637.3675</v>
      </c>
      <c r="T1200" s="20" t="s">
        <v>75</v>
      </c>
      <c r="U1200" s="21" t="s">
        <v>53</v>
      </c>
      <c r="V1200" s="22">
        <v>48</v>
      </c>
      <c r="W1200" s="22">
        <v>1</v>
      </c>
      <c r="X1200" s="23"/>
    </row>
    <row r="1201" spans="1:24" s="1" customFormat="1" ht="11" customHeight="1" x14ac:dyDescent="0.3">
      <c r="A1201" s="11" t="s">
        <v>23</v>
      </c>
      <c r="B1201" s="11" t="s">
        <v>1059</v>
      </c>
      <c r="C1201" s="12" t="s">
        <v>1061</v>
      </c>
      <c r="D1201" s="57"/>
      <c r="E1201" s="43" t="str">
        <f t="shared" ref="E1201:E1212" si="76">HYPERLINK("https://www.google.ru/search?q=18882-0762&amp;newwindow=1&amp;tbm=isch","Еще фото")</f>
        <v>Еще фото</v>
      </c>
      <c r="F1201" s="14" t="s">
        <v>182</v>
      </c>
      <c r="G1201" s="11" t="s">
        <v>237</v>
      </c>
      <c r="H1201" s="11" t="s">
        <v>27</v>
      </c>
      <c r="I1201" s="15" t="s">
        <v>237</v>
      </c>
      <c r="J1201" s="15" t="s">
        <v>37</v>
      </c>
      <c r="K1201" s="16" t="s">
        <v>29</v>
      </c>
      <c r="L1201" s="60"/>
      <c r="M1201" s="15"/>
      <c r="N1201" s="15" t="s">
        <v>39</v>
      </c>
      <c r="O1201" s="15"/>
      <c r="P1201" s="16" t="s">
        <v>1062</v>
      </c>
      <c r="Q1201" s="17">
        <v>15999</v>
      </c>
      <c r="R1201" s="18">
        <v>45</v>
      </c>
      <c r="S1201" s="19">
        <v>10119.3675</v>
      </c>
      <c r="T1201" s="20" t="s">
        <v>75</v>
      </c>
      <c r="U1201" s="21" t="s">
        <v>42</v>
      </c>
      <c r="V1201" s="22">
        <v>40</v>
      </c>
      <c r="W1201" s="22">
        <v>1</v>
      </c>
      <c r="X1201" s="23"/>
    </row>
    <row r="1202" spans="1:24" s="1" customFormat="1" ht="11" customHeight="1" x14ac:dyDescent="0.3">
      <c r="A1202" s="24" t="s">
        <v>23</v>
      </c>
      <c r="B1202" s="24" t="s">
        <v>1059</v>
      </c>
      <c r="C1202" s="12" t="s">
        <v>1061</v>
      </c>
      <c r="D1202" s="58"/>
      <c r="E1202" s="43" t="str">
        <f t="shared" si="76"/>
        <v>Еще фото</v>
      </c>
      <c r="F1202" s="14" t="s">
        <v>182</v>
      </c>
      <c r="G1202" s="24" t="s">
        <v>237</v>
      </c>
      <c r="H1202" s="24" t="s">
        <v>27</v>
      </c>
      <c r="I1202" s="24" t="s">
        <v>237</v>
      </c>
      <c r="J1202" s="15" t="s">
        <v>37</v>
      </c>
      <c r="K1202" s="16" t="s">
        <v>29</v>
      </c>
      <c r="L1202" s="61"/>
      <c r="M1202" s="15"/>
      <c r="N1202" s="15" t="s">
        <v>39</v>
      </c>
      <c r="O1202" s="15"/>
      <c r="P1202" s="16" t="s">
        <v>1062</v>
      </c>
      <c r="Q1202" s="17">
        <v>15999</v>
      </c>
      <c r="R1202" s="18">
        <v>45</v>
      </c>
      <c r="S1202" s="19">
        <v>10119.3675</v>
      </c>
      <c r="T1202" s="20" t="s">
        <v>75</v>
      </c>
      <c r="U1202" s="21" t="s">
        <v>311</v>
      </c>
      <c r="V1202" s="25" t="s">
        <v>44</v>
      </c>
      <c r="W1202" s="22">
        <v>1</v>
      </c>
      <c r="X1202" s="23"/>
    </row>
    <row r="1203" spans="1:24" s="1" customFormat="1" ht="11" customHeight="1" x14ac:dyDescent="0.3">
      <c r="A1203" s="24" t="s">
        <v>23</v>
      </c>
      <c r="B1203" s="24" t="s">
        <v>1059</v>
      </c>
      <c r="C1203" s="12" t="s">
        <v>1061</v>
      </c>
      <c r="D1203" s="58"/>
      <c r="E1203" s="43" t="str">
        <f t="shared" si="76"/>
        <v>Еще фото</v>
      </c>
      <c r="F1203" s="14" t="s">
        <v>182</v>
      </c>
      <c r="G1203" s="24" t="s">
        <v>237</v>
      </c>
      <c r="H1203" s="24" t="s">
        <v>27</v>
      </c>
      <c r="I1203" s="24" t="s">
        <v>237</v>
      </c>
      <c r="J1203" s="15" t="s">
        <v>37</v>
      </c>
      <c r="K1203" s="16" t="s">
        <v>29</v>
      </c>
      <c r="L1203" s="61"/>
      <c r="M1203" s="15"/>
      <c r="N1203" s="15" t="s">
        <v>39</v>
      </c>
      <c r="O1203" s="15"/>
      <c r="P1203" s="16" t="s">
        <v>1062</v>
      </c>
      <c r="Q1203" s="17">
        <v>15999</v>
      </c>
      <c r="R1203" s="18">
        <v>45</v>
      </c>
      <c r="S1203" s="19">
        <v>10119.3675</v>
      </c>
      <c r="T1203" s="20" t="s">
        <v>75</v>
      </c>
      <c r="U1203" s="21" t="s">
        <v>43</v>
      </c>
      <c r="V1203" s="25" t="s">
        <v>44</v>
      </c>
      <c r="W1203" s="22">
        <v>2</v>
      </c>
      <c r="X1203" s="23"/>
    </row>
    <row r="1204" spans="1:24" s="1" customFormat="1" ht="11" customHeight="1" x14ac:dyDescent="0.3">
      <c r="A1204" s="24" t="s">
        <v>23</v>
      </c>
      <c r="B1204" s="24" t="s">
        <v>1059</v>
      </c>
      <c r="C1204" s="12" t="s">
        <v>1061</v>
      </c>
      <c r="D1204" s="58"/>
      <c r="E1204" s="43" t="str">
        <f t="shared" si="76"/>
        <v>Еще фото</v>
      </c>
      <c r="F1204" s="14" t="s">
        <v>182</v>
      </c>
      <c r="G1204" s="24" t="s">
        <v>237</v>
      </c>
      <c r="H1204" s="24" t="s">
        <v>27</v>
      </c>
      <c r="I1204" s="24" t="s">
        <v>237</v>
      </c>
      <c r="J1204" s="15" t="s">
        <v>37</v>
      </c>
      <c r="K1204" s="16" t="s">
        <v>29</v>
      </c>
      <c r="L1204" s="61"/>
      <c r="M1204" s="15"/>
      <c r="N1204" s="15" t="s">
        <v>39</v>
      </c>
      <c r="O1204" s="15"/>
      <c r="P1204" s="16" t="s">
        <v>1062</v>
      </c>
      <c r="Q1204" s="17">
        <v>15999</v>
      </c>
      <c r="R1204" s="18">
        <v>45</v>
      </c>
      <c r="S1204" s="19">
        <v>10119.3675</v>
      </c>
      <c r="T1204" s="20" t="s">
        <v>75</v>
      </c>
      <c r="U1204" s="21" t="s">
        <v>45</v>
      </c>
      <c r="V1204" s="25" t="s">
        <v>44</v>
      </c>
      <c r="W1204" s="22">
        <v>1</v>
      </c>
      <c r="X1204" s="23"/>
    </row>
    <row r="1205" spans="1:24" s="1" customFormat="1" ht="11" customHeight="1" x14ac:dyDescent="0.3">
      <c r="A1205" s="24" t="s">
        <v>23</v>
      </c>
      <c r="B1205" s="24" t="s">
        <v>1059</v>
      </c>
      <c r="C1205" s="12" t="s">
        <v>1061</v>
      </c>
      <c r="D1205" s="58"/>
      <c r="E1205" s="43" t="str">
        <f t="shared" si="76"/>
        <v>Еще фото</v>
      </c>
      <c r="F1205" s="14" t="s">
        <v>182</v>
      </c>
      <c r="G1205" s="24" t="s">
        <v>237</v>
      </c>
      <c r="H1205" s="24" t="s">
        <v>27</v>
      </c>
      <c r="I1205" s="24" t="s">
        <v>237</v>
      </c>
      <c r="J1205" s="15" t="s">
        <v>37</v>
      </c>
      <c r="K1205" s="16" t="s">
        <v>29</v>
      </c>
      <c r="L1205" s="61"/>
      <c r="M1205" s="15"/>
      <c r="N1205" s="15" t="s">
        <v>39</v>
      </c>
      <c r="O1205" s="15"/>
      <c r="P1205" s="16" t="s">
        <v>1062</v>
      </c>
      <c r="Q1205" s="17">
        <v>15999</v>
      </c>
      <c r="R1205" s="18">
        <v>45</v>
      </c>
      <c r="S1205" s="19">
        <v>10119.3675</v>
      </c>
      <c r="T1205" s="20" t="s">
        <v>75</v>
      </c>
      <c r="U1205" s="21" t="s">
        <v>46</v>
      </c>
      <c r="V1205" s="22">
        <v>42</v>
      </c>
      <c r="W1205" s="22">
        <v>3</v>
      </c>
      <c r="X1205" s="23"/>
    </row>
    <row r="1206" spans="1:24" s="1" customFormat="1" ht="11" customHeight="1" x14ac:dyDescent="0.3">
      <c r="A1206" s="24" t="s">
        <v>23</v>
      </c>
      <c r="B1206" s="24" t="s">
        <v>1059</v>
      </c>
      <c r="C1206" s="12" t="s">
        <v>1061</v>
      </c>
      <c r="D1206" s="58"/>
      <c r="E1206" s="43" t="str">
        <f t="shared" si="76"/>
        <v>Еще фото</v>
      </c>
      <c r="F1206" s="14" t="s">
        <v>182</v>
      </c>
      <c r="G1206" s="24" t="s">
        <v>237</v>
      </c>
      <c r="H1206" s="24" t="s">
        <v>27</v>
      </c>
      <c r="I1206" s="24" t="s">
        <v>237</v>
      </c>
      <c r="J1206" s="15" t="s">
        <v>37</v>
      </c>
      <c r="K1206" s="16" t="s">
        <v>29</v>
      </c>
      <c r="L1206" s="61"/>
      <c r="M1206" s="15"/>
      <c r="N1206" s="15" t="s">
        <v>39</v>
      </c>
      <c r="O1206" s="15"/>
      <c r="P1206" s="16" t="s">
        <v>1062</v>
      </c>
      <c r="Q1206" s="17">
        <v>15999</v>
      </c>
      <c r="R1206" s="18">
        <v>45</v>
      </c>
      <c r="S1206" s="19">
        <v>10119.3675</v>
      </c>
      <c r="T1206" s="20" t="s">
        <v>75</v>
      </c>
      <c r="U1206" s="21" t="s">
        <v>158</v>
      </c>
      <c r="V1206" s="22">
        <v>42</v>
      </c>
      <c r="W1206" s="22">
        <v>2</v>
      </c>
      <c r="X1206" s="23"/>
    </row>
    <row r="1207" spans="1:24" s="1" customFormat="1" ht="11" customHeight="1" x14ac:dyDescent="0.3">
      <c r="A1207" s="24" t="s">
        <v>23</v>
      </c>
      <c r="B1207" s="24" t="s">
        <v>1059</v>
      </c>
      <c r="C1207" s="12" t="s">
        <v>1061</v>
      </c>
      <c r="D1207" s="58"/>
      <c r="E1207" s="43" t="str">
        <f t="shared" si="76"/>
        <v>Еще фото</v>
      </c>
      <c r="F1207" s="14" t="s">
        <v>182</v>
      </c>
      <c r="G1207" s="24" t="s">
        <v>237</v>
      </c>
      <c r="H1207" s="24" t="s">
        <v>27</v>
      </c>
      <c r="I1207" s="24" t="s">
        <v>237</v>
      </c>
      <c r="J1207" s="15" t="s">
        <v>37</v>
      </c>
      <c r="K1207" s="16" t="s">
        <v>29</v>
      </c>
      <c r="L1207" s="61"/>
      <c r="M1207" s="15"/>
      <c r="N1207" s="15" t="s">
        <v>39</v>
      </c>
      <c r="O1207" s="15"/>
      <c r="P1207" s="16" t="s">
        <v>1062</v>
      </c>
      <c r="Q1207" s="17">
        <v>15999</v>
      </c>
      <c r="R1207" s="18">
        <v>45</v>
      </c>
      <c r="S1207" s="19">
        <v>10119.3675</v>
      </c>
      <c r="T1207" s="20" t="s">
        <v>75</v>
      </c>
      <c r="U1207" s="21" t="s">
        <v>47</v>
      </c>
      <c r="V1207" s="25" t="s">
        <v>48</v>
      </c>
      <c r="W1207" s="22">
        <v>4</v>
      </c>
      <c r="X1207" s="23"/>
    </row>
    <row r="1208" spans="1:24" s="1" customFormat="1" ht="11" customHeight="1" x14ac:dyDescent="0.3">
      <c r="A1208" s="24" t="s">
        <v>23</v>
      </c>
      <c r="B1208" s="24" t="s">
        <v>1059</v>
      </c>
      <c r="C1208" s="12" t="s">
        <v>1061</v>
      </c>
      <c r="D1208" s="58"/>
      <c r="E1208" s="43" t="str">
        <f t="shared" si="76"/>
        <v>Еще фото</v>
      </c>
      <c r="F1208" s="14" t="s">
        <v>182</v>
      </c>
      <c r="G1208" s="24" t="s">
        <v>237</v>
      </c>
      <c r="H1208" s="24" t="s">
        <v>27</v>
      </c>
      <c r="I1208" s="24" t="s">
        <v>237</v>
      </c>
      <c r="J1208" s="15" t="s">
        <v>37</v>
      </c>
      <c r="K1208" s="16" t="s">
        <v>29</v>
      </c>
      <c r="L1208" s="61"/>
      <c r="M1208" s="15"/>
      <c r="N1208" s="15" t="s">
        <v>39</v>
      </c>
      <c r="O1208" s="15"/>
      <c r="P1208" s="16" t="s">
        <v>1062</v>
      </c>
      <c r="Q1208" s="17">
        <v>15999</v>
      </c>
      <c r="R1208" s="18">
        <v>45</v>
      </c>
      <c r="S1208" s="19">
        <v>10119.3675</v>
      </c>
      <c r="T1208" s="20" t="s">
        <v>75</v>
      </c>
      <c r="U1208" s="21" t="s">
        <v>362</v>
      </c>
      <c r="V1208" s="22">
        <v>44</v>
      </c>
      <c r="W1208" s="22">
        <v>1</v>
      </c>
      <c r="X1208" s="23"/>
    </row>
    <row r="1209" spans="1:24" s="1" customFormat="1" ht="11" customHeight="1" x14ac:dyDescent="0.3">
      <c r="A1209" s="24" t="s">
        <v>23</v>
      </c>
      <c r="B1209" s="24" t="s">
        <v>1059</v>
      </c>
      <c r="C1209" s="12" t="s">
        <v>1061</v>
      </c>
      <c r="D1209" s="58"/>
      <c r="E1209" s="43" t="str">
        <f t="shared" si="76"/>
        <v>Еще фото</v>
      </c>
      <c r="F1209" s="14" t="s">
        <v>182</v>
      </c>
      <c r="G1209" s="24" t="s">
        <v>237</v>
      </c>
      <c r="H1209" s="24" t="s">
        <v>27</v>
      </c>
      <c r="I1209" s="24" t="s">
        <v>237</v>
      </c>
      <c r="J1209" s="15" t="s">
        <v>37</v>
      </c>
      <c r="K1209" s="16" t="s">
        <v>29</v>
      </c>
      <c r="L1209" s="61"/>
      <c r="M1209" s="15"/>
      <c r="N1209" s="15" t="s">
        <v>39</v>
      </c>
      <c r="O1209" s="15"/>
      <c r="P1209" s="16" t="s">
        <v>1062</v>
      </c>
      <c r="Q1209" s="17">
        <v>15999</v>
      </c>
      <c r="R1209" s="18">
        <v>45</v>
      </c>
      <c r="S1209" s="19">
        <v>10119.3675</v>
      </c>
      <c r="T1209" s="20" t="s">
        <v>75</v>
      </c>
      <c r="U1209" s="21" t="s">
        <v>50</v>
      </c>
      <c r="V1209" s="22">
        <v>44</v>
      </c>
      <c r="W1209" s="22">
        <v>2</v>
      </c>
      <c r="X1209" s="23"/>
    </row>
    <row r="1210" spans="1:24" s="1" customFormat="1" ht="11" customHeight="1" x14ac:dyDescent="0.3">
      <c r="A1210" s="15" t="s">
        <v>23</v>
      </c>
      <c r="B1210" s="15" t="s">
        <v>1059</v>
      </c>
      <c r="C1210" s="12" t="s">
        <v>1061</v>
      </c>
      <c r="D1210" s="58"/>
      <c r="E1210" s="43" t="str">
        <f t="shared" si="76"/>
        <v>Еще фото</v>
      </c>
      <c r="F1210" s="26" t="s">
        <v>182</v>
      </c>
      <c r="G1210" s="15" t="s">
        <v>237</v>
      </c>
      <c r="H1210" s="15" t="s">
        <v>27</v>
      </c>
      <c r="I1210" s="15" t="s">
        <v>237</v>
      </c>
      <c r="J1210" s="15" t="s">
        <v>37</v>
      </c>
      <c r="K1210" s="15" t="s">
        <v>29</v>
      </c>
      <c r="L1210" s="61"/>
      <c r="M1210" s="15"/>
      <c r="N1210" s="15" t="s">
        <v>39</v>
      </c>
      <c r="O1210" s="15"/>
      <c r="P1210" s="15" t="s">
        <v>1062</v>
      </c>
      <c r="Q1210" s="27">
        <v>15999</v>
      </c>
      <c r="R1210" s="28">
        <v>45</v>
      </c>
      <c r="S1210" s="29">
        <v>10119.3675</v>
      </c>
      <c r="T1210" s="20" t="s">
        <v>75</v>
      </c>
      <c r="U1210" s="21" t="s">
        <v>378</v>
      </c>
      <c r="V1210" s="22">
        <v>46</v>
      </c>
      <c r="W1210" s="22">
        <v>1</v>
      </c>
      <c r="X1210" s="23"/>
    </row>
    <row r="1211" spans="1:24" s="1" customFormat="1" ht="11" customHeight="1" x14ac:dyDescent="0.3">
      <c r="A1211" s="15" t="s">
        <v>23</v>
      </c>
      <c r="B1211" s="15" t="s">
        <v>1059</v>
      </c>
      <c r="C1211" s="12" t="s">
        <v>1061</v>
      </c>
      <c r="D1211" s="58"/>
      <c r="E1211" s="43" t="str">
        <f t="shared" si="76"/>
        <v>Еще фото</v>
      </c>
      <c r="F1211" s="26" t="s">
        <v>182</v>
      </c>
      <c r="G1211" s="15" t="s">
        <v>237</v>
      </c>
      <c r="H1211" s="15" t="s">
        <v>27</v>
      </c>
      <c r="I1211" s="15" t="s">
        <v>237</v>
      </c>
      <c r="J1211" s="15" t="s">
        <v>37</v>
      </c>
      <c r="K1211" s="15" t="s">
        <v>29</v>
      </c>
      <c r="L1211" s="61"/>
      <c r="M1211" s="15"/>
      <c r="N1211" s="15" t="s">
        <v>39</v>
      </c>
      <c r="O1211" s="15"/>
      <c r="P1211" s="15" t="s">
        <v>1062</v>
      </c>
      <c r="Q1211" s="27">
        <v>15999</v>
      </c>
      <c r="R1211" s="28">
        <v>45</v>
      </c>
      <c r="S1211" s="29">
        <v>10119.3675</v>
      </c>
      <c r="T1211" s="20" t="s">
        <v>75</v>
      </c>
      <c r="U1211" s="21" t="s">
        <v>230</v>
      </c>
      <c r="V1211" s="22">
        <v>46</v>
      </c>
      <c r="W1211" s="22">
        <v>3</v>
      </c>
      <c r="X1211" s="23"/>
    </row>
    <row r="1212" spans="1:24" s="1" customFormat="1" ht="11" customHeight="1" x14ac:dyDescent="0.3">
      <c r="A1212" s="15" t="s">
        <v>23</v>
      </c>
      <c r="B1212" s="15" t="s">
        <v>1059</v>
      </c>
      <c r="C1212" s="12" t="s">
        <v>1061</v>
      </c>
      <c r="D1212" s="59"/>
      <c r="E1212" s="43" t="str">
        <f t="shared" si="76"/>
        <v>Еще фото</v>
      </c>
      <c r="F1212" s="26" t="s">
        <v>182</v>
      </c>
      <c r="G1212" s="15" t="s">
        <v>237</v>
      </c>
      <c r="H1212" s="15" t="s">
        <v>27</v>
      </c>
      <c r="I1212" s="15" t="s">
        <v>237</v>
      </c>
      <c r="J1212" s="15" t="s">
        <v>37</v>
      </c>
      <c r="K1212" s="15" t="s">
        <v>29</v>
      </c>
      <c r="L1212" s="62"/>
      <c r="M1212" s="15"/>
      <c r="N1212" s="15" t="s">
        <v>39</v>
      </c>
      <c r="O1212" s="15"/>
      <c r="P1212" s="15" t="s">
        <v>1062</v>
      </c>
      <c r="Q1212" s="27">
        <v>15999</v>
      </c>
      <c r="R1212" s="28">
        <v>45</v>
      </c>
      <c r="S1212" s="29">
        <v>10119.3675</v>
      </c>
      <c r="T1212" s="20" t="s">
        <v>75</v>
      </c>
      <c r="U1212" s="21" t="s">
        <v>52</v>
      </c>
      <c r="V1212" s="22">
        <v>48</v>
      </c>
      <c r="W1212" s="22">
        <v>1</v>
      </c>
      <c r="X1212" s="23"/>
    </row>
    <row r="1213" spans="1:24" s="1" customFormat="1" ht="11" customHeight="1" x14ac:dyDescent="0.3">
      <c r="A1213" s="11" t="s">
        <v>23</v>
      </c>
      <c r="B1213" s="11" t="s">
        <v>1059</v>
      </c>
      <c r="C1213" s="12" t="s">
        <v>1063</v>
      </c>
      <c r="D1213" s="57"/>
      <c r="E1213" s="43" t="str">
        <f t="shared" ref="E1213:E1222" si="77">HYPERLINK("https://www.google.ru/search?q=18882-0868&amp;newwindow=1&amp;tbm=isch","Еще фото")</f>
        <v>Еще фото</v>
      </c>
      <c r="F1213" s="14"/>
      <c r="G1213" s="11" t="s">
        <v>237</v>
      </c>
      <c r="H1213" s="11" t="s">
        <v>27</v>
      </c>
      <c r="I1213" s="15" t="s">
        <v>237</v>
      </c>
      <c r="J1213" s="15" t="s">
        <v>37</v>
      </c>
      <c r="K1213" s="16" t="s">
        <v>29</v>
      </c>
      <c r="L1213" s="60" t="s">
        <v>505</v>
      </c>
      <c r="M1213" s="15"/>
      <c r="N1213" s="15" t="s">
        <v>130</v>
      </c>
      <c r="O1213" s="15"/>
      <c r="P1213" s="16" t="s">
        <v>322</v>
      </c>
      <c r="Q1213" s="17">
        <v>24399</v>
      </c>
      <c r="R1213" s="18">
        <v>45</v>
      </c>
      <c r="S1213" s="19">
        <v>15432.3675</v>
      </c>
      <c r="T1213" s="20" t="s">
        <v>75</v>
      </c>
      <c r="U1213" s="21" t="s">
        <v>78</v>
      </c>
      <c r="V1213" s="22">
        <v>42</v>
      </c>
      <c r="W1213" s="22">
        <v>2</v>
      </c>
      <c r="X1213" s="23"/>
    </row>
    <row r="1214" spans="1:24" s="1" customFormat="1" ht="11" customHeight="1" x14ac:dyDescent="0.3">
      <c r="A1214" s="24" t="s">
        <v>23</v>
      </c>
      <c r="B1214" s="24" t="s">
        <v>1059</v>
      </c>
      <c r="C1214" s="12" t="s">
        <v>1063</v>
      </c>
      <c r="D1214" s="58"/>
      <c r="E1214" s="43" t="str">
        <f t="shared" si="77"/>
        <v>Еще фото</v>
      </c>
      <c r="F1214" s="14"/>
      <c r="G1214" s="24" t="s">
        <v>237</v>
      </c>
      <c r="H1214" s="24" t="s">
        <v>27</v>
      </c>
      <c r="I1214" s="24" t="s">
        <v>237</v>
      </c>
      <c r="J1214" s="15" t="s">
        <v>37</v>
      </c>
      <c r="K1214" s="16" t="s">
        <v>29</v>
      </c>
      <c r="L1214" s="61"/>
      <c r="M1214" s="15"/>
      <c r="N1214" s="15" t="s">
        <v>130</v>
      </c>
      <c r="O1214" s="15"/>
      <c r="P1214" s="16" t="s">
        <v>322</v>
      </c>
      <c r="Q1214" s="17">
        <v>24399</v>
      </c>
      <c r="R1214" s="18">
        <v>45</v>
      </c>
      <c r="S1214" s="19">
        <v>15432.3675</v>
      </c>
      <c r="T1214" s="20" t="s">
        <v>75</v>
      </c>
      <c r="U1214" s="21" t="s">
        <v>46</v>
      </c>
      <c r="V1214" s="22">
        <v>42</v>
      </c>
      <c r="W1214" s="22">
        <v>1</v>
      </c>
      <c r="X1214" s="23"/>
    </row>
    <row r="1215" spans="1:24" s="1" customFormat="1" ht="11" customHeight="1" x14ac:dyDescent="0.3">
      <c r="A1215" s="24" t="s">
        <v>23</v>
      </c>
      <c r="B1215" s="24" t="s">
        <v>1059</v>
      </c>
      <c r="C1215" s="12" t="s">
        <v>1063</v>
      </c>
      <c r="D1215" s="58"/>
      <c r="E1215" s="43" t="str">
        <f t="shared" si="77"/>
        <v>Еще фото</v>
      </c>
      <c r="F1215" s="14"/>
      <c r="G1215" s="24" t="s">
        <v>237</v>
      </c>
      <c r="H1215" s="24" t="s">
        <v>27</v>
      </c>
      <c r="I1215" s="24" t="s">
        <v>237</v>
      </c>
      <c r="J1215" s="15" t="s">
        <v>37</v>
      </c>
      <c r="K1215" s="16" t="s">
        <v>29</v>
      </c>
      <c r="L1215" s="61"/>
      <c r="M1215" s="15"/>
      <c r="N1215" s="15" t="s">
        <v>130</v>
      </c>
      <c r="O1215" s="15"/>
      <c r="P1215" s="16" t="s">
        <v>322</v>
      </c>
      <c r="Q1215" s="17">
        <v>24399</v>
      </c>
      <c r="R1215" s="18">
        <v>45</v>
      </c>
      <c r="S1215" s="19">
        <v>15432.3675</v>
      </c>
      <c r="T1215" s="20" t="s">
        <v>75</v>
      </c>
      <c r="U1215" s="21" t="s">
        <v>158</v>
      </c>
      <c r="V1215" s="22">
        <v>42</v>
      </c>
      <c r="W1215" s="22">
        <v>1</v>
      </c>
      <c r="X1215" s="23"/>
    </row>
    <row r="1216" spans="1:24" s="1" customFormat="1" ht="11" customHeight="1" x14ac:dyDescent="0.3">
      <c r="A1216" s="24" t="s">
        <v>23</v>
      </c>
      <c r="B1216" s="24" t="s">
        <v>1059</v>
      </c>
      <c r="C1216" s="12" t="s">
        <v>1063</v>
      </c>
      <c r="D1216" s="58"/>
      <c r="E1216" s="43" t="str">
        <f t="shared" si="77"/>
        <v>Еще фото</v>
      </c>
      <c r="F1216" s="14"/>
      <c r="G1216" s="24" t="s">
        <v>237</v>
      </c>
      <c r="H1216" s="24" t="s">
        <v>27</v>
      </c>
      <c r="I1216" s="24" t="s">
        <v>237</v>
      </c>
      <c r="J1216" s="15" t="s">
        <v>37</v>
      </c>
      <c r="K1216" s="16" t="s">
        <v>29</v>
      </c>
      <c r="L1216" s="61"/>
      <c r="M1216" s="15"/>
      <c r="N1216" s="15" t="s">
        <v>130</v>
      </c>
      <c r="O1216" s="15"/>
      <c r="P1216" s="16" t="s">
        <v>322</v>
      </c>
      <c r="Q1216" s="17">
        <v>24399</v>
      </c>
      <c r="R1216" s="18">
        <v>45</v>
      </c>
      <c r="S1216" s="19">
        <v>15432.3675</v>
      </c>
      <c r="T1216" s="20" t="s">
        <v>75</v>
      </c>
      <c r="U1216" s="21" t="s">
        <v>47</v>
      </c>
      <c r="V1216" s="25" t="s">
        <v>48</v>
      </c>
      <c r="W1216" s="22">
        <v>2</v>
      </c>
      <c r="X1216" s="23"/>
    </row>
    <row r="1217" spans="1:24" s="1" customFormat="1" ht="11" customHeight="1" x14ac:dyDescent="0.3">
      <c r="A1217" s="24" t="s">
        <v>23</v>
      </c>
      <c r="B1217" s="24" t="s">
        <v>1059</v>
      </c>
      <c r="C1217" s="12" t="s">
        <v>1063</v>
      </c>
      <c r="D1217" s="58"/>
      <c r="E1217" s="43" t="str">
        <f t="shared" si="77"/>
        <v>Еще фото</v>
      </c>
      <c r="F1217" s="14"/>
      <c r="G1217" s="24" t="s">
        <v>237</v>
      </c>
      <c r="H1217" s="24" t="s">
        <v>27</v>
      </c>
      <c r="I1217" s="24" t="s">
        <v>237</v>
      </c>
      <c r="J1217" s="15" t="s">
        <v>37</v>
      </c>
      <c r="K1217" s="16" t="s">
        <v>29</v>
      </c>
      <c r="L1217" s="61"/>
      <c r="M1217" s="15"/>
      <c r="N1217" s="15" t="s">
        <v>130</v>
      </c>
      <c r="O1217" s="15"/>
      <c r="P1217" s="16" t="s">
        <v>322</v>
      </c>
      <c r="Q1217" s="17">
        <v>24399</v>
      </c>
      <c r="R1217" s="18">
        <v>45</v>
      </c>
      <c r="S1217" s="19">
        <v>15432.3675</v>
      </c>
      <c r="T1217" s="20" t="s">
        <v>75</v>
      </c>
      <c r="U1217" s="21" t="s">
        <v>49</v>
      </c>
      <c r="V1217" s="25" t="s">
        <v>48</v>
      </c>
      <c r="W1217" s="22">
        <v>2</v>
      </c>
      <c r="X1217" s="23"/>
    </row>
    <row r="1218" spans="1:24" s="1" customFormat="1" ht="11" customHeight="1" x14ac:dyDescent="0.3">
      <c r="A1218" s="24" t="s">
        <v>23</v>
      </c>
      <c r="B1218" s="24" t="s">
        <v>1059</v>
      </c>
      <c r="C1218" s="12" t="s">
        <v>1063</v>
      </c>
      <c r="D1218" s="58"/>
      <c r="E1218" s="43" t="str">
        <f t="shared" si="77"/>
        <v>Еще фото</v>
      </c>
      <c r="F1218" s="14"/>
      <c r="G1218" s="24" t="s">
        <v>237</v>
      </c>
      <c r="H1218" s="24" t="s">
        <v>27</v>
      </c>
      <c r="I1218" s="24" t="s">
        <v>237</v>
      </c>
      <c r="J1218" s="15" t="s">
        <v>37</v>
      </c>
      <c r="K1218" s="16" t="s">
        <v>29</v>
      </c>
      <c r="L1218" s="61"/>
      <c r="M1218" s="15"/>
      <c r="N1218" s="15" t="s">
        <v>130</v>
      </c>
      <c r="O1218" s="15"/>
      <c r="P1218" s="16" t="s">
        <v>322</v>
      </c>
      <c r="Q1218" s="17">
        <v>24399</v>
      </c>
      <c r="R1218" s="18">
        <v>45</v>
      </c>
      <c r="S1218" s="19">
        <v>15432.3675</v>
      </c>
      <c r="T1218" s="20" t="s">
        <v>75</v>
      </c>
      <c r="U1218" s="21" t="s">
        <v>362</v>
      </c>
      <c r="V1218" s="22">
        <v>44</v>
      </c>
      <c r="W1218" s="22">
        <v>1</v>
      </c>
      <c r="X1218" s="23"/>
    </row>
    <row r="1219" spans="1:24" s="1" customFormat="1" ht="11" customHeight="1" x14ac:dyDescent="0.3">
      <c r="A1219" s="24" t="s">
        <v>23</v>
      </c>
      <c r="B1219" s="24" t="s">
        <v>1059</v>
      </c>
      <c r="C1219" s="12" t="s">
        <v>1063</v>
      </c>
      <c r="D1219" s="58"/>
      <c r="E1219" s="43" t="str">
        <f t="shared" si="77"/>
        <v>Еще фото</v>
      </c>
      <c r="F1219" s="14"/>
      <c r="G1219" s="24" t="s">
        <v>237</v>
      </c>
      <c r="H1219" s="24" t="s">
        <v>27</v>
      </c>
      <c r="I1219" s="24" t="s">
        <v>237</v>
      </c>
      <c r="J1219" s="15" t="s">
        <v>37</v>
      </c>
      <c r="K1219" s="16" t="s">
        <v>29</v>
      </c>
      <c r="L1219" s="61"/>
      <c r="M1219" s="15"/>
      <c r="N1219" s="15" t="s">
        <v>130</v>
      </c>
      <c r="O1219" s="15"/>
      <c r="P1219" s="16" t="s">
        <v>322</v>
      </c>
      <c r="Q1219" s="17">
        <v>24399</v>
      </c>
      <c r="R1219" s="18">
        <v>45</v>
      </c>
      <c r="S1219" s="19">
        <v>15432.3675</v>
      </c>
      <c r="T1219" s="20" t="s">
        <v>75</v>
      </c>
      <c r="U1219" s="21" t="s">
        <v>50</v>
      </c>
      <c r="V1219" s="22">
        <v>44</v>
      </c>
      <c r="W1219" s="22">
        <v>2</v>
      </c>
      <c r="X1219" s="23"/>
    </row>
    <row r="1220" spans="1:24" s="1" customFormat="1" ht="11" customHeight="1" x14ac:dyDescent="0.3">
      <c r="A1220" s="24" t="s">
        <v>23</v>
      </c>
      <c r="B1220" s="24" t="s">
        <v>1059</v>
      </c>
      <c r="C1220" s="12" t="s">
        <v>1063</v>
      </c>
      <c r="D1220" s="58"/>
      <c r="E1220" s="43" t="str">
        <f t="shared" si="77"/>
        <v>Еще фото</v>
      </c>
      <c r="F1220" s="14"/>
      <c r="G1220" s="24" t="s">
        <v>237</v>
      </c>
      <c r="H1220" s="24" t="s">
        <v>27</v>
      </c>
      <c r="I1220" s="24" t="s">
        <v>237</v>
      </c>
      <c r="J1220" s="15" t="s">
        <v>37</v>
      </c>
      <c r="K1220" s="16" t="s">
        <v>29</v>
      </c>
      <c r="L1220" s="61"/>
      <c r="M1220" s="15"/>
      <c r="N1220" s="15" t="s">
        <v>130</v>
      </c>
      <c r="O1220" s="15"/>
      <c r="P1220" s="16" t="s">
        <v>322</v>
      </c>
      <c r="Q1220" s="17">
        <v>24399</v>
      </c>
      <c r="R1220" s="18">
        <v>45</v>
      </c>
      <c r="S1220" s="19">
        <v>15432.3675</v>
      </c>
      <c r="T1220" s="20" t="s">
        <v>75</v>
      </c>
      <c r="U1220" s="21" t="s">
        <v>51</v>
      </c>
      <c r="V1220" s="22">
        <v>44</v>
      </c>
      <c r="W1220" s="22">
        <v>2</v>
      </c>
      <c r="X1220" s="23"/>
    </row>
    <row r="1221" spans="1:24" s="1" customFormat="1" ht="11" customHeight="1" x14ac:dyDescent="0.3">
      <c r="A1221" s="24" t="s">
        <v>23</v>
      </c>
      <c r="B1221" s="24" t="s">
        <v>1059</v>
      </c>
      <c r="C1221" s="12" t="s">
        <v>1063</v>
      </c>
      <c r="D1221" s="58"/>
      <c r="E1221" s="43" t="str">
        <f t="shared" si="77"/>
        <v>Еще фото</v>
      </c>
      <c r="F1221" s="14"/>
      <c r="G1221" s="24" t="s">
        <v>237</v>
      </c>
      <c r="H1221" s="24" t="s">
        <v>27</v>
      </c>
      <c r="I1221" s="24" t="s">
        <v>237</v>
      </c>
      <c r="J1221" s="15" t="s">
        <v>37</v>
      </c>
      <c r="K1221" s="16" t="s">
        <v>29</v>
      </c>
      <c r="L1221" s="61"/>
      <c r="M1221" s="15"/>
      <c r="N1221" s="15" t="s">
        <v>130</v>
      </c>
      <c r="O1221" s="15"/>
      <c r="P1221" s="16" t="s">
        <v>322</v>
      </c>
      <c r="Q1221" s="17">
        <v>24399</v>
      </c>
      <c r="R1221" s="18">
        <v>45</v>
      </c>
      <c r="S1221" s="19">
        <v>15432.3675</v>
      </c>
      <c r="T1221" s="20" t="s">
        <v>75</v>
      </c>
      <c r="U1221" s="21" t="s">
        <v>378</v>
      </c>
      <c r="V1221" s="22">
        <v>46</v>
      </c>
      <c r="W1221" s="22">
        <v>1</v>
      </c>
      <c r="X1221" s="23"/>
    </row>
    <row r="1222" spans="1:24" s="1" customFormat="1" ht="11" customHeight="1" x14ac:dyDescent="0.3">
      <c r="A1222" s="15" t="s">
        <v>23</v>
      </c>
      <c r="B1222" s="15" t="s">
        <v>1059</v>
      </c>
      <c r="C1222" s="12" t="s">
        <v>1063</v>
      </c>
      <c r="D1222" s="59"/>
      <c r="E1222" s="43" t="str">
        <f t="shared" si="77"/>
        <v>Еще фото</v>
      </c>
      <c r="F1222" s="26"/>
      <c r="G1222" s="15" t="s">
        <v>237</v>
      </c>
      <c r="H1222" s="15" t="s">
        <v>27</v>
      </c>
      <c r="I1222" s="15" t="s">
        <v>237</v>
      </c>
      <c r="J1222" s="15" t="s">
        <v>37</v>
      </c>
      <c r="K1222" s="15" t="s">
        <v>29</v>
      </c>
      <c r="L1222" s="62"/>
      <c r="M1222" s="15"/>
      <c r="N1222" s="15" t="s">
        <v>130</v>
      </c>
      <c r="O1222" s="15"/>
      <c r="P1222" s="15" t="s">
        <v>322</v>
      </c>
      <c r="Q1222" s="27">
        <v>24399</v>
      </c>
      <c r="R1222" s="28">
        <v>45</v>
      </c>
      <c r="S1222" s="29">
        <v>15432.3675</v>
      </c>
      <c r="T1222" s="20" t="s">
        <v>75</v>
      </c>
      <c r="U1222" s="21" t="s">
        <v>230</v>
      </c>
      <c r="V1222" s="22">
        <v>46</v>
      </c>
      <c r="W1222" s="22">
        <v>1</v>
      </c>
      <c r="X1222" s="23"/>
    </row>
    <row r="1223" spans="1:24" s="1" customFormat="1" ht="21" customHeight="1" x14ac:dyDescent="0.3">
      <c r="A1223" s="11" t="s">
        <v>23</v>
      </c>
      <c r="B1223" s="11" t="s">
        <v>363</v>
      </c>
      <c r="C1223" s="30" t="s">
        <v>1064</v>
      </c>
      <c r="D1223" s="57"/>
      <c r="E1223" s="43" t="str">
        <f>HYPERLINK("https://www.google.ru/search?q=18882-0934&amp;newwindow=1&amp;tbm=isch","Еще фото")</f>
        <v>Еще фото</v>
      </c>
      <c r="F1223" s="14"/>
      <c r="G1223" s="11" t="s">
        <v>237</v>
      </c>
      <c r="H1223" s="11" t="s">
        <v>27</v>
      </c>
      <c r="I1223" s="15" t="s">
        <v>237</v>
      </c>
      <c r="J1223" s="15" t="s">
        <v>37</v>
      </c>
      <c r="K1223" s="16" t="s">
        <v>29</v>
      </c>
      <c r="L1223" s="60" t="s">
        <v>505</v>
      </c>
      <c r="M1223" s="15"/>
      <c r="N1223" s="15" t="s">
        <v>130</v>
      </c>
      <c r="O1223" s="15"/>
      <c r="P1223" s="16" t="s">
        <v>88</v>
      </c>
      <c r="Q1223" s="17">
        <v>20599</v>
      </c>
      <c r="R1223" s="18">
        <v>45</v>
      </c>
      <c r="S1223" s="19">
        <v>13028.8675</v>
      </c>
      <c r="T1223" s="20" t="s">
        <v>75</v>
      </c>
      <c r="U1223" s="21" t="s">
        <v>158</v>
      </c>
      <c r="V1223" s="22">
        <v>42</v>
      </c>
      <c r="W1223" s="22">
        <v>4</v>
      </c>
      <c r="X1223" s="23"/>
    </row>
    <row r="1224" spans="1:24" s="1" customFormat="1" ht="21" customHeight="1" x14ac:dyDescent="0.3">
      <c r="A1224" s="24" t="s">
        <v>23</v>
      </c>
      <c r="B1224" s="24" t="s">
        <v>363</v>
      </c>
      <c r="C1224" s="31" t="s">
        <v>1064</v>
      </c>
      <c r="D1224" s="58"/>
      <c r="E1224" s="43" t="str">
        <f>HYPERLINK("https://www.google.ru/search?q=18882-0934&amp;newwindow=1&amp;tbm=isch","Еще фото")</f>
        <v>Еще фото</v>
      </c>
      <c r="F1224" s="14"/>
      <c r="G1224" s="24" t="s">
        <v>237</v>
      </c>
      <c r="H1224" s="24" t="s">
        <v>27</v>
      </c>
      <c r="I1224" s="24" t="s">
        <v>237</v>
      </c>
      <c r="J1224" s="15" t="s">
        <v>37</v>
      </c>
      <c r="K1224" s="16" t="s">
        <v>29</v>
      </c>
      <c r="L1224" s="61"/>
      <c r="M1224" s="15"/>
      <c r="N1224" s="15" t="s">
        <v>130</v>
      </c>
      <c r="O1224" s="15"/>
      <c r="P1224" s="16" t="s">
        <v>88</v>
      </c>
      <c r="Q1224" s="17">
        <v>20599</v>
      </c>
      <c r="R1224" s="18">
        <v>45</v>
      </c>
      <c r="S1224" s="19">
        <v>13028.8675</v>
      </c>
      <c r="T1224" s="20" t="s">
        <v>75</v>
      </c>
      <c r="U1224" s="21" t="s">
        <v>49</v>
      </c>
      <c r="V1224" s="25" t="s">
        <v>48</v>
      </c>
      <c r="W1224" s="22">
        <v>3</v>
      </c>
      <c r="X1224" s="23"/>
    </row>
    <row r="1225" spans="1:24" s="1" customFormat="1" ht="21" customHeight="1" x14ac:dyDescent="0.3">
      <c r="A1225" s="24" t="s">
        <v>23</v>
      </c>
      <c r="B1225" s="24" t="s">
        <v>363</v>
      </c>
      <c r="C1225" s="31" t="s">
        <v>1064</v>
      </c>
      <c r="D1225" s="58"/>
      <c r="E1225" s="43" t="str">
        <f>HYPERLINK("https://www.google.ru/search?q=18882-0934&amp;newwindow=1&amp;tbm=isch","Еще фото")</f>
        <v>Еще фото</v>
      </c>
      <c r="F1225" s="14"/>
      <c r="G1225" s="24" t="s">
        <v>237</v>
      </c>
      <c r="H1225" s="24" t="s">
        <v>27</v>
      </c>
      <c r="I1225" s="24" t="s">
        <v>237</v>
      </c>
      <c r="J1225" s="15" t="s">
        <v>37</v>
      </c>
      <c r="K1225" s="16" t="s">
        <v>29</v>
      </c>
      <c r="L1225" s="61"/>
      <c r="M1225" s="15"/>
      <c r="N1225" s="15" t="s">
        <v>130</v>
      </c>
      <c r="O1225" s="15"/>
      <c r="P1225" s="16" t="s">
        <v>88</v>
      </c>
      <c r="Q1225" s="17">
        <v>20599</v>
      </c>
      <c r="R1225" s="18">
        <v>45</v>
      </c>
      <c r="S1225" s="19">
        <v>13028.8675</v>
      </c>
      <c r="T1225" s="20" t="s">
        <v>75</v>
      </c>
      <c r="U1225" s="21" t="s">
        <v>51</v>
      </c>
      <c r="V1225" s="22">
        <v>44</v>
      </c>
      <c r="W1225" s="22">
        <v>1</v>
      </c>
      <c r="X1225" s="23"/>
    </row>
    <row r="1226" spans="1:24" s="1" customFormat="1" ht="21" customHeight="1" x14ac:dyDescent="0.3">
      <c r="A1226" s="24" t="s">
        <v>23</v>
      </c>
      <c r="B1226" s="24" t="s">
        <v>363</v>
      </c>
      <c r="C1226" s="31" t="s">
        <v>1064</v>
      </c>
      <c r="D1226" s="58"/>
      <c r="E1226" s="43" t="str">
        <f>HYPERLINK("https://www.google.ru/search?q=18882-0934&amp;newwindow=1&amp;tbm=isch","Еще фото")</f>
        <v>Еще фото</v>
      </c>
      <c r="F1226" s="14"/>
      <c r="G1226" s="24" t="s">
        <v>237</v>
      </c>
      <c r="H1226" s="24" t="s">
        <v>27</v>
      </c>
      <c r="I1226" s="24" t="s">
        <v>237</v>
      </c>
      <c r="J1226" s="15" t="s">
        <v>37</v>
      </c>
      <c r="K1226" s="16" t="s">
        <v>29</v>
      </c>
      <c r="L1226" s="61"/>
      <c r="M1226" s="15"/>
      <c r="N1226" s="15" t="s">
        <v>130</v>
      </c>
      <c r="O1226" s="15"/>
      <c r="P1226" s="16" t="s">
        <v>88</v>
      </c>
      <c r="Q1226" s="17">
        <v>20599</v>
      </c>
      <c r="R1226" s="18">
        <v>45</v>
      </c>
      <c r="S1226" s="19">
        <v>13028.8675</v>
      </c>
      <c r="T1226" s="20" t="s">
        <v>75</v>
      </c>
      <c r="U1226" s="21" t="s">
        <v>230</v>
      </c>
      <c r="V1226" s="22">
        <v>46</v>
      </c>
      <c r="W1226" s="22">
        <v>1</v>
      </c>
      <c r="X1226" s="23"/>
    </row>
    <row r="1227" spans="1:24" s="1" customFormat="1" ht="32" customHeight="1" x14ac:dyDescent="0.3">
      <c r="A1227" s="24" t="s">
        <v>23</v>
      </c>
      <c r="B1227" s="24" t="s">
        <v>363</v>
      </c>
      <c r="C1227" s="31" t="s">
        <v>1064</v>
      </c>
      <c r="D1227" s="59"/>
      <c r="E1227" s="43" t="str">
        <f>HYPERLINK("https://www.google.ru/search?q=18882-0934&amp;newwindow=1&amp;tbm=isch","Еще фото")</f>
        <v>Еще фото</v>
      </c>
      <c r="F1227" s="14"/>
      <c r="G1227" s="24" t="s">
        <v>237</v>
      </c>
      <c r="H1227" s="24" t="s">
        <v>27</v>
      </c>
      <c r="I1227" s="24" t="s">
        <v>237</v>
      </c>
      <c r="J1227" s="15" t="s">
        <v>37</v>
      </c>
      <c r="K1227" s="16" t="s">
        <v>29</v>
      </c>
      <c r="L1227" s="62"/>
      <c r="M1227" s="15"/>
      <c r="N1227" s="15" t="s">
        <v>130</v>
      </c>
      <c r="O1227" s="15"/>
      <c r="P1227" s="16" t="s">
        <v>88</v>
      </c>
      <c r="Q1227" s="17">
        <v>20599</v>
      </c>
      <c r="R1227" s="18">
        <v>45</v>
      </c>
      <c r="S1227" s="19">
        <v>13028.8675</v>
      </c>
      <c r="T1227" s="20" t="s">
        <v>75</v>
      </c>
      <c r="U1227" s="21" t="s">
        <v>173</v>
      </c>
      <c r="V1227" s="22">
        <v>46</v>
      </c>
      <c r="W1227" s="22">
        <v>3</v>
      </c>
      <c r="X1227" s="23"/>
    </row>
    <row r="1228" spans="1:24" s="1" customFormat="1" ht="35" customHeight="1" x14ac:dyDescent="0.3">
      <c r="A1228" s="11" t="s">
        <v>23</v>
      </c>
      <c r="B1228" s="11" t="s">
        <v>775</v>
      </c>
      <c r="C1228" s="12" t="s">
        <v>1065</v>
      </c>
      <c r="D1228" s="57"/>
      <c r="E1228" s="43" t="str">
        <f>HYPERLINK("https://www.google.ru/search?q=18883-0011&amp;newwindow=1&amp;tbm=isch","Еще фото")</f>
        <v>Еще фото</v>
      </c>
      <c r="F1228" s="14" t="s">
        <v>182</v>
      </c>
      <c r="G1228" s="11" t="s">
        <v>237</v>
      </c>
      <c r="H1228" s="11" t="s">
        <v>27</v>
      </c>
      <c r="I1228" s="15" t="s">
        <v>237</v>
      </c>
      <c r="J1228" s="15" t="s">
        <v>28</v>
      </c>
      <c r="K1228" s="16" t="s">
        <v>29</v>
      </c>
      <c r="L1228" s="60"/>
      <c r="M1228" s="15"/>
      <c r="N1228" s="15" t="s">
        <v>249</v>
      </c>
      <c r="O1228" s="15"/>
      <c r="P1228" s="16" t="s">
        <v>837</v>
      </c>
      <c r="Q1228" s="17">
        <v>9499</v>
      </c>
      <c r="R1228" s="18">
        <v>45</v>
      </c>
      <c r="S1228" s="19">
        <v>6008.1174999999994</v>
      </c>
      <c r="T1228" s="20" t="s">
        <v>75</v>
      </c>
      <c r="U1228" s="21" t="s">
        <v>47</v>
      </c>
      <c r="V1228" s="25" t="s">
        <v>48</v>
      </c>
      <c r="W1228" s="22">
        <v>2</v>
      </c>
      <c r="X1228" s="23"/>
    </row>
    <row r="1229" spans="1:24" s="1" customFormat="1" ht="35" customHeight="1" x14ac:dyDescent="0.3">
      <c r="A1229" s="24" t="s">
        <v>23</v>
      </c>
      <c r="B1229" s="24" t="s">
        <v>775</v>
      </c>
      <c r="C1229" s="12" t="s">
        <v>1065</v>
      </c>
      <c r="D1229" s="58"/>
      <c r="E1229" s="43" t="str">
        <f>HYPERLINK("https://www.google.ru/search?q=18883-0011&amp;newwindow=1&amp;tbm=isch","Еще фото")</f>
        <v>Еще фото</v>
      </c>
      <c r="F1229" s="14" t="s">
        <v>182</v>
      </c>
      <c r="G1229" s="24" t="s">
        <v>237</v>
      </c>
      <c r="H1229" s="24" t="s">
        <v>27</v>
      </c>
      <c r="I1229" s="24" t="s">
        <v>237</v>
      </c>
      <c r="J1229" s="15" t="s">
        <v>28</v>
      </c>
      <c r="K1229" s="16" t="s">
        <v>29</v>
      </c>
      <c r="L1229" s="61"/>
      <c r="M1229" s="15"/>
      <c r="N1229" s="15" t="s">
        <v>249</v>
      </c>
      <c r="O1229" s="15"/>
      <c r="P1229" s="16" t="s">
        <v>837</v>
      </c>
      <c r="Q1229" s="17">
        <v>9499</v>
      </c>
      <c r="R1229" s="18">
        <v>45</v>
      </c>
      <c r="S1229" s="19">
        <v>6008.1174999999994</v>
      </c>
      <c r="T1229" s="20" t="s">
        <v>75</v>
      </c>
      <c r="U1229" s="21" t="s">
        <v>230</v>
      </c>
      <c r="V1229" s="22">
        <v>46</v>
      </c>
      <c r="W1229" s="22">
        <v>1</v>
      </c>
      <c r="X1229" s="23"/>
    </row>
    <row r="1230" spans="1:24" s="1" customFormat="1" ht="37.049999999999997" customHeight="1" x14ac:dyDescent="0.3">
      <c r="A1230" s="24" t="s">
        <v>23</v>
      </c>
      <c r="B1230" s="24" t="s">
        <v>775</v>
      </c>
      <c r="C1230" s="12" t="s">
        <v>1065</v>
      </c>
      <c r="D1230" s="59"/>
      <c r="E1230" s="43" t="str">
        <f>HYPERLINK("https://www.google.ru/search?q=18883-0011&amp;newwindow=1&amp;tbm=isch","Еще фото")</f>
        <v>Еще фото</v>
      </c>
      <c r="F1230" s="14" t="s">
        <v>182</v>
      </c>
      <c r="G1230" s="24" t="s">
        <v>237</v>
      </c>
      <c r="H1230" s="24" t="s">
        <v>27</v>
      </c>
      <c r="I1230" s="24" t="s">
        <v>237</v>
      </c>
      <c r="J1230" s="15" t="s">
        <v>28</v>
      </c>
      <c r="K1230" s="16" t="s">
        <v>29</v>
      </c>
      <c r="L1230" s="62"/>
      <c r="M1230" s="15"/>
      <c r="N1230" s="15" t="s">
        <v>249</v>
      </c>
      <c r="O1230" s="15"/>
      <c r="P1230" s="16" t="s">
        <v>837</v>
      </c>
      <c r="Q1230" s="17">
        <v>9499</v>
      </c>
      <c r="R1230" s="18">
        <v>45</v>
      </c>
      <c r="S1230" s="19">
        <v>6008.1174999999994</v>
      </c>
      <c r="T1230" s="20" t="s">
        <v>75</v>
      </c>
      <c r="U1230" s="21" t="s">
        <v>450</v>
      </c>
      <c r="V1230" s="22">
        <v>48</v>
      </c>
      <c r="W1230" s="22">
        <v>1</v>
      </c>
      <c r="X1230" s="23"/>
    </row>
    <row r="1231" spans="1:24" s="1" customFormat="1" ht="52.05" customHeight="1" x14ac:dyDescent="0.3">
      <c r="A1231" s="11" t="s">
        <v>23</v>
      </c>
      <c r="B1231" s="11" t="s">
        <v>775</v>
      </c>
      <c r="C1231" s="12" t="s">
        <v>1066</v>
      </c>
      <c r="D1231" s="63"/>
      <c r="E1231" s="43" t="str">
        <f>HYPERLINK("https://www.google.ru/search?q=18883-0016&amp;newwindow=1&amp;tbm=isch","Еще фото")</f>
        <v>Еще фото</v>
      </c>
      <c r="F1231" s="14" t="s">
        <v>182</v>
      </c>
      <c r="G1231" s="11" t="s">
        <v>237</v>
      </c>
      <c r="H1231" s="11" t="s">
        <v>27</v>
      </c>
      <c r="I1231" s="15" t="s">
        <v>237</v>
      </c>
      <c r="J1231" s="15" t="s">
        <v>28</v>
      </c>
      <c r="K1231" s="16" t="s">
        <v>29</v>
      </c>
      <c r="L1231" s="60"/>
      <c r="M1231" s="15"/>
      <c r="N1231" s="15" t="s">
        <v>39</v>
      </c>
      <c r="O1231" s="15"/>
      <c r="P1231" s="16" t="s">
        <v>1067</v>
      </c>
      <c r="Q1231" s="17">
        <v>9499</v>
      </c>
      <c r="R1231" s="18">
        <v>45</v>
      </c>
      <c r="S1231" s="19">
        <v>6008.1174999999994</v>
      </c>
      <c r="T1231" s="20" t="s">
        <v>75</v>
      </c>
      <c r="U1231" s="21" t="s">
        <v>47</v>
      </c>
      <c r="V1231" s="25" t="s">
        <v>48</v>
      </c>
      <c r="W1231" s="22">
        <v>1</v>
      </c>
      <c r="X1231" s="23"/>
    </row>
    <row r="1232" spans="1:24" s="1" customFormat="1" ht="61.05" customHeight="1" x14ac:dyDescent="0.3">
      <c r="A1232" s="24" t="s">
        <v>23</v>
      </c>
      <c r="B1232" s="24" t="s">
        <v>775</v>
      </c>
      <c r="C1232" s="12" t="s">
        <v>1066</v>
      </c>
      <c r="D1232" s="64"/>
      <c r="E1232" s="43" t="str">
        <f>HYPERLINK("https://www.google.ru/search?q=18883-0016&amp;newwindow=1&amp;tbm=isch","Еще фото")</f>
        <v>Еще фото</v>
      </c>
      <c r="F1232" s="14" t="s">
        <v>182</v>
      </c>
      <c r="G1232" s="24" t="s">
        <v>237</v>
      </c>
      <c r="H1232" s="24" t="s">
        <v>27</v>
      </c>
      <c r="I1232" s="24" t="s">
        <v>237</v>
      </c>
      <c r="J1232" s="15" t="s">
        <v>28</v>
      </c>
      <c r="K1232" s="16" t="s">
        <v>29</v>
      </c>
      <c r="L1232" s="62"/>
      <c r="M1232" s="15"/>
      <c r="N1232" s="15" t="s">
        <v>39</v>
      </c>
      <c r="O1232" s="15"/>
      <c r="P1232" s="16" t="s">
        <v>1067</v>
      </c>
      <c r="Q1232" s="17">
        <v>9499</v>
      </c>
      <c r="R1232" s="18">
        <v>45</v>
      </c>
      <c r="S1232" s="19">
        <v>6008.1174999999994</v>
      </c>
      <c r="T1232" s="20" t="s">
        <v>75</v>
      </c>
      <c r="U1232" s="21" t="s">
        <v>51</v>
      </c>
      <c r="V1232" s="22">
        <v>44</v>
      </c>
      <c r="W1232" s="22">
        <v>1</v>
      </c>
      <c r="X1232" s="23"/>
    </row>
    <row r="1233" spans="1:24" s="1" customFormat="1" ht="108" customHeight="1" x14ac:dyDescent="0.3">
      <c r="A1233" s="11" t="s">
        <v>23</v>
      </c>
      <c r="B1233" s="11" t="s">
        <v>1068</v>
      </c>
      <c r="C1233" s="12" t="s">
        <v>1069</v>
      </c>
      <c r="D1233" s="13"/>
      <c r="E1233" s="43" t="str">
        <f>HYPERLINK("https://www.google.ru/search?q=18883-0204&amp;newwindow=1&amp;tbm=isch","Еще фото")</f>
        <v>Еще фото</v>
      </c>
      <c r="F1233" s="14" t="s">
        <v>182</v>
      </c>
      <c r="G1233" s="11" t="s">
        <v>237</v>
      </c>
      <c r="H1233" s="11" t="s">
        <v>27</v>
      </c>
      <c r="I1233" s="15" t="s">
        <v>237</v>
      </c>
      <c r="J1233" s="15" t="s">
        <v>37</v>
      </c>
      <c r="K1233" s="16" t="s">
        <v>29</v>
      </c>
      <c r="L1233" s="15" t="s">
        <v>777</v>
      </c>
      <c r="M1233" s="15"/>
      <c r="N1233" s="15" t="s">
        <v>130</v>
      </c>
      <c r="O1233" s="15"/>
      <c r="P1233" s="16" t="s">
        <v>322</v>
      </c>
      <c r="Q1233" s="17">
        <v>8899</v>
      </c>
      <c r="R1233" s="18">
        <v>45</v>
      </c>
      <c r="S1233" s="19">
        <v>5628.6174999999994</v>
      </c>
      <c r="T1233" s="20" t="s">
        <v>75</v>
      </c>
      <c r="U1233" s="21" t="s">
        <v>230</v>
      </c>
      <c r="V1233" s="22">
        <v>46</v>
      </c>
      <c r="W1233" s="22">
        <v>1</v>
      </c>
      <c r="X1233" s="23"/>
    </row>
    <row r="1234" spans="1:24" s="1" customFormat="1" ht="108" customHeight="1" x14ac:dyDescent="0.3">
      <c r="A1234" s="11" t="s">
        <v>23</v>
      </c>
      <c r="B1234" s="11" t="s">
        <v>404</v>
      </c>
      <c r="C1234" s="12" t="s">
        <v>1070</v>
      </c>
      <c r="D1234" s="13"/>
      <c r="E1234" s="43" t="str">
        <f>HYPERLINK("https://www.google.ru/search?q=18883-0227&amp;newwindow=1&amp;tbm=isch","Еще фото")</f>
        <v>Еще фото</v>
      </c>
      <c r="F1234" s="14" t="s">
        <v>182</v>
      </c>
      <c r="G1234" s="11" t="s">
        <v>237</v>
      </c>
      <c r="H1234" s="11" t="s">
        <v>27</v>
      </c>
      <c r="I1234" s="15" t="s">
        <v>237</v>
      </c>
      <c r="J1234" s="15" t="s">
        <v>37</v>
      </c>
      <c r="K1234" s="16" t="s">
        <v>29</v>
      </c>
      <c r="L1234" s="15" t="s">
        <v>406</v>
      </c>
      <c r="M1234" s="15"/>
      <c r="N1234" s="15" t="s">
        <v>130</v>
      </c>
      <c r="O1234" s="15"/>
      <c r="P1234" s="16" t="s">
        <v>322</v>
      </c>
      <c r="Q1234" s="17">
        <v>12899</v>
      </c>
      <c r="R1234" s="18">
        <v>45</v>
      </c>
      <c r="S1234" s="19">
        <v>8158.6174999999994</v>
      </c>
      <c r="T1234" s="20" t="s">
        <v>75</v>
      </c>
      <c r="U1234" s="21" t="s">
        <v>49</v>
      </c>
      <c r="V1234" s="25" t="s">
        <v>48</v>
      </c>
      <c r="W1234" s="22">
        <v>1</v>
      </c>
      <c r="X1234" s="23"/>
    </row>
    <row r="1235" spans="1:24" s="1" customFormat="1" ht="35" customHeight="1" x14ac:dyDescent="0.3">
      <c r="A1235" s="11" t="s">
        <v>23</v>
      </c>
      <c r="B1235" s="11" t="s">
        <v>1071</v>
      </c>
      <c r="C1235" s="12" t="s">
        <v>1072</v>
      </c>
      <c r="D1235" s="57"/>
      <c r="E1235" s="43" t="str">
        <f>HYPERLINK("https://www.google.ru/search?q=18883-0304&amp;newwindow=1&amp;tbm=isch","Еще фото")</f>
        <v>Еще фото</v>
      </c>
      <c r="F1235" s="14" t="s">
        <v>182</v>
      </c>
      <c r="G1235" s="11" t="s">
        <v>237</v>
      </c>
      <c r="H1235" s="11" t="s">
        <v>27</v>
      </c>
      <c r="I1235" s="15" t="s">
        <v>237</v>
      </c>
      <c r="J1235" s="15" t="s">
        <v>37</v>
      </c>
      <c r="K1235" s="16" t="s">
        <v>29</v>
      </c>
      <c r="L1235" s="60" t="s">
        <v>307</v>
      </c>
      <c r="M1235" s="15"/>
      <c r="N1235" s="15" t="s">
        <v>130</v>
      </c>
      <c r="O1235" s="15"/>
      <c r="P1235" s="16" t="s">
        <v>837</v>
      </c>
      <c r="Q1235" s="17">
        <v>14299</v>
      </c>
      <c r="R1235" s="18">
        <v>45</v>
      </c>
      <c r="S1235" s="19">
        <v>9044.1174999999985</v>
      </c>
      <c r="T1235" s="20" t="s">
        <v>75</v>
      </c>
      <c r="U1235" s="21" t="s">
        <v>43</v>
      </c>
      <c r="V1235" s="25" t="s">
        <v>44</v>
      </c>
      <c r="W1235" s="22">
        <v>1</v>
      </c>
      <c r="X1235" s="23"/>
    </row>
    <row r="1236" spans="1:24" s="1" customFormat="1" ht="35" customHeight="1" x14ac:dyDescent="0.3">
      <c r="A1236" s="24" t="s">
        <v>23</v>
      </c>
      <c r="B1236" s="24" t="s">
        <v>1071</v>
      </c>
      <c r="C1236" s="12" t="s">
        <v>1072</v>
      </c>
      <c r="D1236" s="58"/>
      <c r="E1236" s="43" t="str">
        <f>HYPERLINK("https://www.google.ru/search?q=18883-0304&amp;newwindow=1&amp;tbm=isch","Еще фото")</f>
        <v>Еще фото</v>
      </c>
      <c r="F1236" s="14" t="s">
        <v>182</v>
      </c>
      <c r="G1236" s="24" t="s">
        <v>237</v>
      </c>
      <c r="H1236" s="24" t="s">
        <v>27</v>
      </c>
      <c r="I1236" s="24" t="s">
        <v>237</v>
      </c>
      <c r="J1236" s="15" t="s">
        <v>37</v>
      </c>
      <c r="K1236" s="16" t="s">
        <v>29</v>
      </c>
      <c r="L1236" s="61"/>
      <c r="M1236" s="15"/>
      <c r="N1236" s="15" t="s">
        <v>130</v>
      </c>
      <c r="O1236" s="15"/>
      <c r="P1236" s="16" t="s">
        <v>837</v>
      </c>
      <c r="Q1236" s="17">
        <v>14299</v>
      </c>
      <c r="R1236" s="18">
        <v>45</v>
      </c>
      <c r="S1236" s="19">
        <v>9044.1174999999985</v>
      </c>
      <c r="T1236" s="20" t="s">
        <v>75</v>
      </c>
      <c r="U1236" s="21" t="s">
        <v>46</v>
      </c>
      <c r="V1236" s="22">
        <v>42</v>
      </c>
      <c r="W1236" s="22">
        <v>8</v>
      </c>
      <c r="X1236" s="23"/>
    </row>
    <row r="1237" spans="1:24" s="1" customFormat="1" ht="37.049999999999997" customHeight="1" x14ac:dyDescent="0.3">
      <c r="A1237" s="24" t="s">
        <v>23</v>
      </c>
      <c r="B1237" s="24" t="s">
        <v>1071</v>
      </c>
      <c r="C1237" s="12" t="s">
        <v>1072</v>
      </c>
      <c r="D1237" s="59"/>
      <c r="E1237" s="43" t="str">
        <f>HYPERLINK("https://www.google.ru/search?q=18883-0304&amp;newwindow=1&amp;tbm=isch","Еще фото")</f>
        <v>Еще фото</v>
      </c>
      <c r="F1237" s="14" t="s">
        <v>182</v>
      </c>
      <c r="G1237" s="24" t="s">
        <v>237</v>
      </c>
      <c r="H1237" s="24" t="s">
        <v>27</v>
      </c>
      <c r="I1237" s="24" t="s">
        <v>237</v>
      </c>
      <c r="J1237" s="15" t="s">
        <v>37</v>
      </c>
      <c r="K1237" s="16" t="s">
        <v>29</v>
      </c>
      <c r="L1237" s="62"/>
      <c r="M1237" s="15"/>
      <c r="N1237" s="15" t="s">
        <v>130</v>
      </c>
      <c r="O1237" s="15"/>
      <c r="P1237" s="16" t="s">
        <v>837</v>
      </c>
      <c r="Q1237" s="17">
        <v>14299</v>
      </c>
      <c r="R1237" s="18">
        <v>45</v>
      </c>
      <c r="S1237" s="19">
        <v>9044.1174999999985</v>
      </c>
      <c r="T1237" s="20" t="s">
        <v>75</v>
      </c>
      <c r="U1237" s="21" t="s">
        <v>47</v>
      </c>
      <c r="V1237" s="25" t="s">
        <v>48</v>
      </c>
      <c r="W1237" s="22">
        <v>3</v>
      </c>
      <c r="X1237" s="23"/>
    </row>
    <row r="1238" spans="1:24" s="1" customFormat="1" ht="108" customHeight="1" x14ac:dyDescent="0.3">
      <c r="A1238" s="11" t="s">
        <v>23</v>
      </c>
      <c r="B1238" s="11" t="s">
        <v>1068</v>
      </c>
      <c r="C1238" s="12" t="s">
        <v>1073</v>
      </c>
      <c r="D1238" s="13"/>
      <c r="E1238" s="43" t="str">
        <f>HYPERLINK("https://www.google.ru/search?q=18883-0321&amp;newwindow=1&amp;tbm=isch","Еще фото")</f>
        <v>Еще фото</v>
      </c>
      <c r="F1238" s="14" t="s">
        <v>182</v>
      </c>
      <c r="G1238" s="11" t="s">
        <v>237</v>
      </c>
      <c r="H1238" s="11" t="s">
        <v>27</v>
      </c>
      <c r="I1238" s="15" t="s">
        <v>237</v>
      </c>
      <c r="J1238" s="15" t="s">
        <v>37</v>
      </c>
      <c r="K1238" s="16" t="s">
        <v>29</v>
      </c>
      <c r="L1238" s="15"/>
      <c r="M1238" s="15"/>
      <c r="N1238" s="15" t="s">
        <v>39</v>
      </c>
      <c r="O1238" s="15"/>
      <c r="P1238" s="16" t="s">
        <v>1074</v>
      </c>
      <c r="Q1238" s="17">
        <v>9399</v>
      </c>
      <c r="R1238" s="18">
        <v>45</v>
      </c>
      <c r="S1238" s="19">
        <v>5944.8674999999994</v>
      </c>
      <c r="T1238" s="20" t="s">
        <v>75</v>
      </c>
      <c r="U1238" s="21" t="s">
        <v>188</v>
      </c>
      <c r="V1238" s="25" t="s">
        <v>96</v>
      </c>
      <c r="W1238" s="22">
        <v>1</v>
      </c>
      <c r="X1238" s="23"/>
    </row>
    <row r="1239" spans="1:24" s="1" customFormat="1" ht="52.05" customHeight="1" x14ac:dyDescent="0.3">
      <c r="A1239" s="11" t="s">
        <v>23</v>
      </c>
      <c r="B1239" s="11" t="s">
        <v>1068</v>
      </c>
      <c r="C1239" s="12" t="s">
        <v>1075</v>
      </c>
      <c r="D1239" s="63"/>
      <c r="E1239" s="43" t="str">
        <f>HYPERLINK("https://www.google.ru/search?q=18883-0385&amp;newwindow=1&amp;tbm=isch","Еще фото")</f>
        <v>Еще фото</v>
      </c>
      <c r="F1239" s="34" t="s">
        <v>469</v>
      </c>
      <c r="G1239" s="11" t="s">
        <v>237</v>
      </c>
      <c r="H1239" s="11" t="s">
        <v>27</v>
      </c>
      <c r="I1239" s="15" t="s">
        <v>237</v>
      </c>
      <c r="J1239" s="15" t="s">
        <v>37</v>
      </c>
      <c r="K1239" s="16" t="s">
        <v>29</v>
      </c>
      <c r="L1239" s="60" t="s">
        <v>777</v>
      </c>
      <c r="M1239" s="15"/>
      <c r="N1239" s="15" t="s">
        <v>130</v>
      </c>
      <c r="O1239" s="15"/>
      <c r="P1239" s="16" t="s">
        <v>88</v>
      </c>
      <c r="Q1239" s="17">
        <v>18899</v>
      </c>
      <c r="R1239" s="18">
        <v>45</v>
      </c>
      <c r="S1239" s="19">
        <v>11953.6175</v>
      </c>
      <c r="T1239" s="20" t="s">
        <v>75</v>
      </c>
      <c r="U1239" s="21" t="s">
        <v>42</v>
      </c>
      <c r="V1239" s="22">
        <v>40</v>
      </c>
      <c r="W1239" s="22">
        <v>1</v>
      </c>
      <c r="X1239" s="23"/>
    </row>
    <row r="1240" spans="1:24" s="1" customFormat="1" ht="61.05" customHeight="1" x14ac:dyDescent="0.3">
      <c r="A1240" s="24" t="s">
        <v>23</v>
      </c>
      <c r="B1240" s="24" t="s">
        <v>1068</v>
      </c>
      <c r="C1240" s="12" t="s">
        <v>1075</v>
      </c>
      <c r="D1240" s="64"/>
      <c r="E1240" s="43" t="str">
        <f>HYPERLINK("https://www.google.ru/search?q=18883-0385&amp;newwindow=1&amp;tbm=isch","Еще фото")</f>
        <v>Еще фото</v>
      </c>
      <c r="F1240" s="34" t="s">
        <v>469</v>
      </c>
      <c r="G1240" s="24" t="s">
        <v>237</v>
      </c>
      <c r="H1240" s="24" t="s">
        <v>27</v>
      </c>
      <c r="I1240" s="24" t="s">
        <v>237</v>
      </c>
      <c r="J1240" s="15" t="s">
        <v>37</v>
      </c>
      <c r="K1240" s="16" t="s">
        <v>29</v>
      </c>
      <c r="L1240" s="62"/>
      <c r="M1240" s="15"/>
      <c r="N1240" s="15" t="s">
        <v>130</v>
      </c>
      <c r="O1240" s="15"/>
      <c r="P1240" s="16" t="s">
        <v>88</v>
      </c>
      <c r="Q1240" s="17">
        <v>18899</v>
      </c>
      <c r="R1240" s="18">
        <v>45</v>
      </c>
      <c r="S1240" s="19">
        <v>11953.6175</v>
      </c>
      <c r="T1240" s="20" t="s">
        <v>75</v>
      </c>
      <c r="U1240" s="21" t="s">
        <v>46</v>
      </c>
      <c r="V1240" s="22">
        <v>42</v>
      </c>
      <c r="W1240" s="22">
        <v>1</v>
      </c>
      <c r="X1240" s="23"/>
    </row>
    <row r="1241" spans="1:24" s="1" customFormat="1" ht="108" customHeight="1" x14ac:dyDescent="0.3">
      <c r="A1241" s="11" t="s">
        <v>23</v>
      </c>
      <c r="B1241" s="11" t="s">
        <v>1076</v>
      </c>
      <c r="C1241" s="12" t="s">
        <v>1077</v>
      </c>
      <c r="D1241" s="13"/>
      <c r="E1241" s="43" t="str">
        <f>HYPERLINK("https://www.google.ru/search?q=18883-0441&amp;newwindow=1&amp;tbm=isch","Еще фото")</f>
        <v>Еще фото</v>
      </c>
      <c r="F1241" s="14"/>
      <c r="G1241" s="11" t="s">
        <v>237</v>
      </c>
      <c r="H1241" s="11" t="s">
        <v>27</v>
      </c>
      <c r="I1241" s="15" t="s">
        <v>237</v>
      </c>
      <c r="J1241" s="15" t="s">
        <v>37</v>
      </c>
      <c r="K1241" s="16" t="s">
        <v>29</v>
      </c>
      <c r="L1241" s="15" t="s">
        <v>307</v>
      </c>
      <c r="M1241" s="15"/>
      <c r="N1241" s="15" t="s">
        <v>130</v>
      </c>
      <c r="O1241" s="15"/>
      <c r="P1241" s="16" t="s">
        <v>1078</v>
      </c>
      <c r="Q1241" s="17">
        <v>8399</v>
      </c>
      <c r="R1241" s="18">
        <v>45</v>
      </c>
      <c r="S1241" s="19">
        <v>5312.3674999999994</v>
      </c>
      <c r="T1241" s="20" t="s">
        <v>75</v>
      </c>
      <c r="U1241" s="21" t="s">
        <v>50</v>
      </c>
      <c r="V1241" s="22">
        <v>44</v>
      </c>
      <c r="W1241" s="22">
        <v>1</v>
      </c>
      <c r="X1241" s="23"/>
    </row>
    <row r="1242" spans="1:24" s="1" customFormat="1" ht="21" customHeight="1" x14ac:dyDescent="0.3">
      <c r="A1242" s="11" t="s">
        <v>23</v>
      </c>
      <c r="B1242" s="11" t="s">
        <v>775</v>
      </c>
      <c r="C1242" s="30" t="s">
        <v>1079</v>
      </c>
      <c r="D1242" s="57"/>
      <c r="E1242" s="43" t="str">
        <f>HYPERLINK("https://www.google.ru/search?q=18883-0485&amp;newwindow=1&amp;tbm=isch","Еще фото")</f>
        <v>Еще фото</v>
      </c>
      <c r="F1242" s="14"/>
      <c r="G1242" s="11" t="s">
        <v>237</v>
      </c>
      <c r="H1242" s="11" t="s">
        <v>27</v>
      </c>
      <c r="I1242" s="15" t="s">
        <v>237</v>
      </c>
      <c r="J1242" s="15" t="s">
        <v>37</v>
      </c>
      <c r="K1242" s="16" t="s">
        <v>29</v>
      </c>
      <c r="L1242" s="60" t="s">
        <v>307</v>
      </c>
      <c r="M1242" s="15"/>
      <c r="N1242" s="15" t="s">
        <v>130</v>
      </c>
      <c r="O1242" s="15"/>
      <c r="P1242" s="16" t="s">
        <v>1080</v>
      </c>
      <c r="Q1242" s="17">
        <v>12899</v>
      </c>
      <c r="R1242" s="18">
        <v>45</v>
      </c>
      <c r="S1242" s="19">
        <v>8158.6174999999994</v>
      </c>
      <c r="T1242" s="20" t="s">
        <v>75</v>
      </c>
      <c r="U1242" s="21" t="s">
        <v>49</v>
      </c>
      <c r="V1242" s="25" t="s">
        <v>48</v>
      </c>
      <c r="W1242" s="22">
        <v>2</v>
      </c>
      <c r="X1242" s="23"/>
    </row>
    <row r="1243" spans="1:24" s="1" customFormat="1" ht="21" customHeight="1" x14ac:dyDescent="0.3">
      <c r="A1243" s="24" t="s">
        <v>23</v>
      </c>
      <c r="B1243" s="24" t="s">
        <v>775</v>
      </c>
      <c r="C1243" s="31" t="s">
        <v>1079</v>
      </c>
      <c r="D1243" s="58"/>
      <c r="E1243" s="43" t="str">
        <f>HYPERLINK("https://www.google.ru/search?q=18883-0485&amp;newwindow=1&amp;tbm=isch","Еще фото")</f>
        <v>Еще фото</v>
      </c>
      <c r="F1243" s="14"/>
      <c r="G1243" s="24" t="s">
        <v>237</v>
      </c>
      <c r="H1243" s="24" t="s">
        <v>27</v>
      </c>
      <c r="I1243" s="24" t="s">
        <v>237</v>
      </c>
      <c r="J1243" s="15" t="s">
        <v>37</v>
      </c>
      <c r="K1243" s="16" t="s">
        <v>29</v>
      </c>
      <c r="L1243" s="61"/>
      <c r="M1243" s="15"/>
      <c r="N1243" s="15" t="s">
        <v>130</v>
      </c>
      <c r="O1243" s="15"/>
      <c r="P1243" s="16" t="s">
        <v>1080</v>
      </c>
      <c r="Q1243" s="17">
        <v>12899</v>
      </c>
      <c r="R1243" s="18">
        <v>45</v>
      </c>
      <c r="S1243" s="19">
        <v>8158.6174999999994</v>
      </c>
      <c r="T1243" s="20" t="s">
        <v>75</v>
      </c>
      <c r="U1243" s="21" t="s">
        <v>51</v>
      </c>
      <c r="V1243" s="22">
        <v>44</v>
      </c>
      <c r="W1243" s="22">
        <v>7</v>
      </c>
      <c r="X1243" s="23"/>
    </row>
    <row r="1244" spans="1:24" s="1" customFormat="1" ht="21" customHeight="1" x14ac:dyDescent="0.3">
      <c r="A1244" s="24" t="s">
        <v>23</v>
      </c>
      <c r="B1244" s="24" t="s">
        <v>775</v>
      </c>
      <c r="C1244" s="31" t="s">
        <v>1079</v>
      </c>
      <c r="D1244" s="58"/>
      <c r="E1244" s="43" t="str">
        <f>HYPERLINK("https://www.google.ru/search?q=18883-0485&amp;newwindow=1&amp;tbm=isch","Еще фото")</f>
        <v>Еще фото</v>
      </c>
      <c r="F1244" s="14"/>
      <c r="G1244" s="24" t="s">
        <v>237</v>
      </c>
      <c r="H1244" s="24" t="s">
        <v>27</v>
      </c>
      <c r="I1244" s="24" t="s">
        <v>237</v>
      </c>
      <c r="J1244" s="15" t="s">
        <v>37</v>
      </c>
      <c r="K1244" s="16" t="s">
        <v>29</v>
      </c>
      <c r="L1244" s="61"/>
      <c r="M1244" s="15"/>
      <c r="N1244" s="15" t="s">
        <v>130</v>
      </c>
      <c r="O1244" s="15"/>
      <c r="P1244" s="16" t="s">
        <v>1080</v>
      </c>
      <c r="Q1244" s="17">
        <v>12899</v>
      </c>
      <c r="R1244" s="18">
        <v>45</v>
      </c>
      <c r="S1244" s="19">
        <v>8158.6174999999994</v>
      </c>
      <c r="T1244" s="20" t="s">
        <v>75</v>
      </c>
      <c r="U1244" s="21" t="s">
        <v>173</v>
      </c>
      <c r="V1244" s="22">
        <v>46</v>
      </c>
      <c r="W1244" s="22">
        <v>7</v>
      </c>
      <c r="X1244" s="23"/>
    </row>
    <row r="1245" spans="1:24" s="1" customFormat="1" ht="21" customHeight="1" x14ac:dyDescent="0.3">
      <c r="A1245" s="24" t="s">
        <v>23</v>
      </c>
      <c r="B1245" s="24" t="s">
        <v>775</v>
      </c>
      <c r="C1245" s="31" t="s">
        <v>1079</v>
      </c>
      <c r="D1245" s="58"/>
      <c r="E1245" s="43" t="str">
        <f>HYPERLINK("https://www.google.ru/search?q=18883-0485&amp;newwindow=1&amp;tbm=isch","Еще фото")</f>
        <v>Еще фото</v>
      </c>
      <c r="F1245" s="14"/>
      <c r="G1245" s="24" t="s">
        <v>237</v>
      </c>
      <c r="H1245" s="24" t="s">
        <v>27</v>
      </c>
      <c r="I1245" s="24" t="s">
        <v>237</v>
      </c>
      <c r="J1245" s="15" t="s">
        <v>37</v>
      </c>
      <c r="K1245" s="16" t="s">
        <v>29</v>
      </c>
      <c r="L1245" s="61"/>
      <c r="M1245" s="15"/>
      <c r="N1245" s="15" t="s">
        <v>130</v>
      </c>
      <c r="O1245" s="15"/>
      <c r="P1245" s="16" t="s">
        <v>1080</v>
      </c>
      <c r="Q1245" s="17">
        <v>12899</v>
      </c>
      <c r="R1245" s="18">
        <v>45</v>
      </c>
      <c r="S1245" s="19">
        <v>8158.6174999999994</v>
      </c>
      <c r="T1245" s="20" t="s">
        <v>75</v>
      </c>
      <c r="U1245" s="21" t="s">
        <v>52</v>
      </c>
      <c r="V1245" s="22">
        <v>48</v>
      </c>
      <c r="W1245" s="22">
        <v>1</v>
      </c>
      <c r="X1245" s="23"/>
    </row>
    <row r="1246" spans="1:24" s="1" customFormat="1" ht="32" customHeight="1" x14ac:dyDescent="0.3">
      <c r="A1246" s="24" t="s">
        <v>23</v>
      </c>
      <c r="B1246" s="24" t="s">
        <v>775</v>
      </c>
      <c r="C1246" s="31" t="s">
        <v>1079</v>
      </c>
      <c r="D1246" s="59"/>
      <c r="E1246" s="43" t="str">
        <f>HYPERLINK("https://www.google.ru/search?q=18883-0485&amp;newwindow=1&amp;tbm=isch","Еще фото")</f>
        <v>Еще фото</v>
      </c>
      <c r="F1246" s="14"/>
      <c r="G1246" s="24" t="s">
        <v>237</v>
      </c>
      <c r="H1246" s="24" t="s">
        <v>27</v>
      </c>
      <c r="I1246" s="24" t="s">
        <v>237</v>
      </c>
      <c r="J1246" s="15" t="s">
        <v>37</v>
      </c>
      <c r="K1246" s="16" t="s">
        <v>29</v>
      </c>
      <c r="L1246" s="62"/>
      <c r="M1246" s="15"/>
      <c r="N1246" s="15" t="s">
        <v>130</v>
      </c>
      <c r="O1246" s="15"/>
      <c r="P1246" s="16" t="s">
        <v>1080</v>
      </c>
      <c r="Q1246" s="17">
        <v>12899</v>
      </c>
      <c r="R1246" s="18">
        <v>45</v>
      </c>
      <c r="S1246" s="19">
        <v>8158.6174999999994</v>
      </c>
      <c r="T1246" s="20" t="s">
        <v>75</v>
      </c>
      <c r="U1246" s="21" t="s">
        <v>53</v>
      </c>
      <c r="V1246" s="22">
        <v>48</v>
      </c>
      <c r="W1246" s="22">
        <v>9</v>
      </c>
      <c r="X1246" s="23"/>
    </row>
    <row r="1247" spans="1:24" s="1" customFormat="1" ht="11" customHeight="1" x14ac:dyDescent="0.3">
      <c r="A1247" s="11" t="s">
        <v>23</v>
      </c>
      <c r="B1247" s="11" t="s">
        <v>1081</v>
      </c>
      <c r="C1247" s="12" t="s">
        <v>1082</v>
      </c>
      <c r="D1247" s="57"/>
      <c r="E1247" s="43" t="str">
        <f t="shared" ref="E1247:E1259" si="78">HYPERLINK("https://www.google.ru/search?q=19626-0000&amp;newwindow=1&amp;tbm=isch","Еще фото")</f>
        <v>Еще фото</v>
      </c>
      <c r="F1247" s="14"/>
      <c r="G1247" s="11" t="s">
        <v>237</v>
      </c>
      <c r="H1247" s="11" t="s">
        <v>27</v>
      </c>
      <c r="I1247" s="15" t="s">
        <v>237</v>
      </c>
      <c r="J1247" s="15" t="s">
        <v>28</v>
      </c>
      <c r="K1247" s="16" t="s">
        <v>29</v>
      </c>
      <c r="L1247" s="60" t="s">
        <v>1083</v>
      </c>
      <c r="M1247" s="15" t="s">
        <v>72</v>
      </c>
      <c r="N1247" s="15" t="s">
        <v>39</v>
      </c>
      <c r="O1247" s="15"/>
      <c r="P1247" s="16" t="s">
        <v>242</v>
      </c>
      <c r="Q1247" s="17">
        <v>10999</v>
      </c>
      <c r="R1247" s="18">
        <v>45</v>
      </c>
      <c r="S1247" s="19">
        <v>6956.8674999999994</v>
      </c>
      <c r="T1247" s="20" t="s">
        <v>75</v>
      </c>
      <c r="U1247" s="21" t="s">
        <v>78</v>
      </c>
      <c r="V1247" s="22">
        <v>42</v>
      </c>
      <c r="W1247" s="22">
        <v>9</v>
      </c>
      <c r="X1247" s="23"/>
    </row>
    <row r="1248" spans="1:24" s="1" customFormat="1" ht="11" customHeight="1" x14ac:dyDescent="0.3">
      <c r="A1248" s="24" t="s">
        <v>23</v>
      </c>
      <c r="B1248" s="24" t="s">
        <v>1081</v>
      </c>
      <c r="C1248" s="12" t="s">
        <v>1082</v>
      </c>
      <c r="D1248" s="58"/>
      <c r="E1248" s="43" t="str">
        <f t="shared" si="78"/>
        <v>Еще фото</v>
      </c>
      <c r="F1248" s="14"/>
      <c r="G1248" s="24" t="s">
        <v>237</v>
      </c>
      <c r="H1248" s="24" t="s">
        <v>27</v>
      </c>
      <c r="I1248" s="24" t="s">
        <v>237</v>
      </c>
      <c r="J1248" s="15" t="s">
        <v>28</v>
      </c>
      <c r="K1248" s="16" t="s">
        <v>29</v>
      </c>
      <c r="L1248" s="61"/>
      <c r="M1248" s="15" t="s">
        <v>72</v>
      </c>
      <c r="N1248" s="15" t="s">
        <v>39</v>
      </c>
      <c r="O1248" s="15"/>
      <c r="P1248" s="16" t="s">
        <v>242</v>
      </c>
      <c r="Q1248" s="17">
        <v>10999</v>
      </c>
      <c r="R1248" s="18">
        <v>45</v>
      </c>
      <c r="S1248" s="19">
        <v>6956.8674999999994</v>
      </c>
      <c r="T1248" s="20" t="s">
        <v>75</v>
      </c>
      <c r="U1248" s="21" t="s">
        <v>46</v>
      </c>
      <c r="V1248" s="22">
        <v>42</v>
      </c>
      <c r="W1248" s="22">
        <v>5</v>
      </c>
      <c r="X1248" s="23"/>
    </row>
    <row r="1249" spans="1:24" s="1" customFormat="1" ht="11" customHeight="1" x14ac:dyDescent="0.3">
      <c r="A1249" s="24" t="s">
        <v>23</v>
      </c>
      <c r="B1249" s="24" t="s">
        <v>1081</v>
      </c>
      <c r="C1249" s="12" t="s">
        <v>1082</v>
      </c>
      <c r="D1249" s="58"/>
      <c r="E1249" s="43" t="str">
        <f t="shared" si="78"/>
        <v>Еще фото</v>
      </c>
      <c r="F1249" s="14"/>
      <c r="G1249" s="24" t="s">
        <v>237</v>
      </c>
      <c r="H1249" s="24" t="s">
        <v>27</v>
      </c>
      <c r="I1249" s="24" t="s">
        <v>237</v>
      </c>
      <c r="J1249" s="15" t="s">
        <v>28</v>
      </c>
      <c r="K1249" s="16" t="s">
        <v>29</v>
      </c>
      <c r="L1249" s="61"/>
      <c r="M1249" s="15" t="s">
        <v>72</v>
      </c>
      <c r="N1249" s="15" t="s">
        <v>39</v>
      </c>
      <c r="O1249" s="15"/>
      <c r="P1249" s="16" t="s">
        <v>242</v>
      </c>
      <c r="Q1249" s="17">
        <v>10999</v>
      </c>
      <c r="R1249" s="18">
        <v>45</v>
      </c>
      <c r="S1249" s="19">
        <v>6956.8674999999994</v>
      </c>
      <c r="T1249" s="20" t="s">
        <v>75</v>
      </c>
      <c r="U1249" s="21" t="s">
        <v>481</v>
      </c>
      <c r="V1249" s="25" t="s">
        <v>48</v>
      </c>
      <c r="W1249" s="22">
        <v>10</v>
      </c>
      <c r="X1249" s="23"/>
    </row>
    <row r="1250" spans="1:24" s="1" customFormat="1" ht="11" customHeight="1" x14ac:dyDescent="0.3">
      <c r="A1250" s="24" t="s">
        <v>23</v>
      </c>
      <c r="B1250" s="24" t="s">
        <v>1081</v>
      </c>
      <c r="C1250" s="12" t="s">
        <v>1082</v>
      </c>
      <c r="D1250" s="58"/>
      <c r="E1250" s="43" t="str">
        <f t="shared" si="78"/>
        <v>Еще фото</v>
      </c>
      <c r="F1250" s="14"/>
      <c r="G1250" s="24" t="s">
        <v>237</v>
      </c>
      <c r="H1250" s="24" t="s">
        <v>27</v>
      </c>
      <c r="I1250" s="24" t="s">
        <v>237</v>
      </c>
      <c r="J1250" s="15" t="s">
        <v>28</v>
      </c>
      <c r="K1250" s="16" t="s">
        <v>29</v>
      </c>
      <c r="L1250" s="61"/>
      <c r="M1250" s="15" t="s">
        <v>72</v>
      </c>
      <c r="N1250" s="15" t="s">
        <v>39</v>
      </c>
      <c r="O1250" s="15"/>
      <c r="P1250" s="16" t="s">
        <v>242</v>
      </c>
      <c r="Q1250" s="17">
        <v>10999</v>
      </c>
      <c r="R1250" s="18">
        <v>45</v>
      </c>
      <c r="S1250" s="19">
        <v>6956.8674999999994</v>
      </c>
      <c r="T1250" s="20" t="s">
        <v>75</v>
      </c>
      <c r="U1250" s="21" t="s">
        <v>47</v>
      </c>
      <c r="V1250" s="25" t="s">
        <v>48</v>
      </c>
      <c r="W1250" s="22">
        <v>6</v>
      </c>
      <c r="X1250" s="23"/>
    </row>
    <row r="1251" spans="1:24" s="1" customFormat="1" ht="11" customHeight="1" x14ac:dyDescent="0.3">
      <c r="A1251" s="24" t="s">
        <v>23</v>
      </c>
      <c r="B1251" s="24" t="s">
        <v>1081</v>
      </c>
      <c r="C1251" s="12" t="s">
        <v>1082</v>
      </c>
      <c r="D1251" s="58"/>
      <c r="E1251" s="43" t="str">
        <f t="shared" si="78"/>
        <v>Еще фото</v>
      </c>
      <c r="F1251" s="14"/>
      <c r="G1251" s="24" t="s">
        <v>237</v>
      </c>
      <c r="H1251" s="24" t="s">
        <v>27</v>
      </c>
      <c r="I1251" s="24" t="s">
        <v>237</v>
      </c>
      <c r="J1251" s="15" t="s">
        <v>28</v>
      </c>
      <c r="K1251" s="16" t="s">
        <v>29</v>
      </c>
      <c r="L1251" s="61"/>
      <c r="M1251" s="15" t="s">
        <v>72</v>
      </c>
      <c r="N1251" s="15" t="s">
        <v>39</v>
      </c>
      <c r="O1251" s="15"/>
      <c r="P1251" s="16" t="s">
        <v>242</v>
      </c>
      <c r="Q1251" s="17">
        <v>10999</v>
      </c>
      <c r="R1251" s="18">
        <v>45</v>
      </c>
      <c r="S1251" s="19">
        <v>6956.8674999999994</v>
      </c>
      <c r="T1251" s="20" t="s">
        <v>75</v>
      </c>
      <c r="U1251" s="21" t="s">
        <v>362</v>
      </c>
      <c r="V1251" s="22">
        <v>44</v>
      </c>
      <c r="W1251" s="22">
        <v>16</v>
      </c>
      <c r="X1251" s="23"/>
    </row>
    <row r="1252" spans="1:24" s="1" customFormat="1" ht="11" customHeight="1" x14ac:dyDescent="0.3">
      <c r="A1252" s="24" t="s">
        <v>23</v>
      </c>
      <c r="B1252" s="24" t="s">
        <v>1081</v>
      </c>
      <c r="C1252" s="12" t="s">
        <v>1082</v>
      </c>
      <c r="D1252" s="58"/>
      <c r="E1252" s="43" t="str">
        <f t="shared" si="78"/>
        <v>Еще фото</v>
      </c>
      <c r="F1252" s="14"/>
      <c r="G1252" s="24" t="s">
        <v>237</v>
      </c>
      <c r="H1252" s="24" t="s">
        <v>27</v>
      </c>
      <c r="I1252" s="24" t="s">
        <v>237</v>
      </c>
      <c r="J1252" s="15" t="s">
        <v>28</v>
      </c>
      <c r="K1252" s="16" t="s">
        <v>29</v>
      </c>
      <c r="L1252" s="61"/>
      <c r="M1252" s="15" t="s">
        <v>72</v>
      </c>
      <c r="N1252" s="15" t="s">
        <v>39</v>
      </c>
      <c r="O1252" s="15"/>
      <c r="P1252" s="16" t="s">
        <v>242</v>
      </c>
      <c r="Q1252" s="17">
        <v>10999</v>
      </c>
      <c r="R1252" s="18">
        <v>45</v>
      </c>
      <c r="S1252" s="19">
        <v>6956.8674999999994</v>
      </c>
      <c r="T1252" s="20" t="s">
        <v>75</v>
      </c>
      <c r="U1252" s="21" t="s">
        <v>50</v>
      </c>
      <c r="V1252" s="22">
        <v>44</v>
      </c>
      <c r="W1252" s="22">
        <v>11</v>
      </c>
      <c r="X1252" s="23"/>
    </row>
    <row r="1253" spans="1:24" s="1" customFormat="1" ht="11" customHeight="1" x14ac:dyDescent="0.3">
      <c r="A1253" s="24" t="s">
        <v>23</v>
      </c>
      <c r="B1253" s="24" t="s">
        <v>1081</v>
      </c>
      <c r="C1253" s="12" t="s">
        <v>1082</v>
      </c>
      <c r="D1253" s="58"/>
      <c r="E1253" s="43" t="str">
        <f t="shared" si="78"/>
        <v>Еще фото</v>
      </c>
      <c r="F1253" s="14"/>
      <c r="G1253" s="24" t="s">
        <v>237</v>
      </c>
      <c r="H1253" s="24" t="s">
        <v>27</v>
      </c>
      <c r="I1253" s="24" t="s">
        <v>237</v>
      </c>
      <c r="J1253" s="15" t="s">
        <v>28</v>
      </c>
      <c r="K1253" s="16" t="s">
        <v>29</v>
      </c>
      <c r="L1253" s="61"/>
      <c r="M1253" s="15" t="s">
        <v>72</v>
      </c>
      <c r="N1253" s="15" t="s">
        <v>39</v>
      </c>
      <c r="O1253" s="15"/>
      <c r="P1253" s="16" t="s">
        <v>242</v>
      </c>
      <c r="Q1253" s="17">
        <v>10999</v>
      </c>
      <c r="R1253" s="18">
        <v>45</v>
      </c>
      <c r="S1253" s="19">
        <v>6956.8674999999994</v>
      </c>
      <c r="T1253" s="20" t="s">
        <v>75</v>
      </c>
      <c r="U1253" s="21" t="s">
        <v>378</v>
      </c>
      <c r="V1253" s="22">
        <v>46</v>
      </c>
      <c r="W1253" s="22">
        <v>16</v>
      </c>
      <c r="X1253" s="23"/>
    </row>
    <row r="1254" spans="1:24" s="1" customFormat="1" ht="11" customHeight="1" x14ac:dyDescent="0.3">
      <c r="A1254" s="24" t="s">
        <v>23</v>
      </c>
      <c r="B1254" s="24" t="s">
        <v>1081</v>
      </c>
      <c r="C1254" s="12" t="s">
        <v>1082</v>
      </c>
      <c r="D1254" s="58"/>
      <c r="E1254" s="43" t="str">
        <f t="shared" si="78"/>
        <v>Еще фото</v>
      </c>
      <c r="F1254" s="14"/>
      <c r="G1254" s="24" t="s">
        <v>237</v>
      </c>
      <c r="H1254" s="24" t="s">
        <v>27</v>
      </c>
      <c r="I1254" s="24" t="s">
        <v>237</v>
      </c>
      <c r="J1254" s="15" t="s">
        <v>28</v>
      </c>
      <c r="K1254" s="16" t="s">
        <v>29</v>
      </c>
      <c r="L1254" s="61"/>
      <c r="M1254" s="15" t="s">
        <v>72</v>
      </c>
      <c r="N1254" s="15" t="s">
        <v>39</v>
      </c>
      <c r="O1254" s="15"/>
      <c r="P1254" s="16" t="s">
        <v>242</v>
      </c>
      <c r="Q1254" s="17">
        <v>10999</v>
      </c>
      <c r="R1254" s="18">
        <v>45</v>
      </c>
      <c r="S1254" s="19">
        <v>6956.8674999999994</v>
      </c>
      <c r="T1254" s="20" t="s">
        <v>75</v>
      </c>
      <c r="U1254" s="21" t="s">
        <v>230</v>
      </c>
      <c r="V1254" s="22">
        <v>46</v>
      </c>
      <c r="W1254" s="22">
        <v>9</v>
      </c>
      <c r="X1254" s="23"/>
    </row>
    <row r="1255" spans="1:24" s="1" customFormat="1" ht="11" customHeight="1" x14ac:dyDescent="0.3">
      <c r="A1255" s="24" t="s">
        <v>23</v>
      </c>
      <c r="B1255" s="24" t="s">
        <v>1081</v>
      </c>
      <c r="C1255" s="12" t="s">
        <v>1082</v>
      </c>
      <c r="D1255" s="58"/>
      <c r="E1255" s="43" t="str">
        <f t="shared" si="78"/>
        <v>Еще фото</v>
      </c>
      <c r="F1255" s="14"/>
      <c r="G1255" s="24" t="s">
        <v>237</v>
      </c>
      <c r="H1255" s="24" t="s">
        <v>27</v>
      </c>
      <c r="I1255" s="24" t="s">
        <v>237</v>
      </c>
      <c r="J1255" s="15" t="s">
        <v>28</v>
      </c>
      <c r="K1255" s="16" t="s">
        <v>29</v>
      </c>
      <c r="L1255" s="61"/>
      <c r="M1255" s="15" t="s">
        <v>72</v>
      </c>
      <c r="N1255" s="15" t="s">
        <v>39</v>
      </c>
      <c r="O1255" s="15"/>
      <c r="P1255" s="16" t="s">
        <v>242</v>
      </c>
      <c r="Q1255" s="17">
        <v>10999</v>
      </c>
      <c r="R1255" s="18">
        <v>45</v>
      </c>
      <c r="S1255" s="19">
        <v>6956.8674999999994</v>
      </c>
      <c r="T1255" s="20" t="s">
        <v>75</v>
      </c>
      <c r="U1255" s="21" t="s">
        <v>450</v>
      </c>
      <c r="V1255" s="22">
        <v>48</v>
      </c>
      <c r="W1255" s="22">
        <v>14</v>
      </c>
      <c r="X1255" s="23"/>
    </row>
    <row r="1256" spans="1:24" s="1" customFormat="1" ht="11" customHeight="1" x14ac:dyDescent="0.3">
      <c r="A1256" s="15" t="s">
        <v>23</v>
      </c>
      <c r="B1256" s="15" t="s">
        <v>1081</v>
      </c>
      <c r="C1256" s="12" t="s">
        <v>1082</v>
      </c>
      <c r="D1256" s="58"/>
      <c r="E1256" s="43" t="str">
        <f t="shared" si="78"/>
        <v>Еще фото</v>
      </c>
      <c r="F1256" s="26"/>
      <c r="G1256" s="15" t="s">
        <v>237</v>
      </c>
      <c r="H1256" s="15" t="s">
        <v>27</v>
      </c>
      <c r="I1256" s="15" t="s">
        <v>237</v>
      </c>
      <c r="J1256" s="15" t="s">
        <v>28</v>
      </c>
      <c r="K1256" s="15" t="s">
        <v>29</v>
      </c>
      <c r="L1256" s="61"/>
      <c r="M1256" s="15" t="s">
        <v>72</v>
      </c>
      <c r="N1256" s="15" t="s">
        <v>39</v>
      </c>
      <c r="O1256" s="15"/>
      <c r="P1256" s="15" t="s">
        <v>242</v>
      </c>
      <c r="Q1256" s="27">
        <v>10999</v>
      </c>
      <c r="R1256" s="28">
        <v>45</v>
      </c>
      <c r="S1256" s="29">
        <v>6956.8674999999994</v>
      </c>
      <c r="T1256" s="20" t="s">
        <v>75</v>
      </c>
      <c r="U1256" s="21" t="s">
        <v>52</v>
      </c>
      <c r="V1256" s="22">
        <v>48</v>
      </c>
      <c r="W1256" s="22">
        <v>11</v>
      </c>
      <c r="X1256" s="23"/>
    </row>
    <row r="1257" spans="1:24" s="1" customFormat="1" ht="11" customHeight="1" x14ac:dyDescent="0.3">
      <c r="A1257" s="15" t="s">
        <v>23</v>
      </c>
      <c r="B1257" s="15" t="s">
        <v>1081</v>
      </c>
      <c r="C1257" s="12" t="s">
        <v>1082</v>
      </c>
      <c r="D1257" s="58"/>
      <c r="E1257" s="43" t="str">
        <f t="shared" si="78"/>
        <v>Еще фото</v>
      </c>
      <c r="F1257" s="26"/>
      <c r="G1257" s="15" t="s">
        <v>237</v>
      </c>
      <c r="H1257" s="15" t="s">
        <v>27</v>
      </c>
      <c r="I1257" s="15" t="s">
        <v>237</v>
      </c>
      <c r="J1257" s="15" t="s">
        <v>28</v>
      </c>
      <c r="K1257" s="15" t="s">
        <v>29</v>
      </c>
      <c r="L1257" s="61"/>
      <c r="M1257" s="15" t="s">
        <v>72</v>
      </c>
      <c r="N1257" s="15" t="s">
        <v>39</v>
      </c>
      <c r="O1257" s="15"/>
      <c r="P1257" s="15" t="s">
        <v>242</v>
      </c>
      <c r="Q1257" s="27">
        <v>10999</v>
      </c>
      <c r="R1257" s="28">
        <v>45</v>
      </c>
      <c r="S1257" s="29">
        <v>6956.8674999999994</v>
      </c>
      <c r="T1257" s="20" t="s">
        <v>75</v>
      </c>
      <c r="U1257" s="21" t="s">
        <v>188</v>
      </c>
      <c r="V1257" s="25" t="s">
        <v>96</v>
      </c>
      <c r="W1257" s="22">
        <v>17</v>
      </c>
      <c r="X1257" s="23"/>
    </row>
    <row r="1258" spans="1:24" s="1" customFormat="1" ht="11" customHeight="1" x14ac:dyDescent="0.3">
      <c r="A1258" s="15" t="s">
        <v>23</v>
      </c>
      <c r="B1258" s="15" t="s">
        <v>1081</v>
      </c>
      <c r="C1258" s="12" t="s">
        <v>1082</v>
      </c>
      <c r="D1258" s="58"/>
      <c r="E1258" s="43" t="str">
        <f t="shared" si="78"/>
        <v>Еще фото</v>
      </c>
      <c r="F1258" s="26"/>
      <c r="G1258" s="15" t="s">
        <v>237</v>
      </c>
      <c r="H1258" s="15" t="s">
        <v>27</v>
      </c>
      <c r="I1258" s="15" t="s">
        <v>237</v>
      </c>
      <c r="J1258" s="15" t="s">
        <v>28</v>
      </c>
      <c r="K1258" s="15" t="s">
        <v>29</v>
      </c>
      <c r="L1258" s="61"/>
      <c r="M1258" s="15" t="s">
        <v>72</v>
      </c>
      <c r="N1258" s="15" t="s">
        <v>39</v>
      </c>
      <c r="O1258" s="15"/>
      <c r="P1258" s="15" t="s">
        <v>242</v>
      </c>
      <c r="Q1258" s="27">
        <v>10999</v>
      </c>
      <c r="R1258" s="28">
        <v>45</v>
      </c>
      <c r="S1258" s="29">
        <v>6956.8674999999994</v>
      </c>
      <c r="T1258" s="20" t="s">
        <v>75</v>
      </c>
      <c r="U1258" s="21" t="s">
        <v>95</v>
      </c>
      <c r="V1258" s="22">
        <v>50</v>
      </c>
      <c r="W1258" s="22">
        <v>14</v>
      </c>
      <c r="X1258" s="23"/>
    </row>
    <row r="1259" spans="1:24" s="1" customFormat="1" ht="11" customHeight="1" x14ac:dyDescent="0.3">
      <c r="A1259" s="15" t="s">
        <v>23</v>
      </c>
      <c r="B1259" s="15" t="s">
        <v>1081</v>
      </c>
      <c r="C1259" s="12" t="s">
        <v>1082</v>
      </c>
      <c r="D1259" s="59"/>
      <c r="E1259" s="43" t="str">
        <f t="shared" si="78"/>
        <v>Еще фото</v>
      </c>
      <c r="F1259" s="26"/>
      <c r="G1259" s="15" t="s">
        <v>237</v>
      </c>
      <c r="H1259" s="15" t="s">
        <v>27</v>
      </c>
      <c r="I1259" s="15" t="s">
        <v>237</v>
      </c>
      <c r="J1259" s="15" t="s">
        <v>28</v>
      </c>
      <c r="K1259" s="15" t="s">
        <v>29</v>
      </c>
      <c r="L1259" s="62"/>
      <c r="M1259" s="15" t="s">
        <v>72</v>
      </c>
      <c r="N1259" s="15" t="s">
        <v>39</v>
      </c>
      <c r="O1259" s="15"/>
      <c r="P1259" s="15" t="s">
        <v>242</v>
      </c>
      <c r="Q1259" s="27">
        <v>10999</v>
      </c>
      <c r="R1259" s="28">
        <v>45</v>
      </c>
      <c r="S1259" s="29">
        <v>6956.8674999999994</v>
      </c>
      <c r="T1259" s="20" t="s">
        <v>75</v>
      </c>
      <c r="U1259" s="21" t="s">
        <v>200</v>
      </c>
      <c r="V1259" s="25" t="s">
        <v>90</v>
      </c>
      <c r="W1259" s="22">
        <v>11</v>
      </c>
      <c r="X1259" s="23"/>
    </row>
    <row r="1260" spans="1:24" s="1" customFormat="1" ht="52.05" customHeight="1" x14ac:dyDescent="0.3">
      <c r="A1260" s="11" t="s">
        <v>23</v>
      </c>
      <c r="B1260" s="11" t="s">
        <v>1084</v>
      </c>
      <c r="C1260" s="12" t="s">
        <v>1085</v>
      </c>
      <c r="D1260" s="63"/>
      <c r="E1260" s="43" t="str">
        <f>HYPERLINK("https://www.google.ru/search?q=19626-0277&amp;newwindow=1&amp;tbm=isch","Еще фото")</f>
        <v>Еще фото</v>
      </c>
      <c r="F1260" s="14"/>
      <c r="G1260" s="11" t="s">
        <v>237</v>
      </c>
      <c r="H1260" s="11" t="s">
        <v>27</v>
      </c>
      <c r="I1260" s="15" t="s">
        <v>237</v>
      </c>
      <c r="J1260" s="15" t="s">
        <v>37</v>
      </c>
      <c r="K1260" s="16" t="s">
        <v>29</v>
      </c>
      <c r="L1260" s="60" t="s">
        <v>1086</v>
      </c>
      <c r="M1260" s="15"/>
      <c r="N1260" s="15" t="s">
        <v>31</v>
      </c>
      <c r="O1260" s="15"/>
      <c r="P1260" s="16" t="s">
        <v>297</v>
      </c>
      <c r="Q1260" s="17">
        <v>13699</v>
      </c>
      <c r="R1260" s="18">
        <v>45</v>
      </c>
      <c r="S1260" s="19">
        <v>8664.6174999999985</v>
      </c>
      <c r="T1260" s="20" t="s">
        <v>75</v>
      </c>
      <c r="U1260" s="21" t="s">
        <v>47</v>
      </c>
      <c r="V1260" s="25" t="s">
        <v>48</v>
      </c>
      <c r="W1260" s="22">
        <v>1</v>
      </c>
      <c r="X1260" s="23"/>
    </row>
    <row r="1261" spans="1:24" s="1" customFormat="1" ht="61.05" customHeight="1" x14ac:dyDescent="0.3">
      <c r="A1261" s="24" t="s">
        <v>23</v>
      </c>
      <c r="B1261" s="24" t="s">
        <v>1084</v>
      </c>
      <c r="C1261" s="12" t="s">
        <v>1085</v>
      </c>
      <c r="D1261" s="64"/>
      <c r="E1261" s="43" t="str">
        <f>HYPERLINK("https://www.google.ru/search?q=19626-0277&amp;newwindow=1&amp;tbm=isch","Еще фото")</f>
        <v>Еще фото</v>
      </c>
      <c r="F1261" s="14"/>
      <c r="G1261" s="24" t="s">
        <v>237</v>
      </c>
      <c r="H1261" s="24" t="s">
        <v>27</v>
      </c>
      <c r="I1261" s="24" t="s">
        <v>237</v>
      </c>
      <c r="J1261" s="15" t="s">
        <v>37</v>
      </c>
      <c r="K1261" s="16" t="s">
        <v>29</v>
      </c>
      <c r="L1261" s="62"/>
      <c r="M1261" s="15"/>
      <c r="N1261" s="15" t="s">
        <v>31</v>
      </c>
      <c r="O1261" s="15"/>
      <c r="P1261" s="16" t="s">
        <v>297</v>
      </c>
      <c r="Q1261" s="17">
        <v>13699</v>
      </c>
      <c r="R1261" s="18">
        <v>45</v>
      </c>
      <c r="S1261" s="19">
        <v>8664.6174999999985</v>
      </c>
      <c r="T1261" s="20" t="s">
        <v>75</v>
      </c>
      <c r="U1261" s="21" t="s">
        <v>52</v>
      </c>
      <c r="V1261" s="22">
        <v>48</v>
      </c>
      <c r="W1261" s="22">
        <v>2</v>
      </c>
      <c r="X1261" s="23"/>
    </row>
    <row r="1262" spans="1:24" s="1" customFormat="1" ht="108" customHeight="1" x14ac:dyDescent="0.3">
      <c r="A1262" s="11" t="s">
        <v>23</v>
      </c>
      <c r="B1262" s="11" t="s">
        <v>1087</v>
      </c>
      <c r="C1262" s="12" t="s">
        <v>1088</v>
      </c>
      <c r="D1262" s="13"/>
      <c r="E1262" s="43" t="str">
        <f>HYPERLINK("https://www.google.ru/search?q=19627-0000&amp;newwindow=1&amp;tbm=isch","Еще фото")</f>
        <v>Еще фото</v>
      </c>
      <c r="F1262" s="14"/>
      <c r="G1262" s="11" t="s">
        <v>237</v>
      </c>
      <c r="H1262" s="11" t="s">
        <v>27</v>
      </c>
      <c r="I1262" s="15" t="s">
        <v>237</v>
      </c>
      <c r="J1262" s="15" t="s">
        <v>28</v>
      </c>
      <c r="K1262" s="16" t="s">
        <v>29</v>
      </c>
      <c r="L1262" s="15" t="s">
        <v>453</v>
      </c>
      <c r="M1262" s="15" t="s">
        <v>72</v>
      </c>
      <c r="N1262" s="15" t="s">
        <v>39</v>
      </c>
      <c r="O1262" s="15"/>
      <c r="P1262" s="16" t="s">
        <v>242</v>
      </c>
      <c r="Q1262" s="17">
        <v>8699</v>
      </c>
      <c r="R1262" s="18">
        <v>45</v>
      </c>
      <c r="S1262" s="19">
        <v>5502.1174999999994</v>
      </c>
      <c r="T1262" s="20" t="s">
        <v>75</v>
      </c>
      <c r="U1262" s="21" t="s">
        <v>313</v>
      </c>
      <c r="V1262" s="22">
        <v>44</v>
      </c>
      <c r="W1262" s="22">
        <v>1</v>
      </c>
      <c r="X1262" s="23"/>
    </row>
    <row r="1263" spans="1:24" s="1" customFormat="1" ht="11" customHeight="1" x14ac:dyDescent="0.3">
      <c r="A1263" s="11" t="s">
        <v>23</v>
      </c>
      <c r="B1263" s="11" t="s">
        <v>1089</v>
      </c>
      <c r="C1263" s="12" t="s">
        <v>1090</v>
      </c>
      <c r="D1263" s="57"/>
      <c r="E1263" s="43" t="str">
        <f t="shared" ref="E1263:E1272" si="79">HYPERLINK("https://www.google.ru/search?q=19627-0001&amp;newwindow=1&amp;tbm=isch","Еще фото")</f>
        <v>Еще фото</v>
      </c>
      <c r="F1263" s="14"/>
      <c r="G1263" s="11" t="s">
        <v>237</v>
      </c>
      <c r="H1263" s="11" t="s">
        <v>27</v>
      </c>
      <c r="I1263" s="15" t="s">
        <v>237</v>
      </c>
      <c r="J1263" s="15" t="s">
        <v>37</v>
      </c>
      <c r="K1263" s="16" t="s">
        <v>29</v>
      </c>
      <c r="L1263" s="60" t="s">
        <v>702</v>
      </c>
      <c r="M1263" s="15"/>
      <c r="N1263" s="15" t="s">
        <v>249</v>
      </c>
      <c r="O1263" s="15"/>
      <c r="P1263" s="16" t="s">
        <v>209</v>
      </c>
      <c r="Q1263" s="17">
        <v>9899</v>
      </c>
      <c r="R1263" s="18">
        <v>45</v>
      </c>
      <c r="S1263" s="19">
        <v>6261.1174999999994</v>
      </c>
      <c r="T1263" s="20" t="s">
        <v>75</v>
      </c>
      <c r="U1263" s="21" t="s">
        <v>42</v>
      </c>
      <c r="V1263" s="22">
        <v>40</v>
      </c>
      <c r="W1263" s="22">
        <v>9</v>
      </c>
      <c r="X1263" s="23"/>
    </row>
    <row r="1264" spans="1:24" s="1" customFormat="1" ht="11" customHeight="1" x14ac:dyDescent="0.3">
      <c r="A1264" s="24" t="s">
        <v>23</v>
      </c>
      <c r="B1264" s="24" t="s">
        <v>1089</v>
      </c>
      <c r="C1264" s="12" t="s">
        <v>1090</v>
      </c>
      <c r="D1264" s="58"/>
      <c r="E1264" s="43" t="str">
        <f t="shared" si="79"/>
        <v>Еще фото</v>
      </c>
      <c r="F1264" s="14"/>
      <c r="G1264" s="24" t="s">
        <v>237</v>
      </c>
      <c r="H1264" s="24" t="s">
        <v>27</v>
      </c>
      <c r="I1264" s="24" t="s">
        <v>237</v>
      </c>
      <c r="J1264" s="15" t="s">
        <v>37</v>
      </c>
      <c r="K1264" s="16" t="s">
        <v>29</v>
      </c>
      <c r="L1264" s="61"/>
      <c r="M1264" s="15"/>
      <c r="N1264" s="15" t="s">
        <v>249</v>
      </c>
      <c r="O1264" s="15"/>
      <c r="P1264" s="16" t="s">
        <v>209</v>
      </c>
      <c r="Q1264" s="17">
        <v>9899</v>
      </c>
      <c r="R1264" s="18">
        <v>45</v>
      </c>
      <c r="S1264" s="19">
        <v>6261.1174999999994</v>
      </c>
      <c r="T1264" s="20" t="s">
        <v>75</v>
      </c>
      <c r="U1264" s="21" t="s">
        <v>43</v>
      </c>
      <c r="V1264" s="25" t="s">
        <v>44</v>
      </c>
      <c r="W1264" s="22">
        <v>12</v>
      </c>
      <c r="X1264" s="23"/>
    </row>
    <row r="1265" spans="1:24" s="1" customFormat="1" ht="11" customHeight="1" x14ac:dyDescent="0.3">
      <c r="A1265" s="24" t="s">
        <v>23</v>
      </c>
      <c r="B1265" s="24" t="s">
        <v>1089</v>
      </c>
      <c r="C1265" s="12" t="s">
        <v>1090</v>
      </c>
      <c r="D1265" s="58"/>
      <c r="E1265" s="43" t="str">
        <f t="shared" si="79"/>
        <v>Еще фото</v>
      </c>
      <c r="F1265" s="14"/>
      <c r="G1265" s="24" t="s">
        <v>237</v>
      </c>
      <c r="H1265" s="24" t="s">
        <v>27</v>
      </c>
      <c r="I1265" s="24" t="s">
        <v>237</v>
      </c>
      <c r="J1265" s="15" t="s">
        <v>37</v>
      </c>
      <c r="K1265" s="16" t="s">
        <v>29</v>
      </c>
      <c r="L1265" s="61"/>
      <c r="M1265" s="15"/>
      <c r="N1265" s="15" t="s">
        <v>249</v>
      </c>
      <c r="O1265" s="15"/>
      <c r="P1265" s="16" t="s">
        <v>209</v>
      </c>
      <c r="Q1265" s="17">
        <v>9899</v>
      </c>
      <c r="R1265" s="18">
        <v>45</v>
      </c>
      <c r="S1265" s="19">
        <v>6261.1174999999994</v>
      </c>
      <c r="T1265" s="20" t="s">
        <v>75</v>
      </c>
      <c r="U1265" s="21" t="s">
        <v>46</v>
      </c>
      <c r="V1265" s="22">
        <v>42</v>
      </c>
      <c r="W1265" s="22">
        <v>9</v>
      </c>
      <c r="X1265" s="23"/>
    </row>
    <row r="1266" spans="1:24" s="1" customFormat="1" ht="11" customHeight="1" x14ac:dyDescent="0.3">
      <c r="A1266" s="24" t="s">
        <v>23</v>
      </c>
      <c r="B1266" s="24" t="s">
        <v>1089</v>
      </c>
      <c r="C1266" s="12" t="s">
        <v>1090</v>
      </c>
      <c r="D1266" s="58"/>
      <c r="E1266" s="43" t="str">
        <f t="shared" si="79"/>
        <v>Еще фото</v>
      </c>
      <c r="F1266" s="14"/>
      <c r="G1266" s="24" t="s">
        <v>237</v>
      </c>
      <c r="H1266" s="24" t="s">
        <v>27</v>
      </c>
      <c r="I1266" s="24" t="s">
        <v>237</v>
      </c>
      <c r="J1266" s="15" t="s">
        <v>37</v>
      </c>
      <c r="K1266" s="16" t="s">
        <v>29</v>
      </c>
      <c r="L1266" s="61"/>
      <c r="M1266" s="15"/>
      <c r="N1266" s="15" t="s">
        <v>249</v>
      </c>
      <c r="O1266" s="15"/>
      <c r="P1266" s="16" t="s">
        <v>209</v>
      </c>
      <c r="Q1266" s="17">
        <v>9899</v>
      </c>
      <c r="R1266" s="18">
        <v>45</v>
      </c>
      <c r="S1266" s="19">
        <v>6261.1174999999994</v>
      </c>
      <c r="T1266" s="20" t="s">
        <v>75</v>
      </c>
      <c r="U1266" s="21" t="s">
        <v>158</v>
      </c>
      <c r="V1266" s="22">
        <v>42</v>
      </c>
      <c r="W1266" s="22">
        <v>2</v>
      </c>
      <c r="X1266" s="23"/>
    </row>
    <row r="1267" spans="1:24" s="1" customFormat="1" ht="11" customHeight="1" x14ac:dyDescent="0.3">
      <c r="A1267" s="24" t="s">
        <v>23</v>
      </c>
      <c r="B1267" s="24" t="s">
        <v>1089</v>
      </c>
      <c r="C1267" s="12" t="s">
        <v>1090</v>
      </c>
      <c r="D1267" s="58"/>
      <c r="E1267" s="43" t="str">
        <f t="shared" si="79"/>
        <v>Еще фото</v>
      </c>
      <c r="F1267" s="14"/>
      <c r="G1267" s="24" t="s">
        <v>237</v>
      </c>
      <c r="H1267" s="24" t="s">
        <v>27</v>
      </c>
      <c r="I1267" s="24" t="s">
        <v>237</v>
      </c>
      <c r="J1267" s="15" t="s">
        <v>37</v>
      </c>
      <c r="K1267" s="16" t="s">
        <v>29</v>
      </c>
      <c r="L1267" s="61"/>
      <c r="M1267" s="15"/>
      <c r="N1267" s="15" t="s">
        <v>249</v>
      </c>
      <c r="O1267" s="15"/>
      <c r="P1267" s="16" t="s">
        <v>209</v>
      </c>
      <c r="Q1267" s="17">
        <v>9899</v>
      </c>
      <c r="R1267" s="18">
        <v>45</v>
      </c>
      <c r="S1267" s="19">
        <v>6261.1174999999994</v>
      </c>
      <c r="T1267" s="20" t="s">
        <v>75</v>
      </c>
      <c r="U1267" s="21" t="s">
        <v>47</v>
      </c>
      <c r="V1267" s="25" t="s">
        <v>48</v>
      </c>
      <c r="W1267" s="22">
        <v>9</v>
      </c>
      <c r="X1267" s="23"/>
    </row>
    <row r="1268" spans="1:24" s="1" customFormat="1" ht="11" customHeight="1" x14ac:dyDescent="0.3">
      <c r="A1268" s="24" t="s">
        <v>23</v>
      </c>
      <c r="B1268" s="24" t="s">
        <v>1089</v>
      </c>
      <c r="C1268" s="12" t="s">
        <v>1090</v>
      </c>
      <c r="D1268" s="58"/>
      <c r="E1268" s="43" t="str">
        <f t="shared" si="79"/>
        <v>Еще фото</v>
      </c>
      <c r="F1268" s="14"/>
      <c r="G1268" s="24" t="s">
        <v>237</v>
      </c>
      <c r="H1268" s="24" t="s">
        <v>27</v>
      </c>
      <c r="I1268" s="24" t="s">
        <v>237</v>
      </c>
      <c r="J1268" s="15" t="s">
        <v>37</v>
      </c>
      <c r="K1268" s="16" t="s">
        <v>29</v>
      </c>
      <c r="L1268" s="61"/>
      <c r="M1268" s="15"/>
      <c r="N1268" s="15" t="s">
        <v>249</v>
      </c>
      <c r="O1268" s="15"/>
      <c r="P1268" s="16" t="s">
        <v>209</v>
      </c>
      <c r="Q1268" s="17">
        <v>9899</v>
      </c>
      <c r="R1268" s="18">
        <v>45</v>
      </c>
      <c r="S1268" s="19">
        <v>6261.1174999999994</v>
      </c>
      <c r="T1268" s="20" t="s">
        <v>75</v>
      </c>
      <c r="U1268" s="21" t="s">
        <v>50</v>
      </c>
      <c r="V1268" s="22">
        <v>44</v>
      </c>
      <c r="W1268" s="22">
        <v>11</v>
      </c>
      <c r="X1268" s="23"/>
    </row>
    <row r="1269" spans="1:24" s="1" customFormat="1" ht="11" customHeight="1" x14ac:dyDescent="0.3">
      <c r="A1269" s="24" t="s">
        <v>23</v>
      </c>
      <c r="B1269" s="24" t="s">
        <v>1089</v>
      </c>
      <c r="C1269" s="12" t="s">
        <v>1090</v>
      </c>
      <c r="D1269" s="58"/>
      <c r="E1269" s="43" t="str">
        <f t="shared" si="79"/>
        <v>Еще фото</v>
      </c>
      <c r="F1269" s="14"/>
      <c r="G1269" s="24" t="s">
        <v>237</v>
      </c>
      <c r="H1269" s="24" t="s">
        <v>27</v>
      </c>
      <c r="I1269" s="24" t="s">
        <v>237</v>
      </c>
      <c r="J1269" s="15" t="s">
        <v>37</v>
      </c>
      <c r="K1269" s="16" t="s">
        <v>29</v>
      </c>
      <c r="L1269" s="61"/>
      <c r="M1269" s="15"/>
      <c r="N1269" s="15" t="s">
        <v>249</v>
      </c>
      <c r="O1269" s="15"/>
      <c r="P1269" s="16" t="s">
        <v>209</v>
      </c>
      <c r="Q1269" s="17">
        <v>9899</v>
      </c>
      <c r="R1269" s="18">
        <v>45</v>
      </c>
      <c r="S1269" s="19">
        <v>6261.1174999999994</v>
      </c>
      <c r="T1269" s="20" t="s">
        <v>75</v>
      </c>
      <c r="U1269" s="21" t="s">
        <v>230</v>
      </c>
      <c r="V1269" s="22">
        <v>46</v>
      </c>
      <c r="W1269" s="22">
        <v>9</v>
      </c>
      <c r="X1269" s="23"/>
    </row>
    <row r="1270" spans="1:24" s="1" customFormat="1" ht="11" customHeight="1" x14ac:dyDescent="0.3">
      <c r="A1270" s="24" t="s">
        <v>23</v>
      </c>
      <c r="B1270" s="24" t="s">
        <v>1089</v>
      </c>
      <c r="C1270" s="12" t="s">
        <v>1090</v>
      </c>
      <c r="D1270" s="58"/>
      <c r="E1270" s="43" t="str">
        <f t="shared" si="79"/>
        <v>Еще фото</v>
      </c>
      <c r="F1270" s="14"/>
      <c r="G1270" s="24" t="s">
        <v>237</v>
      </c>
      <c r="H1270" s="24" t="s">
        <v>27</v>
      </c>
      <c r="I1270" s="24" t="s">
        <v>237</v>
      </c>
      <c r="J1270" s="15" t="s">
        <v>37</v>
      </c>
      <c r="K1270" s="16" t="s">
        <v>29</v>
      </c>
      <c r="L1270" s="61"/>
      <c r="M1270" s="15"/>
      <c r="N1270" s="15" t="s">
        <v>249</v>
      </c>
      <c r="O1270" s="15"/>
      <c r="P1270" s="16" t="s">
        <v>209</v>
      </c>
      <c r="Q1270" s="17">
        <v>9899</v>
      </c>
      <c r="R1270" s="18">
        <v>45</v>
      </c>
      <c r="S1270" s="19">
        <v>6261.1174999999994</v>
      </c>
      <c r="T1270" s="20" t="s">
        <v>75</v>
      </c>
      <c r="U1270" s="21" t="s">
        <v>52</v>
      </c>
      <c r="V1270" s="22">
        <v>48</v>
      </c>
      <c r="W1270" s="22">
        <v>10</v>
      </c>
      <c r="X1270" s="23"/>
    </row>
    <row r="1271" spans="1:24" s="1" customFormat="1" ht="11" customHeight="1" x14ac:dyDescent="0.3">
      <c r="A1271" s="24" t="s">
        <v>23</v>
      </c>
      <c r="B1271" s="24" t="s">
        <v>1089</v>
      </c>
      <c r="C1271" s="12" t="s">
        <v>1090</v>
      </c>
      <c r="D1271" s="58"/>
      <c r="E1271" s="43" t="str">
        <f t="shared" si="79"/>
        <v>Еще фото</v>
      </c>
      <c r="F1271" s="14"/>
      <c r="G1271" s="24" t="s">
        <v>237</v>
      </c>
      <c r="H1271" s="24" t="s">
        <v>27</v>
      </c>
      <c r="I1271" s="24" t="s">
        <v>237</v>
      </c>
      <c r="J1271" s="15" t="s">
        <v>37</v>
      </c>
      <c r="K1271" s="16" t="s">
        <v>29</v>
      </c>
      <c r="L1271" s="61"/>
      <c r="M1271" s="15"/>
      <c r="N1271" s="15" t="s">
        <v>249</v>
      </c>
      <c r="O1271" s="15"/>
      <c r="P1271" s="16" t="s">
        <v>209</v>
      </c>
      <c r="Q1271" s="17">
        <v>9899</v>
      </c>
      <c r="R1271" s="18">
        <v>45</v>
      </c>
      <c r="S1271" s="19">
        <v>6261.1174999999994</v>
      </c>
      <c r="T1271" s="20" t="s">
        <v>75</v>
      </c>
      <c r="U1271" s="21" t="s">
        <v>53</v>
      </c>
      <c r="V1271" s="22">
        <v>48</v>
      </c>
      <c r="W1271" s="22">
        <v>1</v>
      </c>
      <c r="X1271" s="23"/>
    </row>
    <row r="1272" spans="1:24" s="1" customFormat="1" ht="11" customHeight="1" x14ac:dyDescent="0.3">
      <c r="A1272" s="15" t="s">
        <v>23</v>
      </c>
      <c r="B1272" s="15" t="s">
        <v>1089</v>
      </c>
      <c r="C1272" s="12" t="s">
        <v>1090</v>
      </c>
      <c r="D1272" s="59"/>
      <c r="E1272" s="43" t="str">
        <f t="shared" si="79"/>
        <v>Еще фото</v>
      </c>
      <c r="F1272" s="26"/>
      <c r="G1272" s="15" t="s">
        <v>237</v>
      </c>
      <c r="H1272" s="15" t="s">
        <v>27</v>
      </c>
      <c r="I1272" s="15" t="s">
        <v>237</v>
      </c>
      <c r="J1272" s="15" t="s">
        <v>37</v>
      </c>
      <c r="K1272" s="15" t="s">
        <v>29</v>
      </c>
      <c r="L1272" s="62"/>
      <c r="M1272" s="15"/>
      <c r="N1272" s="15" t="s">
        <v>249</v>
      </c>
      <c r="O1272" s="15"/>
      <c r="P1272" s="15" t="s">
        <v>209</v>
      </c>
      <c r="Q1272" s="27">
        <v>9899</v>
      </c>
      <c r="R1272" s="28">
        <v>45</v>
      </c>
      <c r="S1272" s="29">
        <v>6261.1174999999994</v>
      </c>
      <c r="T1272" s="20" t="s">
        <v>75</v>
      </c>
      <c r="U1272" s="21" t="s">
        <v>109</v>
      </c>
      <c r="V1272" s="25" t="s">
        <v>96</v>
      </c>
      <c r="W1272" s="22">
        <v>7</v>
      </c>
      <c r="X1272" s="23"/>
    </row>
    <row r="1273" spans="1:24" s="1" customFormat="1" ht="14" customHeight="1" x14ac:dyDescent="0.3">
      <c r="A1273" s="11" t="s">
        <v>23</v>
      </c>
      <c r="B1273" s="11" t="s">
        <v>1091</v>
      </c>
      <c r="C1273" s="12" t="s">
        <v>1092</v>
      </c>
      <c r="D1273" s="57"/>
      <c r="E1273" s="43" t="str">
        <f t="shared" ref="E1273:E1279" si="80">HYPERLINK("https://www.google.ru/search?q=19632-0000&amp;newwindow=1&amp;tbm=isch","Еще фото")</f>
        <v>Еще фото</v>
      </c>
      <c r="F1273" s="14"/>
      <c r="G1273" s="11" t="s">
        <v>237</v>
      </c>
      <c r="H1273" s="11" t="s">
        <v>27</v>
      </c>
      <c r="I1273" s="15" t="s">
        <v>237</v>
      </c>
      <c r="J1273" s="15" t="s">
        <v>37</v>
      </c>
      <c r="K1273" s="16" t="s">
        <v>29</v>
      </c>
      <c r="L1273" s="60" t="s">
        <v>1093</v>
      </c>
      <c r="M1273" s="15"/>
      <c r="N1273" s="15" t="s">
        <v>39</v>
      </c>
      <c r="O1273" s="15"/>
      <c r="P1273" s="16" t="s">
        <v>242</v>
      </c>
      <c r="Q1273" s="17">
        <v>8699</v>
      </c>
      <c r="R1273" s="18">
        <v>45</v>
      </c>
      <c r="S1273" s="19">
        <v>5502.1174999999994</v>
      </c>
      <c r="T1273" s="20" t="s">
        <v>75</v>
      </c>
      <c r="U1273" s="21" t="s">
        <v>46</v>
      </c>
      <c r="V1273" s="22">
        <v>42</v>
      </c>
      <c r="W1273" s="22">
        <v>15</v>
      </c>
      <c r="X1273" s="23"/>
    </row>
    <row r="1274" spans="1:24" s="1" customFormat="1" ht="14" customHeight="1" x14ac:dyDescent="0.3">
      <c r="A1274" s="24" t="s">
        <v>23</v>
      </c>
      <c r="B1274" s="24" t="s">
        <v>1091</v>
      </c>
      <c r="C1274" s="12" t="s">
        <v>1092</v>
      </c>
      <c r="D1274" s="58"/>
      <c r="E1274" s="43" t="str">
        <f t="shared" si="80"/>
        <v>Еще фото</v>
      </c>
      <c r="F1274" s="14"/>
      <c r="G1274" s="24" t="s">
        <v>237</v>
      </c>
      <c r="H1274" s="24" t="s">
        <v>27</v>
      </c>
      <c r="I1274" s="24" t="s">
        <v>237</v>
      </c>
      <c r="J1274" s="15" t="s">
        <v>37</v>
      </c>
      <c r="K1274" s="16" t="s">
        <v>29</v>
      </c>
      <c r="L1274" s="61"/>
      <c r="M1274" s="15"/>
      <c r="N1274" s="15" t="s">
        <v>39</v>
      </c>
      <c r="O1274" s="15"/>
      <c r="P1274" s="16" t="s">
        <v>242</v>
      </c>
      <c r="Q1274" s="17">
        <v>8699</v>
      </c>
      <c r="R1274" s="18">
        <v>45</v>
      </c>
      <c r="S1274" s="19">
        <v>5502.1174999999994</v>
      </c>
      <c r="T1274" s="20" t="s">
        <v>75</v>
      </c>
      <c r="U1274" s="21" t="s">
        <v>47</v>
      </c>
      <c r="V1274" s="25" t="s">
        <v>48</v>
      </c>
      <c r="W1274" s="22">
        <v>16</v>
      </c>
      <c r="X1274" s="23"/>
    </row>
    <row r="1275" spans="1:24" s="1" customFormat="1" ht="14" customHeight="1" x14ac:dyDescent="0.3">
      <c r="A1275" s="24" t="s">
        <v>23</v>
      </c>
      <c r="B1275" s="24" t="s">
        <v>1091</v>
      </c>
      <c r="C1275" s="12" t="s">
        <v>1092</v>
      </c>
      <c r="D1275" s="58"/>
      <c r="E1275" s="43" t="str">
        <f t="shared" si="80"/>
        <v>Еще фото</v>
      </c>
      <c r="F1275" s="14"/>
      <c r="G1275" s="24" t="s">
        <v>237</v>
      </c>
      <c r="H1275" s="24" t="s">
        <v>27</v>
      </c>
      <c r="I1275" s="24" t="s">
        <v>237</v>
      </c>
      <c r="J1275" s="15" t="s">
        <v>37</v>
      </c>
      <c r="K1275" s="16" t="s">
        <v>29</v>
      </c>
      <c r="L1275" s="61"/>
      <c r="M1275" s="15"/>
      <c r="N1275" s="15" t="s">
        <v>39</v>
      </c>
      <c r="O1275" s="15"/>
      <c r="P1275" s="16" t="s">
        <v>242</v>
      </c>
      <c r="Q1275" s="17">
        <v>8699</v>
      </c>
      <c r="R1275" s="18">
        <v>45</v>
      </c>
      <c r="S1275" s="19">
        <v>5502.1174999999994</v>
      </c>
      <c r="T1275" s="20" t="s">
        <v>75</v>
      </c>
      <c r="U1275" s="21" t="s">
        <v>50</v>
      </c>
      <c r="V1275" s="22">
        <v>44</v>
      </c>
      <c r="W1275" s="22">
        <v>18</v>
      </c>
      <c r="X1275" s="23"/>
    </row>
    <row r="1276" spans="1:24" s="1" customFormat="1" ht="14" customHeight="1" x14ac:dyDescent="0.3">
      <c r="A1276" s="24" t="s">
        <v>23</v>
      </c>
      <c r="B1276" s="24" t="s">
        <v>1091</v>
      </c>
      <c r="C1276" s="12" t="s">
        <v>1092</v>
      </c>
      <c r="D1276" s="58"/>
      <c r="E1276" s="43" t="str">
        <f t="shared" si="80"/>
        <v>Еще фото</v>
      </c>
      <c r="F1276" s="14"/>
      <c r="G1276" s="24" t="s">
        <v>237</v>
      </c>
      <c r="H1276" s="24" t="s">
        <v>27</v>
      </c>
      <c r="I1276" s="24" t="s">
        <v>237</v>
      </c>
      <c r="J1276" s="15" t="s">
        <v>37</v>
      </c>
      <c r="K1276" s="16" t="s">
        <v>29</v>
      </c>
      <c r="L1276" s="61"/>
      <c r="M1276" s="15"/>
      <c r="N1276" s="15" t="s">
        <v>39</v>
      </c>
      <c r="O1276" s="15"/>
      <c r="P1276" s="16" t="s">
        <v>242</v>
      </c>
      <c r="Q1276" s="17">
        <v>8699</v>
      </c>
      <c r="R1276" s="18">
        <v>45</v>
      </c>
      <c r="S1276" s="19">
        <v>5502.1174999999994</v>
      </c>
      <c r="T1276" s="20" t="s">
        <v>75</v>
      </c>
      <c r="U1276" s="21" t="s">
        <v>230</v>
      </c>
      <c r="V1276" s="22">
        <v>46</v>
      </c>
      <c r="W1276" s="22">
        <v>20</v>
      </c>
      <c r="X1276" s="23"/>
    </row>
    <row r="1277" spans="1:24" s="1" customFormat="1" ht="14" customHeight="1" x14ac:dyDescent="0.3">
      <c r="A1277" s="24" t="s">
        <v>23</v>
      </c>
      <c r="B1277" s="24" t="s">
        <v>1091</v>
      </c>
      <c r="C1277" s="12" t="s">
        <v>1092</v>
      </c>
      <c r="D1277" s="58"/>
      <c r="E1277" s="43" t="str">
        <f t="shared" si="80"/>
        <v>Еще фото</v>
      </c>
      <c r="F1277" s="14"/>
      <c r="G1277" s="24" t="s">
        <v>237</v>
      </c>
      <c r="H1277" s="24" t="s">
        <v>27</v>
      </c>
      <c r="I1277" s="24" t="s">
        <v>237</v>
      </c>
      <c r="J1277" s="15" t="s">
        <v>37</v>
      </c>
      <c r="K1277" s="16" t="s">
        <v>29</v>
      </c>
      <c r="L1277" s="61"/>
      <c r="M1277" s="15"/>
      <c r="N1277" s="15" t="s">
        <v>39</v>
      </c>
      <c r="O1277" s="15"/>
      <c r="P1277" s="16" t="s">
        <v>242</v>
      </c>
      <c r="Q1277" s="17">
        <v>8699</v>
      </c>
      <c r="R1277" s="18">
        <v>45</v>
      </c>
      <c r="S1277" s="19">
        <v>5502.1174999999994</v>
      </c>
      <c r="T1277" s="20" t="s">
        <v>75</v>
      </c>
      <c r="U1277" s="21" t="s">
        <v>52</v>
      </c>
      <c r="V1277" s="22">
        <v>48</v>
      </c>
      <c r="W1277" s="22">
        <v>2</v>
      </c>
      <c r="X1277" s="23"/>
    </row>
    <row r="1278" spans="1:24" s="1" customFormat="1" ht="14" customHeight="1" x14ac:dyDescent="0.3">
      <c r="A1278" s="24" t="s">
        <v>23</v>
      </c>
      <c r="B1278" s="24" t="s">
        <v>1091</v>
      </c>
      <c r="C1278" s="12" t="s">
        <v>1092</v>
      </c>
      <c r="D1278" s="58"/>
      <c r="E1278" s="43" t="str">
        <f t="shared" si="80"/>
        <v>Еще фото</v>
      </c>
      <c r="F1278" s="14"/>
      <c r="G1278" s="24" t="s">
        <v>237</v>
      </c>
      <c r="H1278" s="24" t="s">
        <v>27</v>
      </c>
      <c r="I1278" s="24" t="s">
        <v>237</v>
      </c>
      <c r="J1278" s="15" t="s">
        <v>37</v>
      </c>
      <c r="K1278" s="16" t="s">
        <v>29</v>
      </c>
      <c r="L1278" s="61"/>
      <c r="M1278" s="15"/>
      <c r="N1278" s="15" t="s">
        <v>39</v>
      </c>
      <c r="O1278" s="15"/>
      <c r="P1278" s="16" t="s">
        <v>242</v>
      </c>
      <c r="Q1278" s="17">
        <v>8699</v>
      </c>
      <c r="R1278" s="18">
        <v>45</v>
      </c>
      <c r="S1278" s="19">
        <v>5502.1174999999994</v>
      </c>
      <c r="T1278" s="20" t="s">
        <v>75</v>
      </c>
      <c r="U1278" s="21" t="s">
        <v>188</v>
      </c>
      <c r="V1278" s="25" t="s">
        <v>96</v>
      </c>
      <c r="W1278" s="22">
        <v>20</v>
      </c>
      <c r="X1278" s="23"/>
    </row>
    <row r="1279" spans="1:24" s="1" customFormat="1" ht="17" customHeight="1" x14ac:dyDescent="0.3">
      <c r="A1279" s="24" t="s">
        <v>23</v>
      </c>
      <c r="B1279" s="24" t="s">
        <v>1091</v>
      </c>
      <c r="C1279" s="12" t="s">
        <v>1092</v>
      </c>
      <c r="D1279" s="59"/>
      <c r="E1279" s="43" t="str">
        <f t="shared" si="80"/>
        <v>Еще фото</v>
      </c>
      <c r="F1279" s="14"/>
      <c r="G1279" s="24" t="s">
        <v>237</v>
      </c>
      <c r="H1279" s="24" t="s">
        <v>27</v>
      </c>
      <c r="I1279" s="24" t="s">
        <v>237</v>
      </c>
      <c r="J1279" s="15" t="s">
        <v>37</v>
      </c>
      <c r="K1279" s="16" t="s">
        <v>29</v>
      </c>
      <c r="L1279" s="62"/>
      <c r="M1279" s="15"/>
      <c r="N1279" s="15" t="s">
        <v>39</v>
      </c>
      <c r="O1279" s="15"/>
      <c r="P1279" s="16" t="s">
        <v>242</v>
      </c>
      <c r="Q1279" s="17">
        <v>8699</v>
      </c>
      <c r="R1279" s="18">
        <v>45</v>
      </c>
      <c r="S1279" s="19">
        <v>5502.1174999999994</v>
      </c>
      <c r="T1279" s="20" t="s">
        <v>75</v>
      </c>
      <c r="U1279" s="21" t="s">
        <v>95</v>
      </c>
      <c r="V1279" s="22">
        <v>50</v>
      </c>
      <c r="W1279" s="22">
        <v>14</v>
      </c>
      <c r="X1279" s="23"/>
    </row>
    <row r="1280" spans="1:24" s="1" customFormat="1" ht="108" customHeight="1" x14ac:dyDescent="0.3">
      <c r="A1280" s="11" t="s">
        <v>23</v>
      </c>
      <c r="B1280" s="11" t="s">
        <v>1094</v>
      </c>
      <c r="C1280" s="12" t="s">
        <v>1095</v>
      </c>
      <c r="D1280" s="13"/>
      <c r="E1280" s="43" t="str">
        <f>HYPERLINK("https://www.google.ru/search?q=19632-0170&amp;newwindow=1&amp;tbm=isch","Еще фото")</f>
        <v>Еще фото</v>
      </c>
      <c r="F1280" s="14"/>
      <c r="G1280" s="11" t="s">
        <v>237</v>
      </c>
      <c r="H1280" s="11" t="s">
        <v>27</v>
      </c>
      <c r="I1280" s="15" t="s">
        <v>237</v>
      </c>
      <c r="J1280" s="15" t="s">
        <v>37</v>
      </c>
      <c r="K1280" s="16" t="s">
        <v>29</v>
      </c>
      <c r="L1280" s="15"/>
      <c r="M1280" s="15"/>
      <c r="N1280" s="15" t="s">
        <v>130</v>
      </c>
      <c r="O1280" s="15"/>
      <c r="P1280" s="16" t="s">
        <v>209</v>
      </c>
      <c r="Q1280" s="17">
        <v>7799</v>
      </c>
      <c r="R1280" s="18">
        <v>45</v>
      </c>
      <c r="S1280" s="19">
        <v>4932.8674999999994</v>
      </c>
      <c r="T1280" s="20" t="s">
        <v>75</v>
      </c>
      <c r="U1280" s="21" t="s">
        <v>43</v>
      </c>
      <c r="V1280" s="25" t="s">
        <v>44</v>
      </c>
      <c r="W1280" s="22">
        <v>1</v>
      </c>
      <c r="X1280" s="23"/>
    </row>
    <row r="1281" spans="1:24" s="1" customFormat="1" ht="108" customHeight="1" x14ac:dyDescent="0.3">
      <c r="A1281" s="11" t="s">
        <v>23</v>
      </c>
      <c r="B1281" s="11" t="s">
        <v>1096</v>
      </c>
      <c r="C1281" s="12" t="s">
        <v>1097</v>
      </c>
      <c r="D1281" s="13"/>
      <c r="E1281" s="43" t="str">
        <f>HYPERLINK("https://www.google.ru/search?q=19887-0164&amp;newwindow=1&amp;tbm=isch","Еще фото")</f>
        <v>Еще фото</v>
      </c>
      <c r="F1281" s="14"/>
      <c r="G1281" s="11" t="s">
        <v>237</v>
      </c>
      <c r="H1281" s="11" t="s">
        <v>27</v>
      </c>
      <c r="I1281" s="15" t="s">
        <v>237</v>
      </c>
      <c r="J1281" s="15" t="s">
        <v>37</v>
      </c>
      <c r="K1281" s="16" t="s">
        <v>29</v>
      </c>
      <c r="L1281" s="15" t="s">
        <v>1098</v>
      </c>
      <c r="M1281" s="15"/>
      <c r="N1281" s="15" t="s">
        <v>130</v>
      </c>
      <c r="O1281" s="15"/>
      <c r="P1281" s="16" t="s">
        <v>548</v>
      </c>
      <c r="Q1281" s="17">
        <v>14599</v>
      </c>
      <c r="R1281" s="18">
        <v>45</v>
      </c>
      <c r="S1281" s="19">
        <v>9233.8674999999985</v>
      </c>
      <c r="T1281" s="20" t="s">
        <v>75</v>
      </c>
      <c r="U1281" s="21" t="s">
        <v>46</v>
      </c>
      <c r="V1281" s="22">
        <v>42</v>
      </c>
      <c r="W1281" s="22">
        <v>1</v>
      </c>
      <c r="X1281" s="23"/>
    </row>
    <row r="1282" spans="1:24" s="1" customFormat="1" ht="108" customHeight="1" x14ac:dyDescent="0.3">
      <c r="A1282" s="11" t="s">
        <v>23</v>
      </c>
      <c r="B1282" s="11" t="s">
        <v>1099</v>
      </c>
      <c r="C1282" s="12" t="s">
        <v>1100</v>
      </c>
      <c r="D1282" s="13"/>
      <c r="E1282" s="43" t="str">
        <f>HYPERLINK("https://www.google.ru/search?q=19887-0225&amp;newwindow=1&amp;tbm=isch","Еще фото")</f>
        <v>Еще фото</v>
      </c>
      <c r="F1282" s="14"/>
      <c r="G1282" s="11" t="s">
        <v>237</v>
      </c>
      <c r="H1282" s="11" t="s">
        <v>27</v>
      </c>
      <c r="I1282" s="15" t="s">
        <v>237</v>
      </c>
      <c r="J1282" s="15" t="s">
        <v>37</v>
      </c>
      <c r="K1282" s="16" t="s">
        <v>29</v>
      </c>
      <c r="L1282" s="15" t="s">
        <v>1098</v>
      </c>
      <c r="M1282" s="15"/>
      <c r="N1282" s="15" t="s">
        <v>130</v>
      </c>
      <c r="O1282" s="15"/>
      <c r="P1282" s="16" t="s">
        <v>548</v>
      </c>
      <c r="Q1282" s="17">
        <v>14599</v>
      </c>
      <c r="R1282" s="18">
        <v>45</v>
      </c>
      <c r="S1282" s="19">
        <v>9233.8674999999985</v>
      </c>
      <c r="T1282" s="20" t="s">
        <v>75</v>
      </c>
      <c r="U1282" s="21" t="s">
        <v>188</v>
      </c>
      <c r="V1282" s="25" t="s">
        <v>96</v>
      </c>
      <c r="W1282" s="22">
        <v>1</v>
      </c>
      <c r="X1282" s="23"/>
    </row>
    <row r="1283" spans="1:24" s="1" customFormat="1" ht="11" customHeight="1" x14ac:dyDescent="0.3">
      <c r="A1283" s="11" t="s">
        <v>23</v>
      </c>
      <c r="B1283" s="11" t="s">
        <v>1101</v>
      </c>
      <c r="C1283" s="12" t="s">
        <v>1102</v>
      </c>
      <c r="D1283" s="57"/>
      <c r="E1283" s="43" t="str">
        <f t="shared" ref="E1283:E1294" si="81">HYPERLINK("https://www.google.ru/search?q=22791-0197&amp;newwindow=1&amp;tbm=isch","Еще фото")</f>
        <v>Еще фото</v>
      </c>
      <c r="F1283" s="14"/>
      <c r="G1283" s="11" t="s">
        <v>237</v>
      </c>
      <c r="H1283" s="11" t="s">
        <v>27</v>
      </c>
      <c r="I1283" s="15" t="s">
        <v>237</v>
      </c>
      <c r="J1283" s="15" t="s">
        <v>28</v>
      </c>
      <c r="K1283" s="16" t="s">
        <v>29</v>
      </c>
      <c r="L1283" s="60" t="s">
        <v>1103</v>
      </c>
      <c r="M1283" s="15" t="s">
        <v>72</v>
      </c>
      <c r="N1283" s="15" t="s">
        <v>138</v>
      </c>
      <c r="O1283" s="15" t="s">
        <v>121</v>
      </c>
      <c r="P1283" s="16" t="s">
        <v>341</v>
      </c>
      <c r="Q1283" s="17">
        <v>12599</v>
      </c>
      <c r="R1283" s="18">
        <v>45</v>
      </c>
      <c r="S1283" s="19">
        <v>7968.8674999999994</v>
      </c>
      <c r="T1283" s="20" t="s">
        <v>75</v>
      </c>
      <c r="U1283" s="21" t="s">
        <v>76</v>
      </c>
      <c r="V1283" s="22">
        <v>40</v>
      </c>
      <c r="W1283" s="22">
        <v>4</v>
      </c>
      <c r="X1283" s="23"/>
    </row>
    <row r="1284" spans="1:24" s="1" customFormat="1" ht="11" customHeight="1" x14ac:dyDescent="0.3">
      <c r="A1284" s="24" t="s">
        <v>23</v>
      </c>
      <c r="B1284" s="24" t="s">
        <v>1101</v>
      </c>
      <c r="C1284" s="12" t="s">
        <v>1102</v>
      </c>
      <c r="D1284" s="58"/>
      <c r="E1284" s="43" t="str">
        <f t="shared" si="81"/>
        <v>Еще фото</v>
      </c>
      <c r="F1284" s="14"/>
      <c r="G1284" s="24" t="s">
        <v>237</v>
      </c>
      <c r="H1284" s="24" t="s">
        <v>27</v>
      </c>
      <c r="I1284" s="24" t="s">
        <v>237</v>
      </c>
      <c r="J1284" s="15" t="s">
        <v>28</v>
      </c>
      <c r="K1284" s="16" t="s">
        <v>29</v>
      </c>
      <c r="L1284" s="61"/>
      <c r="M1284" s="15" t="s">
        <v>72</v>
      </c>
      <c r="N1284" s="15" t="s">
        <v>138</v>
      </c>
      <c r="O1284" s="15" t="s">
        <v>121</v>
      </c>
      <c r="P1284" s="16" t="s">
        <v>341</v>
      </c>
      <c r="Q1284" s="17">
        <v>12599</v>
      </c>
      <c r="R1284" s="18">
        <v>45</v>
      </c>
      <c r="S1284" s="19">
        <v>7968.8674999999994</v>
      </c>
      <c r="T1284" s="20" t="s">
        <v>75</v>
      </c>
      <c r="U1284" s="21" t="s">
        <v>255</v>
      </c>
      <c r="V1284" s="22">
        <v>40</v>
      </c>
      <c r="W1284" s="22">
        <v>3</v>
      </c>
      <c r="X1284" s="23"/>
    </row>
    <row r="1285" spans="1:24" s="1" customFormat="1" ht="11" customHeight="1" x14ac:dyDescent="0.3">
      <c r="A1285" s="24" t="s">
        <v>23</v>
      </c>
      <c r="B1285" s="24" t="s">
        <v>1101</v>
      </c>
      <c r="C1285" s="12" t="s">
        <v>1102</v>
      </c>
      <c r="D1285" s="58"/>
      <c r="E1285" s="43" t="str">
        <f t="shared" si="81"/>
        <v>Еще фото</v>
      </c>
      <c r="F1285" s="14"/>
      <c r="G1285" s="24" t="s">
        <v>237</v>
      </c>
      <c r="H1285" s="24" t="s">
        <v>27</v>
      </c>
      <c r="I1285" s="24" t="s">
        <v>237</v>
      </c>
      <c r="J1285" s="15" t="s">
        <v>28</v>
      </c>
      <c r="K1285" s="16" t="s">
        <v>29</v>
      </c>
      <c r="L1285" s="61"/>
      <c r="M1285" s="15" t="s">
        <v>72</v>
      </c>
      <c r="N1285" s="15" t="s">
        <v>138</v>
      </c>
      <c r="O1285" s="15" t="s">
        <v>121</v>
      </c>
      <c r="P1285" s="16" t="s">
        <v>341</v>
      </c>
      <c r="Q1285" s="17">
        <v>12599</v>
      </c>
      <c r="R1285" s="18">
        <v>45</v>
      </c>
      <c r="S1285" s="19">
        <v>7968.8674999999994</v>
      </c>
      <c r="T1285" s="20" t="s">
        <v>75</v>
      </c>
      <c r="U1285" s="21" t="s">
        <v>45</v>
      </c>
      <c r="V1285" s="25" t="s">
        <v>44</v>
      </c>
      <c r="W1285" s="22">
        <v>1</v>
      </c>
      <c r="X1285" s="23"/>
    </row>
    <row r="1286" spans="1:24" s="1" customFormat="1" ht="11" customHeight="1" x14ac:dyDescent="0.3">
      <c r="A1286" s="24" t="s">
        <v>23</v>
      </c>
      <c r="B1286" s="24" t="s">
        <v>1101</v>
      </c>
      <c r="C1286" s="12" t="s">
        <v>1102</v>
      </c>
      <c r="D1286" s="58"/>
      <c r="E1286" s="43" t="str">
        <f t="shared" si="81"/>
        <v>Еще фото</v>
      </c>
      <c r="F1286" s="14"/>
      <c r="G1286" s="24" t="s">
        <v>237</v>
      </c>
      <c r="H1286" s="24" t="s">
        <v>27</v>
      </c>
      <c r="I1286" s="24" t="s">
        <v>237</v>
      </c>
      <c r="J1286" s="15" t="s">
        <v>28</v>
      </c>
      <c r="K1286" s="16" t="s">
        <v>29</v>
      </c>
      <c r="L1286" s="61"/>
      <c r="M1286" s="15" t="s">
        <v>72</v>
      </c>
      <c r="N1286" s="15" t="s">
        <v>138</v>
      </c>
      <c r="O1286" s="15" t="s">
        <v>121</v>
      </c>
      <c r="P1286" s="16" t="s">
        <v>341</v>
      </c>
      <c r="Q1286" s="17">
        <v>12599</v>
      </c>
      <c r="R1286" s="18">
        <v>45</v>
      </c>
      <c r="S1286" s="19">
        <v>7968.8674999999994</v>
      </c>
      <c r="T1286" s="20" t="s">
        <v>75</v>
      </c>
      <c r="U1286" s="21" t="s">
        <v>46</v>
      </c>
      <c r="V1286" s="22">
        <v>42</v>
      </c>
      <c r="W1286" s="22">
        <v>1</v>
      </c>
      <c r="X1286" s="23"/>
    </row>
    <row r="1287" spans="1:24" s="1" customFormat="1" ht="11" customHeight="1" x14ac:dyDescent="0.3">
      <c r="A1287" s="24" t="s">
        <v>23</v>
      </c>
      <c r="B1287" s="24" t="s">
        <v>1101</v>
      </c>
      <c r="C1287" s="12" t="s">
        <v>1102</v>
      </c>
      <c r="D1287" s="58"/>
      <c r="E1287" s="43" t="str">
        <f t="shared" si="81"/>
        <v>Еще фото</v>
      </c>
      <c r="F1287" s="14"/>
      <c r="G1287" s="24" t="s">
        <v>237</v>
      </c>
      <c r="H1287" s="24" t="s">
        <v>27</v>
      </c>
      <c r="I1287" s="24" t="s">
        <v>237</v>
      </c>
      <c r="J1287" s="15" t="s">
        <v>28</v>
      </c>
      <c r="K1287" s="16" t="s">
        <v>29</v>
      </c>
      <c r="L1287" s="61"/>
      <c r="M1287" s="15" t="s">
        <v>72</v>
      </c>
      <c r="N1287" s="15" t="s">
        <v>138</v>
      </c>
      <c r="O1287" s="15" t="s">
        <v>121</v>
      </c>
      <c r="P1287" s="16" t="s">
        <v>341</v>
      </c>
      <c r="Q1287" s="17">
        <v>12599</v>
      </c>
      <c r="R1287" s="18">
        <v>45</v>
      </c>
      <c r="S1287" s="19">
        <v>7968.8674999999994</v>
      </c>
      <c r="T1287" s="20" t="s">
        <v>75</v>
      </c>
      <c r="U1287" s="21" t="s">
        <v>47</v>
      </c>
      <c r="V1287" s="25" t="s">
        <v>48</v>
      </c>
      <c r="W1287" s="22">
        <v>1</v>
      </c>
      <c r="X1287" s="23"/>
    </row>
    <row r="1288" spans="1:24" s="1" customFormat="1" ht="11" customHeight="1" x14ac:dyDescent="0.3">
      <c r="A1288" s="24" t="s">
        <v>23</v>
      </c>
      <c r="B1288" s="24" t="s">
        <v>1101</v>
      </c>
      <c r="C1288" s="12" t="s">
        <v>1102</v>
      </c>
      <c r="D1288" s="58"/>
      <c r="E1288" s="43" t="str">
        <f t="shared" si="81"/>
        <v>Еще фото</v>
      </c>
      <c r="F1288" s="14"/>
      <c r="G1288" s="24" t="s">
        <v>237</v>
      </c>
      <c r="H1288" s="24" t="s">
        <v>27</v>
      </c>
      <c r="I1288" s="24" t="s">
        <v>237</v>
      </c>
      <c r="J1288" s="15" t="s">
        <v>28</v>
      </c>
      <c r="K1288" s="16" t="s">
        <v>29</v>
      </c>
      <c r="L1288" s="61"/>
      <c r="M1288" s="15" t="s">
        <v>72</v>
      </c>
      <c r="N1288" s="15" t="s">
        <v>138</v>
      </c>
      <c r="O1288" s="15" t="s">
        <v>121</v>
      </c>
      <c r="P1288" s="16" t="s">
        <v>341</v>
      </c>
      <c r="Q1288" s="17">
        <v>12599</v>
      </c>
      <c r="R1288" s="18">
        <v>45</v>
      </c>
      <c r="S1288" s="19">
        <v>7968.8674999999994</v>
      </c>
      <c r="T1288" s="20" t="s">
        <v>75</v>
      </c>
      <c r="U1288" s="21" t="s">
        <v>362</v>
      </c>
      <c r="V1288" s="22">
        <v>44</v>
      </c>
      <c r="W1288" s="22">
        <v>2</v>
      </c>
      <c r="X1288" s="23"/>
    </row>
    <row r="1289" spans="1:24" s="1" customFormat="1" ht="11" customHeight="1" x14ac:dyDescent="0.3">
      <c r="A1289" s="24" t="s">
        <v>23</v>
      </c>
      <c r="B1289" s="24" t="s">
        <v>1101</v>
      </c>
      <c r="C1289" s="12" t="s">
        <v>1102</v>
      </c>
      <c r="D1289" s="58"/>
      <c r="E1289" s="43" t="str">
        <f t="shared" si="81"/>
        <v>Еще фото</v>
      </c>
      <c r="F1289" s="14"/>
      <c r="G1289" s="24" t="s">
        <v>237</v>
      </c>
      <c r="H1289" s="24" t="s">
        <v>27</v>
      </c>
      <c r="I1289" s="24" t="s">
        <v>237</v>
      </c>
      <c r="J1289" s="15" t="s">
        <v>28</v>
      </c>
      <c r="K1289" s="16" t="s">
        <v>29</v>
      </c>
      <c r="L1289" s="61"/>
      <c r="M1289" s="15" t="s">
        <v>72</v>
      </c>
      <c r="N1289" s="15" t="s">
        <v>138</v>
      </c>
      <c r="O1289" s="15" t="s">
        <v>121</v>
      </c>
      <c r="P1289" s="16" t="s">
        <v>341</v>
      </c>
      <c r="Q1289" s="17">
        <v>12599</v>
      </c>
      <c r="R1289" s="18">
        <v>45</v>
      </c>
      <c r="S1289" s="19">
        <v>7968.8674999999994</v>
      </c>
      <c r="T1289" s="20" t="s">
        <v>75</v>
      </c>
      <c r="U1289" s="21" t="s">
        <v>50</v>
      </c>
      <c r="V1289" s="22">
        <v>44</v>
      </c>
      <c r="W1289" s="22">
        <v>1</v>
      </c>
      <c r="X1289" s="23"/>
    </row>
    <row r="1290" spans="1:24" s="1" customFormat="1" ht="11" customHeight="1" x14ac:dyDescent="0.3">
      <c r="A1290" s="24" t="s">
        <v>23</v>
      </c>
      <c r="B1290" s="24" t="s">
        <v>1101</v>
      </c>
      <c r="C1290" s="12" t="s">
        <v>1102</v>
      </c>
      <c r="D1290" s="58"/>
      <c r="E1290" s="43" t="str">
        <f t="shared" si="81"/>
        <v>Еще фото</v>
      </c>
      <c r="F1290" s="14"/>
      <c r="G1290" s="24" t="s">
        <v>237</v>
      </c>
      <c r="H1290" s="24" t="s">
        <v>27</v>
      </c>
      <c r="I1290" s="24" t="s">
        <v>237</v>
      </c>
      <c r="J1290" s="15" t="s">
        <v>28</v>
      </c>
      <c r="K1290" s="16" t="s">
        <v>29</v>
      </c>
      <c r="L1290" s="61"/>
      <c r="M1290" s="15" t="s">
        <v>72</v>
      </c>
      <c r="N1290" s="15" t="s">
        <v>138</v>
      </c>
      <c r="O1290" s="15" t="s">
        <v>121</v>
      </c>
      <c r="P1290" s="16" t="s">
        <v>341</v>
      </c>
      <c r="Q1290" s="17">
        <v>12599</v>
      </c>
      <c r="R1290" s="18">
        <v>45</v>
      </c>
      <c r="S1290" s="19">
        <v>7968.8674999999994</v>
      </c>
      <c r="T1290" s="20" t="s">
        <v>75</v>
      </c>
      <c r="U1290" s="21" t="s">
        <v>313</v>
      </c>
      <c r="V1290" s="22">
        <v>44</v>
      </c>
      <c r="W1290" s="22">
        <v>2</v>
      </c>
      <c r="X1290" s="23"/>
    </row>
    <row r="1291" spans="1:24" s="1" customFormat="1" ht="11" customHeight="1" x14ac:dyDescent="0.3">
      <c r="A1291" s="24" t="s">
        <v>23</v>
      </c>
      <c r="B1291" s="24" t="s">
        <v>1101</v>
      </c>
      <c r="C1291" s="12" t="s">
        <v>1102</v>
      </c>
      <c r="D1291" s="58"/>
      <c r="E1291" s="43" t="str">
        <f t="shared" si="81"/>
        <v>Еще фото</v>
      </c>
      <c r="F1291" s="14"/>
      <c r="G1291" s="24" t="s">
        <v>237</v>
      </c>
      <c r="H1291" s="24" t="s">
        <v>27</v>
      </c>
      <c r="I1291" s="24" t="s">
        <v>237</v>
      </c>
      <c r="J1291" s="15" t="s">
        <v>28</v>
      </c>
      <c r="K1291" s="16" t="s">
        <v>29</v>
      </c>
      <c r="L1291" s="61"/>
      <c r="M1291" s="15" t="s">
        <v>72</v>
      </c>
      <c r="N1291" s="15" t="s">
        <v>138</v>
      </c>
      <c r="O1291" s="15" t="s">
        <v>121</v>
      </c>
      <c r="P1291" s="16" t="s">
        <v>341</v>
      </c>
      <c r="Q1291" s="17">
        <v>12599</v>
      </c>
      <c r="R1291" s="18">
        <v>45</v>
      </c>
      <c r="S1291" s="19">
        <v>7968.8674999999994</v>
      </c>
      <c r="T1291" s="20" t="s">
        <v>75</v>
      </c>
      <c r="U1291" s="21" t="s">
        <v>378</v>
      </c>
      <c r="V1291" s="22">
        <v>46</v>
      </c>
      <c r="W1291" s="22">
        <v>2</v>
      </c>
      <c r="X1291" s="23"/>
    </row>
    <row r="1292" spans="1:24" s="1" customFormat="1" ht="11" customHeight="1" x14ac:dyDescent="0.3">
      <c r="A1292" s="15" t="s">
        <v>23</v>
      </c>
      <c r="B1292" s="15" t="s">
        <v>1101</v>
      </c>
      <c r="C1292" s="12" t="s">
        <v>1102</v>
      </c>
      <c r="D1292" s="58"/>
      <c r="E1292" s="43" t="str">
        <f t="shared" si="81"/>
        <v>Еще фото</v>
      </c>
      <c r="F1292" s="26"/>
      <c r="G1292" s="15" t="s">
        <v>237</v>
      </c>
      <c r="H1292" s="15" t="s">
        <v>27</v>
      </c>
      <c r="I1292" s="15" t="s">
        <v>237</v>
      </c>
      <c r="J1292" s="15" t="s">
        <v>28</v>
      </c>
      <c r="K1292" s="15" t="s">
        <v>29</v>
      </c>
      <c r="L1292" s="61"/>
      <c r="M1292" s="15" t="s">
        <v>72</v>
      </c>
      <c r="N1292" s="15" t="s">
        <v>138</v>
      </c>
      <c r="O1292" s="15" t="s">
        <v>121</v>
      </c>
      <c r="P1292" s="15" t="s">
        <v>341</v>
      </c>
      <c r="Q1292" s="27">
        <v>12599</v>
      </c>
      <c r="R1292" s="28">
        <v>45</v>
      </c>
      <c r="S1292" s="29">
        <v>7968.8674999999994</v>
      </c>
      <c r="T1292" s="20" t="s">
        <v>75</v>
      </c>
      <c r="U1292" s="21" t="s">
        <v>314</v>
      </c>
      <c r="V1292" s="22">
        <v>46</v>
      </c>
      <c r="W1292" s="22">
        <v>1</v>
      </c>
      <c r="X1292" s="23"/>
    </row>
    <row r="1293" spans="1:24" s="1" customFormat="1" ht="11" customHeight="1" x14ac:dyDescent="0.3">
      <c r="A1293" s="15" t="s">
        <v>23</v>
      </c>
      <c r="B1293" s="15" t="s">
        <v>1101</v>
      </c>
      <c r="C1293" s="12" t="s">
        <v>1102</v>
      </c>
      <c r="D1293" s="58"/>
      <c r="E1293" s="43" t="str">
        <f t="shared" si="81"/>
        <v>Еще фото</v>
      </c>
      <c r="F1293" s="26"/>
      <c r="G1293" s="15" t="s">
        <v>237</v>
      </c>
      <c r="H1293" s="15" t="s">
        <v>27</v>
      </c>
      <c r="I1293" s="15" t="s">
        <v>237</v>
      </c>
      <c r="J1293" s="15" t="s">
        <v>28</v>
      </c>
      <c r="K1293" s="15" t="s">
        <v>29</v>
      </c>
      <c r="L1293" s="61"/>
      <c r="M1293" s="15" t="s">
        <v>72</v>
      </c>
      <c r="N1293" s="15" t="s">
        <v>138</v>
      </c>
      <c r="O1293" s="15" t="s">
        <v>121</v>
      </c>
      <c r="P1293" s="15" t="s">
        <v>341</v>
      </c>
      <c r="Q1293" s="27">
        <v>12599</v>
      </c>
      <c r="R1293" s="28">
        <v>45</v>
      </c>
      <c r="S1293" s="29">
        <v>7968.8674999999994</v>
      </c>
      <c r="T1293" s="20" t="s">
        <v>75</v>
      </c>
      <c r="U1293" s="21" t="s">
        <v>450</v>
      </c>
      <c r="V1293" s="22">
        <v>48</v>
      </c>
      <c r="W1293" s="22">
        <v>4</v>
      </c>
      <c r="X1293" s="23"/>
    </row>
    <row r="1294" spans="1:24" s="1" customFormat="1" ht="11" customHeight="1" x14ac:dyDescent="0.3">
      <c r="A1294" s="15" t="s">
        <v>23</v>
      </c>
      <c r="B1294" s="15" t="s">
        <v>1101</v>
      </c>
      <c r="C1294" s="12" t="s">
        <v>1102</v>
      </c>
      <c r="D1294" s="59"/>
      <c r="E1294" s="43" t="str">
        <f t="shared" si="81"/>
        <v>Еще фото</v>
      </c>
      <c r="F1294" s="26"/>
      <c r="G1294" s="15" t="s">
        <v>237</v>
      </c>
      <c r="H1294" s="15" t="s">
        <v>27</v>
      </c>
      <c r="I1294" s="15" t="s">
        <v>237</v>
      </c>
      <c r="J1294" s="15" t="s">
        <v>28</v>
      </c>
      <c r="K1294" s="15" t="s">
        <v>29</v>
      </c>
      <c r="L1294" s="62"/>
      <c r="M1294" s="15" t="s">
        <v>72</v>
      </c>
      <c r="N1294" s="15" t="s">
        <v>138</v>
      </c>
      <c r="O1294" s="15" t="s">
        <v>121</v>
      </c>
      <c r="P1294" s="15" t="s">
        <v>341</v>
      </c>
      <c r="Q1294" s="27">
        <v>12599</v>
      </c>
      <c r="R1294" s="28">
        <v>45</v>
      </c>
      <c r="S1294" s="29">
        <v>7968.8674999999994</v>
      </c>
      <c r="T1294" s="20" t="s">
        <v>75</v>
      </c>
      <c r="U1294" s="21" t="s">
        <v>53</v>
      </c>
      <c r="V1294" s="22">
        <v>48</v>
      </c>
      <c r="W1294" s="22">
        <v>1</v>
      </c>
      <c r="X1294" s="23"/>
    </row>
    <row r="1295" spans="1:24" s="1" customFormat="1" ht="14" customHeight="1" x14ac:dyDescent="0.3">
      <c r="A1295" s="11" t="s">
        <v>23</v>
      </c>
      <c r="B1295" s="11" t="s">
        <v>1104</v>
      </c>
      <c r="C1295" s="12" t="s">
        <v>1105</v>
      </c>
      <c r="D1295" s="57"/>
      <c r="E1295" s="43" t="str">
        <f t="shared" ref="E1295:E1301" si="82">HYPERLINK("https://www.google.ru/search?q=22791-0204&amp;newwindow=1&amp;tbm=isch","Еще фото")</f>
        <v>Еще фото</v>
      </c>
      <c r="F1295" s="14"/>
      <c r="G1295" s="11" t="s">
        <v>237</v>
      </c>
      <c r="H1295" s="11" t="s">
        <v>27</v>
      </c>
      <c r="I1295" s="15" t="s">
        <v>237</v>
      </c>
      <c r="J1295" s="15" t="s">
        <v>28</v>
      </c>
      <c r="K1295" s="16" t="s">
        <v>29</v>
      </c>
      <c r="L1295" s="60" t="s">
        <v>785</v>
      </c>
      <c r="M1295" s="15" t="s">
        <v>72</v>
      </c>
      <c r="N1295" s="15" t="s">
        <v>138</v>
      </c>
      <c r="O1295" s="15"/>
      <c r="P1295" s="16" t="s">
        <v>786</v>
      </c>
      <c r="Q1295" s="17">
        <v>14899</v>
      </c>
      <c r="R1295" s="18">
        <v>45</v>
      </c>
      <c r="S1295" s="19">
        <v>9423.6175000000003</v>
      </c>
      <c r="T1295" s="20" t="s">
        <v>75</v>
      </c>
      <c r="U1295" s="21" t="s">
        <v>311</v>
      </c>
      <c r="V1295" s="25" t="s">
        <v>44</v>
      </c>
      <c r="W1295" s="22">
        <v>2</v>
      </c>
      <c r="X1295" s="23"/>
    </row>
    <row r="1296" spans="1:24" s="1" customFormat="1" ht="14" customHeight="1" x14ac:dyDescent="0.3">
      <c r="A1296" s="24" t="s">
        <v>23</v>
      </c>
      <c r="B1296" s="24" t="s">
        <v>1104</v>
      </c>
      <c r="C1296" s="12" t="s">
        <v>1105</v>
      </c>
      <c r="D1296" s="58"/>
      <c r="E1296" s="43" t="str">
        <f t="shared" si="82"/>
        <v>Еще фото</v>
      </c>
      <c r="F1296" s="14"/>
      <c r="G1296" s="24" t="s">
        <v>237</v>
      </c>
      <c r="H1296" s="24" t="s">
        <v>27</v>
      </c>
      <c r="I1296" s="24" t="s">
        <v>237</v>
      </c>
      <c r="J1296" s="15" t="s">
        <v>28</v>
      </c>
      <c r="K1296" s="16" t="s">
        <v>29</v>
      </c>
      <c r="L1296" s="61"/>
      <c r="M1296" s="15" t="s">
        <v>72</v>
      </c>
      <c r="N1296" s="15" t="s">
        <v>138</v>
      </c>
      <c r="O1296" s="15"/>
      <c r="P1296" s="16" t="s">
        <v>786</v>
      </c>
      <c r="Q1296" s="17">
        <v>14899</v>
      </c>
      <c r="R1296" s="18">
        <v>45</v>
      </c>
      <c r="S1296" s="19">
        <v>9423.6175000000003</v>
      </c>
      <c r="T1296" s="20" t="s">
        <v>75</v>
      </c>
      <c r="U1296" s="21" t="s">
        <v>158</v>
      </c>
      <c r="V1296" s="22">
        <v>42</v>
      </c>
      <c r="W1296" s="22">
        <v>1</v>
      </c>
      <c r="X1296" s="23"/>
    </row>
    <row r="1297" spans="1:24" s="1" customFormat="1" ht="14" customHeight="1" x14ac:dyDescent="0.3">
      <c r="A1297" s="24" t="s">
        <v>23</v>
      </c>
      <c r="B1297" s="24" t="s">
        <v>1104</v>
      </c>
      <c r="C1297" s="12" t="s">
        <v>1105</v>
      </c>
      <c r="D1297" s="58"/>
      <c r="E1297" s="43" t="str">
        <f t="shared" si="82"/>
        <v>Еще фото</v>
      </c>
      <c r="F1297" s="14"/>
      <c r="G1297" s="24" t="s">
        <v>237</v>
      </c>
      <c r="H1297" s="24" t="s">
        <v>27</v>
      </c>
      <c r="I1297" s="24" t="s">
        <v>237</v>
      </c>
      <c r="J1297" s="15" t="s">
        <v>28</v>
      </c>
      <c r="K1297" s="16" t="s">
        <v>29</v>
      </c>
      <c r="L1297" s="61"/>
      <c r="M1297" s="15" t="s">
        <v>72</v>
      </c>
      <c r="N1297" s="15" t="s">
        <v>138</v>
      </c>
      <c r="O1297" s="15"/>
      <c r="P1297" s="16" t="s">
        <v>786</v>
      </c>
      <c r="Q1297" s="17">
        <v>14899</v>
      </c>
      <c r="R1297" s="18">
        <v>45</v>
      </c>
      <c r="S1297" s="19">
        <v>9423.6175000000003</v>
      </c>
      <c r="T1297" s="20" t="s">
        <v>75</v>
      </c>
      <c r="U1297" s="21" t="s">
        <v>481</v>
      </c>
      <c r="V1297" s="25" t="s">
        <v>48</v>
      </c>
      <c r="W1297" s="22">
        <v>5</v>
      </c>
      <c r="X1297" s="23"/>
    </row>
    <row r="1298" spans="1:24" s="1" customFormat="1" ht="14" customHeight="1" x14ac:dyDescent="0.3">
      <c r="A1298" s="24" t="s">
        <v>23</v>
      </c>
      <c r="B1298" s="24" t="s">
        <v>1104</v>
      </c>
      <c r="C1298" s="12" t="s">
        <v>1105</v>
      </c>
      <c r="D1298" s="58"/>
      <c r="E1298" s="43" t="str">
        <f t="shared" si="82"/>
        <v>Еще фото</v>
      </c>
      <c r="F1298" s="14"/>
      <c r="G1298" s="24" t="s">
        <v>237</v>
      </c>
      <c r="H1298" s="24" t="s">
        <v>27</v>
      </c>
      <c r="I1298" s="24" t="s">
        <v>237</v>
      </c>
      <c r="J1298" s="15" t="s">
        <v>28</v>
      </c>
      <c r="K1298" s="16" t="s">
        <v>29</v>
      </c>
      <c r="L1298" s="61"/>
      <c r="M1298" s="15" t="s">
        <v>72</v>
      </c>
      <c r="N1298" s="15" t="s">
        <v>138</v>
      </c>
      <c r="O1298" s="15"/>
      <c r="P1298" s="16" t="s">
        <v>786</v>
      </c>
      <c r="Q1298" s="17">
        <v>14899</v>
      </c>
      <c r="R1298" s="18">
        <v>45</v>
      </c>
      <c r="S1298" s="19">
        <v>9423.6175000000003</v>
      </c>
      <c r="T1298" s="20" t="s">
        <v>75</v>
      </c>
      <c r="U1298" s="21" t="s">
        <v>49</v>
      </c>
      <c r="V1298" s="25" t="s">
        <v>48</v>
      </c>
      <c r="W1298" s="22">
        <v>1</v>
      </c>
      <c r="X1298" s="23"/>
    </row>
    <row r="1299" spans="1:24" s="1" customFormat="1" ht="14" customHeight="1" x14ac:dyDescent="0.3">
      <c r="A1299" s="24" t="s">
        <v>23</v>
      </c>
      <c r="B1299" s="24" t="s">
        <v>1104</v>
      </c>
      <c r="C1299" s="12" t="s">
        <v>1105</v>
      </c>
      <c r="D1299" s="58"/>
      <c r="E1299" s="43" t="str">
        <f t="shared" si="82"/>
        <v>Еще фото</v>
      </c>
      <c r="F1299" s="14"/>
      <c r="G1299" s="24" t="s">
        <v>237</v>
      </c>
      <c r="H1299" s="24" t="s">
        <v>27</v>
      </c>
      <c r="I1299" s="24" t="s">
        <v>237</v>
      </c>
      <c r="J1299" s="15" t="s">
        <v>28</v>
      </c>
      <c r="K1299" s="16" t="s">
        <v>29</v>
      </c>
      <c r="L1299" s="61"/>
      <c r="M1299" s="15" t="s">
        <v>72</v>
      </c>
      <c r="N1299" s="15" t="s">
        <v>138</v>
      </c>
      <c r="O1299" s="15"/>
      <c r="P1299" s="16" t="s">
        <v>786</v>
      </c>
      <c r="Q1299" s="17">
        <v>14899</v>
      </c>
      <c r="R1299" s="18">
        <v>45</v>
      </c>
      <c r="S1299" s="19">
        <v>9423.6175000000003</v>
      </c>
      <c r="T1299" s="20" t="s">
        <v>75</v>
      </c>
      <c r="U1299" s="21" t="s">
        <v>362</v>
      </c>
      <c r="V1299" s="22">
        <v>44</v>
      </c>
      <c r="W1299" s="22">
        <v>13</v>
      </c>
      <c r="X1299" s="23"/>
    </row>
    <row r="1300" spans="1:24" s="1" customFormat="1" ht="14" customHeight="1" x14ac:dyDescent="0.3">
      <c r="A1300" s="24" t="s">
        <v>23</v>
      </c>
      <c r="B1300" s="24" t="s">
        <v>1104</v>
      </c>
      <c r="C1300" s="12" t="s">
        <v>1105</v>
      </c>
      <c r="D1300" s="58"/>
      <c r="E1300" s="43" t="str">
        <f t="shared" si="82"/>
        <v>Еще фото</v>
      </c>
      <c r="F1300" s="14"/>
      <c r="G1300" s="24" t="s">
        <v>237</v>
      </c>
      <c r="H1300" s="24" t="s">
        <v>27</v>
      </c>
      <c r="I1300" s="24" t="s">
        <v>237</v>
      </c>
      <c r="J1300" s="15" t="s">
        <v>28</v>
      </c>
      <c r="K1300" s="16" t="s">
        <v>29</v>
      </c>
      <c r="L1300" s="61"/>
      <c r="M1300" s="15" t="s">
        <v>72</v>
      </c>
      <c r="N1300" s="15" t="s">
        <v>138</v>
      </c>
      <c r="O1300" s="15"/>
      <c r="P1300" s="16" t="s">
        <v>786</v>
      </c>
      <c r="Q1300" s="17">
        <v>14899</v>
      </c>
      <c r="R1300" s="18">
        <v>45</v>
      </c>
      <c r="S1300" s="19">
        <v>9423.6175000000003</v>
      </c>
      <c r="T1300" s="20" t="s">
        <v>75</v>
      </c>
      <c r="U1300" s="21" t="s">
        <v>378</v>
      </c>
      <c r="V1300" s="22">
        <v>46</v>
      </c>
      <c r="W1300" s="22">
        <v>14</v>
      </c>
      <c r="X1300" s="23"/>
    </row>
    <row r="1301" spans="1:24" s="1" customFormat="1" ht="17" customHeight="1" x14ac:dyDescent="0.3">
      <c r="A1301" s="24" t="s">
        <v>23</v>
      </c>
      <c r="B1301" s="24" t="s">
        <v>1104</v>
      </c>
      <c r="C1301" s="12" t="s">
        <v>1105</v>
      </c>
      <c r="D1301" s="59"/>
      <c r="E1301" s="43" t="str">
        <f t="shared" si="82"/>
        <v>Еще фото</v>
      </c>
      <c r="F1301" s="14"/>
      <c r="G1301" s="24" t="s">
        <v>237</v>
      </c>
      <c r="H1301" s="24" t="s">
        <v>27</v>
      </c>
      <c r="I1301" s="24" t="s">
        <v>237</v>
      </c>
      <c r="J1301" s="15" t="s">
        <v>28</v>
      </c>
      <c r="K1301" s="16" t="s">
        <v>29</v>
      </c>
      <c r="L1301" s="62"/>
      <c r="M1301" s="15" t="s">
        <v>72</v>
      </c>
      <c r="N1301" s="15" t="s">
        <v>138</v>
      </c>
      <c r="O1301" s="15"/>
      <c r="P1301" s="16" t="s">
        <v>786</v>
      </c>
      <c r="Q1301" s="17">
        <v>14899</v>
      </c>
      <c r="R1301" s="18">
        <v>45</v>
      </c>
      <c r="S1301" s="19">
        <v>9423.6175000000003</v>
      </c>
      <c r="T1301" s="20" t="s">
        <v>75</v>
      </c>
      <c r="U1301" s="21" t="s">
        <v>188</v>
      </c>
      <c r="V1301" s="25" t="s">
        <v>96</v>
      </c>
      <c r="W1301" s="22">
        <v>1</v>
      </c>
      <c r="X1301" s="23"/>
    </row>
    <row r="1302" spans="1:24" s="1" customFormat="1" ht="108" customHeight="1" x14ac:dyDescent="0.3">
      <c r="A1302" s="11" t="s">
        <v>23</v>
      </c>
      <c r="B1302" s="11" t="s">
        <v>1106</v>
      </c>
      <c r="C1302" s="12" t="s">
        <v>1107</v>
      </c>
      <c r="D1302" s="13"/>
      <c r="E1302" s="43" t="str">
        <f>HYPERLINK("https://www.google.ru/search?q=26986-0026&amp;newwindow=1&amp;tbm=isch","Еще фото")</f>
        <v>Еще фото</v>
      </c>
      <c r="F1302" s="14"/>
      <c r="G1302" s="11" t="s">
        <v>237</v>
      </c>
      <c r="H1302" s="11" t="s">
        <v>27</v>
      </c>
      <c r="I1302" s="15" t="s">
        <v>237</v>
      </c>
      <c r="J1302" s="15" t="s">
        <v>37</v>
      </c>
      <c r="K1302" s="16" t="s">
        <v>29</v>
      </c>
      <c r="L1302" s="15" t="s">
        <v>1108</v>
      </c>
      <c r="M1302" s="15"/>
      <c r="N1302" s="15" t="s">
        <v>130</v>
      </c>
      <c r="O1302" s="15"/>
      <c r="P1302" s="16" t="s">
        <v>782</v>
      </c>
      <c r="Q1302" s="17">
        <v>15499</v>
      </c>
      <c r="R1302" s="18">
        <v>45</v>
      </c>
      <c r="S1302" s="19">
        <v>9803.1175000000003</v>
      </c>
      <c r="T1302" s="20" t="s">
        <v>75</v>
      </c>
      <c r="U1302" s="21" t="s">
        <v>1109</v>
      </c>
      <c r="V1302" s="22">
        <v>38</v>
      </c>
      <c r="W1302" s="22">
        <v>1</v>
      </c>
      <c r="X1302" s="23"/>
    </row>
    <row r="1303" spans="1:24" s="1" customFormat="1" ht="14" customHeight="1" x14ac:dyDescent="0.3">
      <c r="A1303" s="11" t="s">
        <v>23</v>
      </c>
      <c r="B1303" s="11" t="s">
        <v>1110</v>
      </c>
      <c r="C1303" s="12" t="s">
        <v>1111</v>
      </c>
      <c r="D1303" s="57"/>
      <c r="E1303" s="43" t="str">
        <f t="shared" ref="E1303:E1309" si="83">HYPERLINK("https://www.google.ru/search?q=28833-0013&amp;newwindow=1&amp;tbm=isch","Еще фото")</f>
        <v>Еще фото</v>
      </c>
      <c r="F1303" s="34" t="s">
        <v>469</v>
      </c>
      <c r="G1303" s="11" t="s">
        <v>237</v>
      </c>
      <c r="H1303" s="11" t="s">
        <v>27</v>
      </c>
      <c r="I1303" s="15" t="s">
        <v>237</v>
      </c>
      <c r="J1303" s="15" t="s">
        <v>28</v>
      </c>
      <c r="K1303" s="16" t="s">
        <v>57</v>
      </c>
      <c r="L1303" s="60" t="s">
        <v>1112</v>
      </c>
      <c r="M1303" s="15" t="s">
        <v>72</v>
      </c>
      <c r="N1303" s="15" t="s">
        <v>39</v>
      </c>
      <c r="O1303" s="15" t="s">
        <v>113</v>
      </c>
      <c r="P1303" s="16" t="s">
        <v>254</v>
      </c>
      <c r="Q1303" s="17">
        <v>10499</v>
      </c>
      <c r="R1303" s="18">
        <v>45</v>
      </c>
      <c r="S1303" s="19">
        <v>6640.6174999999994</v>
      </c>
      <c r="T1303" s="20" t="s">
        <v>75</v>
      </c>
      <c r="U1303" s="21" t="s">
        <v>173</v>
      </c>
      <c r="V1303" s="25" t="s">
        <v>63</v>
      </c>
      <c r="W1303" s="22">
        <v>7</v>
      </c>
      <c r="X1303" s="23"/>
    </row>
    <row r="1304" spans="1:24" s="1" customFormat="1" ht="14" customHeight="1" x14ac:dyDescent="0.3">
      <c r="A1304" s="24" t="s">
        <v>23</v>
      </c>
      <c r="B1304" s="24" t="s">
        <v>1110</v>
      </c>
      <c r="C1304" s="12" t="s">
        <v>1111</v>
      </c>
      <c r="D1304" s="58"/>
      <c r="E1304" s="43" t="str">
        <f t="shared" si="83"/>
        <v>Еще фото</v>
      </c>
      <c r="F1304" s="34" t="s">
        <v>469</v>
      </c>
      <c r="G1304" s="24" t="s">
        <v>237</v>
      </c>
      <c r="H1304" s="24" t="s">
        <v>27</v>
      </c>
      <c r="I1304" s="24" t="s">
        <v>237</v>
      </c>
      <c r="J1304" s="15" t="s">
        <v>28</v>
      </c>
      <c r="K1304" s="16" t="s">
        <v>57</v>
      </c>
      <c r="L1304" s="61"/>
      <c r="M1304" s="15" t="s">
        <v>72</v>
      </c>
      <c r="N1304" s="15" t="s">
        <v>39</v>
      </c>
      <c r="O1304" s="15" t="s">
        <v>113</v>
      </c>
      <c r="P1304" s="16" t="s">
        <v>254</v>
      </c>
      <c r="Q1304" s="17">
        <v>10499</v>
      </c>
      <c r="R1304" s="18">
        <v>45</v>
      </c>
      <c r="S1304" s="19">
        <v>6640.6174999999994</v>
      </c>
      <c r="T1304" s="20" t="s">
        <v>75</v>
      </c>
      <c r="U1304" s="21" t="s">
        <v>53</v>
      </c>
      <c r="V1304" s="22">
        <v>46</v>
      </c>
      <c r="W1304" s="22">
        <v>11</v>
      </c>
      <c r="X1304" s="23"/>
    </row>
    <row r="1305" spans="1:24" s="1" customFormat="1" ht="14" customHeight="1" x14ac:dyDescent="0.3">
      <c r="A1305" s="24" t="s">
        <v>23</v>
      </c>
      <c r="B1305" s="24" t="s">
        <v>1110</v>
      </c>
      <c r="C1305" s="12" t="s">
        <v>1111</v>
      </c>
      <c r="D1305" s="58"/>
      <c r="E1305" s="43" t="str">
        <f t="shared" si="83"/>
        <v>Еще фото</v>
      </c>
      <c r="F1305" s="34" t="s">
        <v>469</v>
      </c>
      <c r="G1305" s="24" t="s">
        <v>237</v>
      </c>
      <c r="H1305" s="24" t="s">
        <v>27</v>
      </c>
      <c r="I1305" s="24" t="s">
        <v>237</v>
      </c>
      <c r="J1305" s="15" t="s">
        <v>28</v>
      </c>
      <c r="K1305" s="16" t="s">
        <v>57</v>
      </c>
      <c r="L1305" s="61"/>
      <c r="M1305" s="15" t="s">
        <v>72</v>
      </c>
      <c r="N1305" s="15" t="s">
        <v>39</v>
      </c>
      <c r="O1305" s="15" t="s">
        <v>113</v>
      </c>
      <c r="P1305" s="16" t="s">
        <v>254</v>
      </c>
      <c r="Q1305" s="17">
        <v>10499</v>
      </c>
      <c r="R1305" s="18">
        <v>45</v>
      </c>
      <c r="S1305" s="19">
        <v>6640.6174999999994</v>
      </c>
      <c r="T1305" s="20" t="s">
        <v>75</v>
      </c>
      <c r="U1305" s="21" t="s">
        <v>109</v>
      </c>
      <c r="V1305" s="25" t="s">
        <v>65</v>
      </c>
      <c r="W1305" s="22">
        <v>14</v>
      </c>
      <c r="X1305" s="23"/>
    </row>
    <row r="1306" spans="1:24" s="1" customFormat="1" ht="14" customHeight="1" x14ac:dyDescent="0.3">
      <c r="A1306" s="24" t="s">
        <v>23</v>
      </c>
      <c r="B1306" s="24" t="s">
        <v>1110</v>
      </c>
      <c r="C1306" s="12" t="s">
        <v>1111</v>
      </c>
      <c r="D1306" s="58"/>
      <c r="E1306" s="43" t="str">
        <f t="shared" si="83"/>
        <v>Еще фото</v>
      </c>
      <c r="F1306" s="34" t="s">
        <v>469</v>
      </c>
      <c r="G1306" s="24" t="s">
        <v>237</v>
      </c>
      <c r="H1306" s="24" t="s">
        <v>27</v>
      </c>
      <c r="I1306" s="24" t="s">
        <v>237</v>
      </c>
      <c r="J1306" s="15" t="s">
        <v>28</v>
      </c>
      <c r="K1306" s="16" t="s">
        <v>57</v>
      </c>
      <c r="L1306" s="61"/>
      <c r="M1306" s="15" t="s">
        <v>72</v>
      </c>
      <c r="N1306" s="15" t="s">
        <v>39</v>
      </c>
      <c r="O1306" s="15" t="s">
        <v>113</v>
      </c>
      <c r="P1306" s="16" t="s">
        <v>254</v>
      </c>
      <c r="Q1306" s="17">
        <v>10499</v>
      </c>
      <c r="R1306" s="18">
        <v>45</v>
      </c>
      <c r="S1306" s="19">
        <v>6640.6174999999994</v>
      </c>
      <c r="T1306" s="20" t="s">
        <v>75</v>
      </c>
      <c r="U1306" s="21" t="s">
        <v>165</v>
      </c>
      <c r="V1306" s="22">
        <v>48</v>
      </c>
      <c r="W1306" s="22">
        <v>13</v>
      </c>
      <c r="X1306" s="23"/>
    </row>
    <row r="1307" spans="1:24" s="1" customFormat="1" ht="14" customHeight="1" x14ac:dyDescent="0.3">
      <c r="A1307" s="24" t="s">
        <v>23</v>
      </c>
      <c r="B1307" s="24" t="s">
        <v>1110</v>
      </c>
      <c r="C1307" s="12" t="s">
        <v>1111</v>
      </c>
      <c r="D1307" s="58"/>
      <c r="E1307" s="43" t="str">
        <f t="shared" si="83"/>
        <v>Еще фото</v>
      </c>
      <c r="F1307" s="34" t="s">
        <v>469</v>
      </c>
      <c r="G1307" s="24" t="s">
        <v>237</v>
      </c>
      <c r="H1307" s="24" t="s">
        <v>27</v>
      </c>
      <c r="I1307" s="24" t="s">
        <v>237</v>
      </c>
      <c r="J1307" s="15" t="s">
        <v>28</v>
      </c>
      <c r="K1307" s="16" t="s">
        <v>57</v>
      </c>
      <c r="L1307" s="61"/>
      <c r="M1307" s="15" t="s">
        <v>72</v>
      </c>
      <c r="N1307" s="15" t="s">
        <v>39</v>
      </c>
      <c r="O1307" s="15" t="s">
        <v>113</v>
      </c>
      <c r="P1307" s="16" t="s">
        <v>254</v>
      </c>
      <c r="Q1307" s="17">
        <v>10499</v>
      </c>
      <c r="R1307" s="18">
        <v>45</v>
      </c>
      <c r="S1307" s="19">
        <v>6640.6174999999994</v>
      </c>
      <c r="T1307" s="20" t="s">
        <v>75</v>
      </c>
      <c r="U1307" s="21" t="s">
        <v>200</v>
      </c>
      <c r="V1307" s="25" t="s">
        <v>96</v>
      </c>
      <c r="W1307" s="22">
        <v>23</v>
      </c>
      <c r="X1307" s="23"/>
    </row>
    <row r="1308" spans="1:24" s="1" customFormat="1" ht="14" customHeight="1" x14ac:dyDescent="0.3">
      <c r="A1308" s="24" t="s">
        <v>23</v>
      </c>
      <c r="B1308" s="24" t="s">
        <v>1110</v>
      </c>
      <c r="C1308" s="12" t="s">
        <v>1111</v>
      </c>
      <c r="D1308" s="58"/>
      <c r="E1308" s="43" t="str">
        <f t="shared" si="83"/>
        <v>Еще фото</v>
      </c>
      <c r="F1308" s="34" t="s">
        <v>469</v>
      </c>
      <c r="G1308" s="24" t="s">
        <v>237</v>
      </c>
      <c r="H1308" s="24" t="s">
        <v>27</v>
      </c>
      <c r="I1308" s="24" t="s">
        <v>237</v>
      </c>
      <c r="J1308" s="15" t="s">
        <v>28</v>
      </c>
      <c r="K1308" s="16" t="s">
        <v>57</v>
      </c>
      <c r="L1308" s="61"/>
      <c r="M1308" s="15" t="s">
        <v>72</v>
      </c>
      <c r="N1308" s="15" t="s">
        <v>39</v>
      </c>
      <c r="O1308" s="15" t="s">
        <v>113</v>
      </c>
      <c r="P1308" s="16" t="s">
        <v>254</v>
      </c>
      <c r="Q1308" s="17">
        <v>10499</v>
      </c>
      <c r="R1308" s="18">
        <v>45</v>
      </c>
      <c r="S1308" s="19">
        <v>6640.6174999999994</v>
      </c>
      <c r="T1308" s="20" t="s">
        <v>75</v>
      </c>
      <c r="U1308" s="21" t="s">
        <v>1113</v>
      </c>
      <c r="V1308" s="25" t="s">
        <v>96</v>
      </c>
      <c r="W1308" s="22">
        <v>1</v>
      </c>
      <c r="X1308" s="23"/>
    </row>
    <row r="1309" spans="1:24" s="1" customFormat="1" ht="17" customHeight="1" x14ac:dyDescent="0.3">
      <c r="A1309" s="24" t="s">
        <v>23</v>
      </c>
      <c r="B1309" s="24" t="s">
        <v>1110</v>
      </c>
      <c r="C1309" s="12" t="s">
        <v>1111</v>
      </c>
      <c r="D1309" s="59"/>
      <c r="E1309" s="43" t="str">
        <f t="shared" si="83"/>
        <v>Еще фото</v>
      </c>
      <c r="F1309" s="34" t="s">
        <v>469</v>
      </c>
      <c r="G1309" s="24" t="s">
        <v>237</v>
      </c>
      <c r="H1309" s="24" t="s">
        <v>27</v>
      </c>
      <c r="I1309" s="24" t="s">
        <v>237</v>
      </c>
      <c r="J1309" s="15" t="s">
        <v>28</v>
      </c>
      <c r="K1309" s="16" t="s">
        <v>57</v>
      </c>
      <c r="L1309" s="62"/>
      <c r="M1309" s="15" t="s">
        <v>72</v>
      </c>
      <c r="N1309" s="15" t="s">
        <v>39</v>
      </c>
      <c r="O1309" s="15" t="s">
        <v>113</v>
      </c>
      <c r="P1309" s="16" t="s">
        <v>254</v>
      </c>
      <c r="Q1309" s="17">
        <v>10499</v>
      </c>
      <c r="R1309" s="18">
        <v>45</v>
      </c>
      <c r="S1309" s="19">
        <v>6640.6174999999994</v>
      </c>
      <c r="T1309" s="20" t="s">
        <v>75</v>
      </c>
      <c r="U1309" s="21" t="s">
        <v>203</v>
      </c>
      <c r="V1309" s="22">
        <v>50</v>
      </c>
      <c r="W1309" s="22">
        <v>10</v>
      </c>
      <c r="X1309" s="23"/>
    </row>
    <row r="1310" spans="1:24" s="1" customFormat="1" ht="26" customHeight="1" x14ac:dyDescent="0.3">
      <c r="A1310" s="11" t="s">
        <v>23</v>
      </c>
      <c r="B1310" s="11" t="s">
        <v>1114</v>
      </c>
      <c r="C1310" s="12" t="s">
        <v>1115</v>
      </c>
      <c r="D1310" s="57"/>
      <c r="E1310" s="43" t="str">
        <f>HYPERLINK("https://www.google.ru/search?q=28833-0280&amp;newwindow=1&amp;tbm=isch","Еще фото")</f>
        <v>Еще фото</v>
      </c>
      <c r="F1310" s="34" t="s">
        <v>469</v>
      </c>
      <c r="G1310" s="11" t="s">
        <v>237</v>
      </c>
      <c r="H1310" s="11" t="s">
        <v>27</v>
      </c>
      <c r="I1310" s="15" t="s">
        <v>237</v>
      </c>
      <c r="J1310" s="15" t="s">
        <v>28</v>
      </c>
      <c r="K1310" s="16" t="s">
        <v>57</v>
      </c>
      <c r="L1310" s="60" t="s">
        <v>1116</v>
      </c>
      <c r="M1310" s="15" t="s">
        <v>72</v>
      </c>
      <c r="N1310" s="15" t="s">
        <v>130</v>
      </c>
      <c r="O1310" s="15" t="s">
        <v>121</v>
      </c>
      <c r="P1310" s="16" t="s">
        <v>88</v>
      </c>
      <c r="Q1310" s="17">
        <v>15799</v>
      </c>
      <c r="R1310" s="18">
        <v>45</v>
      </c>
      <c r="S1310" s="19">
        <v>9992.8675000000003</v>
      </c>
      <c r="T1310" s="20" t="s">
        <v>75</v>
      </c>
      <c r="U1310" s="21" t="s">
        <v>173</v>
      </c>
      <c r="V1310" s="25" t="s">
        <v>63</v>
      </c>
      <c r="W1310" s="22">
        <v>4</v>
      </c>
      <c r="X1310" s="23"/>
    </row>
    <row r="1311" spans="1:24" s="1" customFormat="1" ht="26" customHeight="1" x14ac:dyDescent="0.3">
      <c r="A1311" s="24" t="s">
        <v>23</v>
      </c>
      <c r="B1311" s="24" t="s">
        <v>1114</v>
      </c>
      <c r="C1311" s="12" t="s">
        <v>1115</v>
      </c>
      <c r="D1311" s="58"/>
      <c r="E1311" s="43" t="str">
        <f>HYPERLINK("https://www.google.ru/search?q=28833-0280&amp;newwindow=1&amp;tbm=isch","Еще фото")</f>
        <v>Еще фото</v>
      </c>
      <c r="F1311" s="34" t="s">
        <v>469</v>
      </c>
      <c r="G1311" s="24" t="s">
        <v>237</v>
      </c>
      <c r="H1311" s="24" t="s">
        <v>27</v>
      </c>
      <c r="I1311" s="24" t="s">
        <v>237</v>
      </c>
      <c r="J1311" s="15" t="s">
        <v>28</v>
      </c>
      <c r="K1311" s="16" t="s">
        <v>57</v>
      </c>
      <c r="L1311" s="61"/>
      <c r="M1311" s="15" t="s">
        <v>72</v>
      </c>
      <c r="N1311" s="15" t="s">
        <v>130</v>
      </c>
      <c r="O1311" s="15" t="s">
        <v>121</v>
      </c>
      <c r="P1311" s="16" t="s">
        <v>88</v>
      </c>
      <c r="Q1311" s="17">
        <v>15799</v>
      </c>
      <c r="R1311" s="18">
        <v>45</v>
      </c>
      <c r="S1311" s="19">
        <v>9992.8675000000003</v>
      </c>
      <c r="T1311" s="20" t="s">
        <v>75</v>
      </c>
      <c r="U1311" s="21" t="s">
        <v>53</v>
      </c>
      <c r="V1311" s="22">
        <v>46</v>
      </c>
      <c r="W1311" s="22">
        <v>4</v>
      </c>
      <c r="X1311" s="23"/>
    </row>
    <row r="1312" spans="1:24" s="1" customFormat="1" ht="26" customHeight="1" x14ac:dyDescent="0.3">
      <c r="A1312" s="24" t="s">
        <v>23</v>
      </c>
      <c r="B1312" s="24" t="s">
        <v>1114</v>
      </c>
      <c r="C1312" s="12" t="s">
        <v>1115</v>
      </c>
      <c r="D1312" s="58"/>
      <c r="E1312" s="43" t="str">
        <f>HYPERLINK("https://www.google.ru/search?q=28833-0280&amp;newwindow=1&amp;tbm=isch","Еще фото")</f>
        <v>Еще фото</v>
      </c>
      <c r="F1312" s="34" t="s">
        <v>469</v>
      </c>
      <c r="G1312" s="24" t="s">
        <v>237</v>
      </c>
      <c r="H1312" s="24" t="s">
        <v>27</v>
      </c>
      <c r="I1312" s="24" t="s">
        <v>237</v>
      </c>
      <c r="J1312" s="15" t="s">
        <v>28</v>
      </c>
      <c r="K1312" s="16" t="s">
        <v>57</v>
      </c>
      <c r="L1312" s="61"/>
      <c r="M1312" s="15" t="s">
        <v>72</v>
      </c>
      <c r="N1312" s="15" t="s">
        <v>130</v>
      </c>
      <c r="O1312" s="15" t="s">
        <v>121</v>
      </c>
      <c r="P1312" s="16" t="s">
        <v>88</v>
      </c>
      <c r="Q1312" s="17">
        <v>15799</v>
      </c>
      <c r="R1312" s="18">
        <v>45</v>
      </c>
      <c r="S1312" s="19">
        <v>9992.8675000000003</v>
      </c>
      <c r="T1312" s="20" t="s">
        <v>75</v>
      </c>
      <c r="U1312" s="21" t="s">
        <v>109</v>
      </c>
      <c r="V1312" s="25" t="s">
        <v>65</v>
      </c>
      <c r="W1312" s="22">
        <v>3</v>
      </c>
      <c r="X1312" s="23"/>
    </row>
    <row r="1313" spans="1:24" s="1" customFormat="1" ht="26" customHeight="1" x14ac:dyDescent="0.3">
      <c r="A1313" s="24" t="s">
        <v>23</v>
      </c>
      <c r="B1313" s="24" t="s">
        <v>1114</v>
      </c>
      <c r="C1313" s="12" t="s">
        <v>1115</v>
      </c>
      <c r="D1313" s="59"/>
      <c r="E1313" s="43" t="str">
        <f>HYPERLINK("https://www.google.ru/search?q=28833-0280&amp;newwindow=1&amp;tbm=isch","Еще фото")</f>
        <v>Еще фото</v>
      </c>
      <c r="F1313" s="34" t="s">
        <v>469</v>
      </c>
      <c r="G1313" s="24" t="s">
        <v>237</v>
      </c>
      <c r="H1313" s="24" t="s">
        <v>27</v>
      </c>
      <c r="I1313" s="24" t="s">
        <v>237</v>
      </c>
      <c r="J1313" s="15" t="s">
        <v>28</v>
      </c>
      <c r="K1313" s="16" t="s">
        <v>57</v>
      </c>
      <c r="L1313" s="62"/>
      <c r="M1313" s="15" t="s">
        <v>72</v>
      </c>
      <c r="N1313" s="15" t="s">
        <v>130</v>
      </c>
      <c r="O1313" s="15" t="s">
        <v>121</v>
      </c>
      <c r="P1313" s="16" t="s">
        <v>88</v>
      </c>
      <c r="Q1313" s="17">
        <v>15799</v>
      </c>
      <c r="R1313" s="18">
        <v>45</v>
      </c>
      <c r="S1313" s="19">
        <v>9992.8675000000003</v>
      </c>
      <c r="T1313" s="20" t="s">
        <v>75</v>
      </c>
      <c r="U1313" s="21" t="s">
        <v>200</v>
      </c>
      <c r="V1313" s="25" t="s">
        <v>96</v>
      </c>
      <c r="W1313" s="22">
        <v>15</v>
      </c>
      <c r="X1313" s="23"/>
    </row>
    <row r="1314" spans="1:24" s="1" customFormat="1" ht="35" customHeight="1" x14ac:dyDescent="0.3">
      <c r="A1314" s="11" t="s">
        <v>23</v>
      </c>
      <c r="B1314" s="11" t="s">
        <v>1117</v>
      </c>
      <c r="C1314" s="12" t="s">
        <v>1118</v>
      </c>
      <c r="D1314" s="57"/>
      <c r="E1314" s="43" t="str">
        <f>HYPERLINK("https://www.google.ru/search?q=28833-0287&amp;newwindow=1&amp;tbm=isch","Еще фото")</f>
        <v>Еще фото</v>
      </c>
      <c r="F1314" s="14"/>
      <c r="G1314" s="11" t="s">
        <v>237</v>
      </c>
      <c r="H1314" s="11" t="s">
        <v>27</v>
      </c>
      <c r="I1314" s="15" t="s">
        <v>237</v>
      </c>
      <c r="J1314" s="15" t="s">
        <v>28</v>
      </c>
      <c r="K1314" s="16" t="s">
        <v>57</v>
      </c>
      <c r="L1314" s="60"/>
      <c r="M1314" s="15" t="s">
        <v>72</v>
      </c>
      <c r="N1314" s="15" t="s">
        <v>39</v>
      </c>
      <c r="O1314" s="15"/>
      <c r="P1314" s="16" t="s">
        <v>254</v>
      </c>
      <c r="Q1314" s="17">
        <v>9899</v>
      </c>
      <c r="R1314" s="18">
        <v>45</v>
      </c>
      <c r="S1314" s="19">
        <v>6261.1174999999994</v>
      </c>
      <c r="T1314" s="20" t="s">
        <v>75</v>
      </c>
      <c r="U1314" s="21" t="s">
        <v>109</v>
      </c>
      <c r="V1314" s="25" t="s">
        <v>65</v>
      </c>
      <c r="W1314" s="22">
        <v>1</v>
      </c>
      <c r="X1314" s="23"/>
    </row>
    <row r="1315" spans="1:24" s="1" customFormat="1" ht="35" customHeight="1" x14ac:dyDescent="0.3">
      <c r="A1315" s="24" t="s">
        <v>23</v>
      </c>
      <c r="B1315" s="24" t="s">
        <v>1117</v>
      </c>
      <c r="C1315" s="12" t="s">
        <v>1118</v>
      </c>
      <c r="D1315" s="58"/>
      <c r="E1315" s="43" t="str">
        <f>HYPERLINK("https://www.google.ru/search?q=28833-0287&amp;newwindow=1&amp;tbm=isch","Еще фото")</f>
        <v>Еще фото</v>
      </c>
      <c r="F1315" s="14"/>
      <c r="G1315" s="24" t="s">
        <v>237</v>
      </c>
      <c r="H1315" s="24" t="s">
        <v>27</v>
      </c>
      <c r="I1315" s="24" t="s">
        <v>237</v>
      </c>
      <c r="J1315" s="15" t="s">
        <v>28</v>
      </c>
      <c r="K1315" s="16" t="s">
        <v>57</v>
      </c>
      <c r="L1315" s="61"/>
      <c r="M1315" s="15" t="s">
        <v>72</v>
      </c>
      <c r="N1315" s="15" t="s">
        <v>39</v>
      </c>
      <c r="O1315" s="15"/>
      <c r="P1315" s="16" t="s">
        <v>254</v>
      </c>
      <c r="Q1315" s="17">
        <v>9899</v>
      </c>
      <c r="R1315" s="18">
        <v>45</v>
      </c>
      <c r="S1315" s="19">
        <v>6261.1174999999994</v>
      </c>
      <c r="T1315" s="20" t="s">
        <v>75</v>
      </c>
      <c r="U1315" s="21" t="s">
        <v>165</v>
      </c>
      <c r="V1315" s="22">
        <v>48</v>
      </c>
      <c r="W1315" s="22">
        <v>1</v>
      </c>
      <c r="X1315" s="23"/>
    </row>
    <row r="1316" spans="1:24" s="1" customFormat="1" ht="37.049999999999997" customHeight="1" x14ac:dyDescent="0.3">
      <c r="A1316" s="24" t="s">
        <v>23</v>
      </c>
      <c r="B1316" s="24" t="s">
        <v>1117</v>
      </c>
      <c r="C1316" s="12" t="s">
        <v>1118</v>
      </c>
      <c r="D1316" s="59"/>
      <c r="E1316" s="43" t="str">
        <f>HYPERLINK("https://www.google.ru/search?q=28833-0287&amp;newwindow=1&amp;tbm=isch","Еще фото")</f>
        <v>Еще фото</v>
      </c>
      <c r="F1316" s="14"/>
      <c r="G1316" s="24" t="s">
        <v>237</v>
      </c>
      <c r="H1316" s="24" t="s">
        <v>27</v>
      </c>
      <c r="I1316" s="24" t="s">
        <v>237</v>
      </c>
      <c r="J1316" s="15" t="s">
        <v>28</v>
      </c>
      <c r="K1316" s="16" t="s">
        <v>57</v>
      </c>
      <c r="L1316" s="62"/>
      <c r="M1316" s="15" t="s">
        <v>72</v>
      </c>
      <c r="N1316" s="15" t="s">
        <v>39</v>
      </c>
      <c r="O1316" s="15"/>
      <c r="P1316" s="16" t="s">
        <v>254</v>
      </c>
      <c r="Q1316" s="17">
        <v>9899</v>
      </c>
      <c r="R1316" s="18">
        <v>45</v>
      </c>
      <c r="S1316" s="19">
        <v>6261.1174999999994</v>
      </c>
      <c r="T1316" s="20" t="s">
        <v>75</v>
      </c>
      <c r="U1316" s="21" t="s">
        <v>166</v>
      </c>
      <c r="V1316" s="25" t="s">
        <v>96</v>
      </c>
      <c r="W1316" s="22">
        <v>1</v>
      </c>
      <c r="X1316" s="23"/>
    </row>
    <row r="1317" spans="1:24" s="1" customFormat="1" ht="26" customHeight="1" x14ac:dyDescent="0.3">
      <c r="A1317" s="11" t="s">
        <v>23</v>
      </c>
      <c r="B1317" s="11" t="s">
        <v>1119</v>
      </c>
      <c r="C1317" s="12" t="s">
        <v>1120</v>
      </c>
      <c r="D1317" s="57"/>
      <c r="E1317" s="43" t="str">
        <f>HYPERLINK("https://www.google.ru/search?q=28833-0682&amp;newwindow=1&amp;tbm=isch","Еще фото")</f>
        <v>Еще фото</v>
      </c>
      <c r="F1317" s="14"/>
      <c r="G1317" s="11" t="s">
        <v>237</v>
      </c>
      <c r="H1317" s="11" t="s">
        <v>27</v>
      </c>
      <c r="I1317" s="15" t="s">
        <v>237</v>
      </c>
      <c r="J1317" s="15" t="s">
        <v>28</v>
      </c>
      <c r="K1317" s="16" t="s">
        <v>57</v>
      </c>
      <c r="L1317" s="60"/>
      <c r="M1317" s="15" t="s">
        <v>72</v>
      </c>
      <c r="N1317" s="15" t="s">
        <v>130</v>
      </c>
      <c r="O1317" s="15" t="s">
        <v>121</v>
      </c>
      <c r="P1317" s="16" t="s">
        <v>1121</v>
      </c>
      <c r="Q1317" s="17">
        <v>15599</v>
      </c>
      <c r="R1317" s="18">
        <v>45</v>
      </c>
      <c r="S1317" s="19">
        <v>9866.3675000000003</v>
      </c>
      <c r="T1317" s="20" t="s">
        <v>75</v>
      </c>
      <c r="U1317" s="21" t="s">
        <v>53</v>
      </c>
      <c r="V1317" s="22">
        <v>46</v>
      </c>
      <c r="W1317" s="22">
        <v>2</v>
      </c>
      <c r="X1317" s="23"/>
    </row>
    <row r="1318" spans="1:24" s="1" customFormat="1" ht="26" customHeight="1" x14ac:dyDescent="0.3">
      <c r="A1318" s="24" t="s">
        <v>23</v>
      </c>
      <c r="B1318" s="24" t="s">
        <v>1119</v>
      </c>
      <c r="C1318" s="12" t="s">
        <v>1120</v>
      </c>
      <c r="D1318" s="58"/>
      <c r="E1318" s="43" t="str">
        <f>HYPERLINK("https://www.google.ru/search?q=28833-0682&amp;newwindow=1&amp;tbm=isch","Еще фото")</f>
        <v>Еще фото</v>
      </c>
      <c r="F1318" s="14"/>
      <c r="G1318" s="24" t="s">
        <v>237</v>
      </c>
      <c r="H1318" s="24" t="s">
        <v>27</v>
      </c>
      <c r="I1318" s="24" t="s">
        <v>237</v>
      </c>
      <c r="J1318" s="15" t="s">
        <v>28</v>
      </c>
      <c r="K1318" s="16" t="s">
        <v>57</v>
      </c>
      <c r="L1318" s="61"/>
      <c r="M1318" s="15" t="s">
        <v>72</v>
      </c>
      <c r="N1318" s="15" t="s">
        <v>130</v>
      </c>
      <c r="O1318" s="15" t="s">
        <v>121</v>
      </c>
      <c r="P1318" s="16" t="s">
        <v>1121</v>
      </c>
      <c r="Q1318" s="17">
        <v>15599</v>
      </c>
      <c r="R1318" s="18">
        <v>45</v>
      </c>
      <c r="S1318" s="19">
        <v>9866.3675000000003</v>
      </c>
      <c r="T1318" s="20" t="s">
        <v>75</v>
      </c>
      <c r="U1318" s="21" t="s">
        <v>165</v>
      </c>
      <c r="V1318" s="22">
        <v>48</v>
      </c>
      <c r="W1318" s="22">
        <v>2</v>
      </c>
      <c r="X1318" s="23"/>
    </row>
    <row r="1319" spans="1:24" s="1" customFormat="1" ht="26" customHeight="1" x14ac:dyDescent="0.3">
      <c r="A1319" s="24" t="s">
        <v>23</v>
      </c>
      <c r="B1319" s="24" t="s">
        <v>1119</v>
      </c>
      <c r="C1319" s="12" t="s">
        <v>1120</v>
      </c>
      <c r="D1319" s="58"/>
      <c r="E1319" s="43" t="str">
        <f>HYPERLINK("https://www.google.ru/search?q=28833-0682&amp;newwindow=1&amp;tbm=isch","Еще фото")</f>
        <v>Еще фото</v>
      </c>
      <c r="F1319" s="14"/>
      <c r="G1319" s="24" t="s">
        <v>237</v>
      </c>
      <c r="H1319" s="24" t="s">
        <v>27</v>
      </c>
      <c r="I1319" s="24" t="s">
        <v>237</v>
      </c>
      <c r="J1319" s="15" t="s">
        <v>28</v>
      </c>
      <c r="K1319" s="16" t="s">
        <v>57</v>
      </c>
      <c r="L1319" s="61"/>
      <c r="M1319" s="15" t="s">
        <v>72</v>
      </c>
      <c r="N1319" s="15" t="s">
        <v>130</v>
      </c>
      <c r="O1319" s="15" t="s">
        <v>121</v>
      </c>
      <c r="P1319" s="16" t="s">
        <v>1121</v>
      </c>
      <c r="Q1319" s="17">
        <v>15599</v>
      </c>
      <c r="R1319" s="18">
        <v>45</v>
      </c>
      <c r="S1319" s="19">
        <v>9866.3675000000003</v>
      </c>
      <c r="T1319" s="20" t="s">
        <v>75</v>
      </c>
      <c r="U1319" s="21" t="s">
        <v>100</v>
      </c>
      <c r="V1319" s="22">
        <v>50</v>
      </c>
      <c r="W1319" s="22">
        <v>1</v>
      </c>
      <c r="X1319" s="23"/>
    </row>
    <row r="1320" spans="1:24" s="1" customFormat="1" ht="26" customHeight="1" x14ac:dyDescent="0.3">
      <c r="A1320" s="24" t="s">
        <v>23</v>
      </c>
      <c r="B1320" s="24" t="s">
        <v>1119</v>
      </c>
      <c r="C1320" s="12" t="s">
        <v>1120</v>
      </c>
      <c r="D1320" s="59"/>
      <c r="E1320" s="43" t="str">
        <f>HYPERLINK("https://www.google.ru/search?q=28833-0682&amp;newwindow=1&amp;tbm=isch","Еще фото")</f>
        <v>Еще фото</v>
      </c>
      <c r="F1320" s="14"/>
      <c r="G1320" s="24" t="s">
        <v>237</v>
      </c>
      <c r="H1320" s="24" t="s">
        <v>27</v>
      </c>
      <c r="I1320" s="24" t="s">
        <v>237</v>
      </c>
      <c r="J1320" s="15" t="s">
        <v>28</v>
      </c>
      <c r="K1320" s="16" t="s">
        <v>57</v>
      </c>
      <c r="L1320" s="62"/>
      <c r="M1320" s="15" t="s">
        <v>72</v>
      </c>
      <c r="N1320" s="15" t="s">
        <v>130</v>
      </c>
      <c r="O1320" s="15" t="s">
        <v>121</v>
      </c>
      <c r="P1320" s="16" t="s">
        <v>1121</v>
      </c>
      <c r="Q1320" s="17">
        <v>15599</v>
      </c>
      <c r="R1320" s="18">
        <v>45</v>
      </c>
      <c r="S1320" s="19">
        <v>9866.3675000000003</v>
      </c>
      <c r="T1320" s="20" t="s">
        <v>75</v>
      </c>
      <c r="U1320" s="21" t="s">
        <v>167</v>
      </c>
      <c r="V1320" s="22">
        <v>52</v>
      </c>
      <c r="W1320" s="22">
        <v>1</v>
      </c>
      <c r="X1320" s="23"/>
    </row>
    <row r="1321" spans="1:24" s="1" customFormat="1" ht="14" customHeight="1" x14ac:dyDescent="0.3">
      <c r="A1321" s="11" t="s">
        <v>23</v>
      </c>
      <c r="B1321" s="11" t="s">
        <v>1122</v>
      </c>
      <c r="C1321" s="12" t="s">
        <v>1123</v>
      </c>
      <c r="D1321" s="57"/>
      <c r="E1321" s="43" t="str">
        <f t="shared" ref="E1321:E1327" si="84">HYPERLINK("https://www.google.ru/search?q=28833-1193&amp;newwindow=1&amp;tbm=isch","Еще фото")</f>
        <v>Еще фото</v>
      </c>
      <c r="F1321" s="14" t="s">
        <v>182</v>
      </c>
      <c r="G1321" s="11" t="s">
        <v>237</v>
      </c>
      <c r="H1321" s="11" t="s">
        <v>27</v>
      </c>
      <c r="I1321" s="15" t="s">
        <v>237</v>
      </c>
      <c r="J1321" s="15" t="s">
        <v>37</v>
      </c>
      <c r="K1321" s="16" t="s">
        <v>57</v>
      </c>
      <c r="L1321" s="60" t="s">
        <v>518</v>
      </c>
      <c r="M1321" s="15"/>
      <c r="N1321" s="15" t="s">
        <v>130</v>
      </c>
      <c r="O1321" s="15"/>
      <c r="P1321" s="16" t="s">
        <v>358</v>
      </c>
      <c r="Q1321" s="17">
        <v>14599</v>
      </c>
      <c r="R1321" s="18">
        <v>45</v>
      </c>
      <c r="S1321" s="19">
        <v>9233.8674999999985</v>
      </c>
      <c r="T1321" s="20" t="s">
        <v>75</v>
      </c>
      <c r="U1321" s="21" t="s">
        <v>53</v>
      </c>
      <c r="V1321" s="22">
        <v>46</v>
      </c>
      <c r="W1321" s="22">
        <v>1</v>
      </c>
      <c r="X1321" s="23"/>
    </row>
    <row r="1322" spans="1:24" s="1" customFormat="1" ht="14" customHeight="1" x14ac:dyDescent="0.3">
      <c r="A1322" s="24" t="s">
        <v>23</v>
      </c>
      <c r="B1322" s="24" t="s">
        <v>1122</v>
      </c>
      <c r="C1322" s="12" t="s">
        <v>1123</v>
      </c>
      <c r="D1322" s="58"/>
      <c r="E1322" s="43" t="str">
        <f t="shared" si="84"/>
        <v>Еще фото</v>
      </c>
      <c r="F1322" s="14" t="s">
        <v>182</v>
      </c>
      <c r="G1322" s="24" t="s">
        <v>237</v>
      </c>
      <c r="H1322" s="24" t="s">
        <v>27</v>
      </c>
      <c r="I1322" s="24" t="s">
        <v>237</v>
      </c>
      <c r="J1322" s="15" t="s">
        <v>37</v>
      </c>
      <c r="K1322" s="16" t="s">
        <v>57</v>
      </c>
      <c r="L1322" s="61"/>
      <c r="M1322" s="15"/>
      <c r="N1322" s="15" t="s">
        <v>130</v>
      </c>
      <c r="O1322" s="15"/>
      <c r="P1322" s="16" t="s">
        <v>358</v>
      </c>
      <c r="Q1322" s="17">
        <v>14599</v>
      </c>
      <c r="R1322" s="18">
        <v>45</v>
      </c>
      <c r="S1322" s="19">
        <v>9233.8674999999985</v>
      </c>
      <c r="T1322" s="20" t="s">
        <v>75</v>
      </c>
      <c r="U1322" s="21" t="s">
        <v>109</v>
      </c>
      <c r="V1322" s="25" t="s">
        <v>65</v>
      </c>
      <c r="W1322" s="22">
        <v>3</v>
      </c>
      <c r="X1322" s="23"/>
    </row>
    <row r="1323" spans="1:24" s="1" customFormat="1" ht="14" customHeight="1" x14ac:dyDescent="0.3">
      <c r="A1323" s="24" t="s">
        <v>23</v>
      </c>
      <c r="B1323" s="24" t="s">
        <v>1122</v>
      </c>
      <c r="C1323" s="12" t="s">
        <v>1123</v>
      </c>
      <c r="D1323" s="58"/>
      <c r="E1323" s="43" t="str">
        <f t="shared" si="84"/>
        <v>Еще фото</v>
      </c>
      <c r="F1323" s="14" t="s">
        <v>182</v>
      </c>
      <c r="G1323" s="24" t="s">
        <v>237</v>
      </c>
      <c r="H1323" s="24" t="s">
        <v>27</v>
      </c>
      <c r="I1323" s="24" t="s">
        <v>237</v>
      </c>
      <c r="J1323" s="15" t="s">
        <v>37</v>
      </c>
      <c r="K1323" s="16" t="s">
        <v>57</v>
      </c>
      <c r="L1323" s="61"/>
      <c r="M1323" s="15"/>
      <c r="N1323" s="15" t="s">
        <v>130</v>
      </c>
      <c r="O1323" s="15"/>
      <c r="P1323" s="16" t="s">
        <v>358</v>
      </c>
      <c r="Q1323" s="17">
        <v>14599</v>
      </c>
      <c r="R1323" s="18">
        <v>45</v>
      </c>
      <c r="S1323" s="19">
        <v>9233.8674999999985</v>
      </c>
      <c r="T1323" s="20" t="s">
        <v>75</v>
      </c>
      <c r="U1323" s="21" t="s">
        <v>140</v>
      </c>
      <c r="V1323" s="25" t="s">
        <v>65</v>
      </c>
      <c r="W1323" s="22">
        <v>2</v>
      </c>
      <c r="X1323" s="23"/>
    </row>
    <row r="1324" spans="1:24" s="1" customFormat="1" ht="14" customHeight="1" x14ac:dyDescent="0.3">
      <c r="A1324" s="24" t="s">
        <v>23</v>
      </c>
      <c r="B1324" s="24" t="s">
        <v>1122</v>
      </c>
      <c r="C1324" s="12" t="s">
        <v>1123</v>
      </c>
      <c r="D1324" s="58"/>
      <c r="E1324" s="43" t="str">
        <f t="shared" si="84"/>
        <v>Еще фото</v>
      </c>
      <c r="F1324" s="14" t="s">
        <v>182</v>
      </c>
      <c r="G1324" s="24" t="s">
        <v>237</v>
      </c>
      <c r="H1324" s="24" t="s">
        <v>27</v>
      </c>
      <c r="I1324" s="24" t="s">
        <v>237</v>
      </c>
      <c r="J1324" s="15" t="s">
        <v>37</v>
      </c>
      <c r="K1324" s="16" t="s">
        <v>57</v>
      </c>
      <c r="L1324" s="61"/>
      <c r="M1324" s="15"/>
      <c r="N1324" s="15" t="s">
        <v>130</v>
      </c>
      <c r="O1324" s="15"/>
      <c r="P1324" s="16" t="s">
        <v>358</v>
      </c>
      <c r="Q1324" s="17">
        <v>14599</v>
      </c>
      <c r="R1324" s="18">
        <v>45</v>
      </c>
      <c r="S1324" s="19">
        <v>9233.8674999999985</v>
      </c>
      <c r="T1324" s="20" t="s">
        <v>75</v>
      </c>
      <c r="U1324" s="21" t="s">
        <v>165</v>
      </c>
      <c r="V1324" s="22">
        <v>48</v>
      </c>
      <c r="W1324" s="22">
        <v>1</v>
      </c>
      <c r="X1324" s="23"/>
    </row>
    <row r="1325" spans="1:24" s="1" customFormat="1" ht="14" customHeight="1" x14ac:dyDescent="0.3">
      <c r="A1325" s="24" t="s">
        <v>23</v>
      </c>
      <c r="B1325" s="24" t="s">
        <v>1122</v>
      </c>
      <c r="C1325" s="12" t="s">
        <v>1123</v>
      </c>
      <c r="D1325" s="58"/>
      <c r="E1325" s="43" t="str">
        <f t="shared" si="84"/>
        <v>Еще фото</v>
      </c>
      <c r="F1325" s="14" t="s">
        <v>182</v>
      </c>
      <c r="G1325" s="24" t="s">
        <v>237</v>
      </c>
      <c r="H1325" s="24" t="s">
        <v>27</v>
      </c>
      <c r="I1325" s="24" t="s">
        <v>237</v>
      </c>
      <c r="J1325" s="15" t="s">
        <v>37</v>
      </c>
      <c r="K1325" s="16" t="s">
        <v>57</v>
      </c>
      <c r="L1325" s="61"/>
      <c r="M1325" s="15"/>
      <c r="N1325" s="15" t="s">
        <v>130</v>
      </c>
      <c r="O1325" s="15"/>
      <c r="P1325" s="16" t="s">
        <v>358</v>
      </c>
      <c r="Q1325" s="17">
        <v>14599</v>
      </c>
      <c r="R1325" s="18">
        <v>45</v>
      </c>
      <c r="S1325" s="19">
        <v>9233.8674999999985</v>
      </c>
      <c r="T1325" s="20" t="s">
        <v>75</v>
      </c>
      <c r="U1325" s="21" t="s">
        <v>166</v>
      </c>
      <c r="V1325" s="25" t="s">
        <v>96</v>
      </c>
      <c r="W1325" s="22">
        <v>2</v>
      </c>
      <c r="X1325" s="23"/>
    </row>
    <row r="1326" spans="1:24" s="1" customFormat="1" ht="14" customHeight="1" x14ac:dyDescent="0.3">
      <c r="A1326" s="24" t="s">
        <v>23</v>
      </c>
      <c r="B1326" s="24" t="s">
        <v>1122</v>
      </c>
      <c r="C1326" s="12" t="s">
        <v>1123</v>
      </c>
      <c r="D1326" s="58"/>
      <c r="E1326" s="43" t="str">
        <f t="shared" si="84"/>
        <v>Еще фото</v>
      </c>
      <c r="F1326" s="14" t="s">
        <v>182</v>
      </c>
      <c r="G1326" s="24" t="s">
        <v>237</v>
      </c>
      <c r="H1326" s="24" t="s">
        <v>27</v>
      </c>
      <c r="I1326" s="24" t="s">
        <v>237</v>
      </c>
      <c r="J1326" s="15" t="s">
        <v>37</v>
      </c>
      <c r="K1326" s="16" t="s">
        <v>57</v>
      </c>
      <c r="L1326" s="61"/>
      <c r="M1326" s="15"/>
      <c r="N1326" s="15" t="s">
        <v>130</v>
      </c>
      <c r="O1326" s="15"/>
      <c r="P1326" s="16" t="s">
        <v>358</v>
      </c>
      <c r="Q1326" s="17">
        <v>14599</v>
      </c>
      <c r="R1326" s="18">
        <v>45</v>
      </c>
      <c r="S1326" s="19">
        <v>9233.8674999999985</v>
      </c>
      <c r="T1326" s="20" t="s">
        <v>75</v>
      </c>
      <c r="U1326" s="21" t="s">
        <v>359</v>
      </c>
      <c r="V1326" s="25" t="s">
        <v>96</v>
      </c>
      <c r="W1326" s="22">
        <v>3</v>
      </c>
      <c r="X1326" s="23"/>
    </row>
    <row r="1327" spans="1:24" s="1" customFormat="1" ht="17" customHeight="1" x14ac:dyDescent="0.3">
      <c r="A1327" s="24" t="s">
        <v>23</v>
      </c>
      <c r="B1327" s="24" t="s">
        <v>1122</v>
      </c>
      <c r="C1327" s="12" t="s">
        <v>1123</v>
      </c>
      <c r="D1327" s="59"/>
      <c r="E1327" s="43" t="str">
        <f t="shared" si="84"/>
        <v>Еще фото</v>
      </c>
      <c r="F1327" s="14" t="s">
        <v>182</v>
      </c>
      <c r="G1327" s="24" t="s">
        <v>237</v>
      </c>
      <c r="H1327" s="24" t="s">
        <v>27</v>
      </c>
      <c r="I1327" s="24" t="s">
        <v>237</v>
      </c>
      <c r="J1327" s="15" t="s">
        <v>37</v>
      </c>
      <c r="K1327" s="16" t="s">
        <v>57</v>
      </c>
      <c r="L1327" s="62"/>
      <c r="M1327" s="15"/>
      <c r="N1327" s="15" t="s">
        <v>130</v>
      </c>
      <c r="O1327" s="15"/>
      <c r="P1327" s="16" t="s">
        <v>358</v>
      </c>
      <c r="Q1327" s="17">
        <v>14599</v>
      </c>
      <c r="R1327" s="18">
        <v>45</v>
      </c>
      <c r="S1327" s="19">
        <v>9233.8674999999985</v>
      </c>
      <c r="T1327" s="20" t="s">
        <v>75</v>
      </c>
      <c r="U1327" s="21" t="s">
        <v>167</v>
      </c>
      <c r="V1327" s="22">
        <v>52</v>
      </c>
      <c r="W1327" s="22">
        <v>2</v>
      </c>
      <c r="X1327" s="23"/>
    </row>
    <row r="1328" spans="1:24" s="1" customFormat="1" ht="26" customHeight="1" x14ac:dyDescent="0.3">
      <c r="A1328" s="11" t="s">
        <v>23</v>
      </c>
      <c r="B1328" s="11" t="s">
        <v>498</v>
      </c>
      <c r="C1328" s="12" t="s">
        <v>1124</v>
      </c>
      <c r="D1328" s="57"/>
      <c r="E1328" s="43" t="str">
        <f>HYPERLINK("https://www.google.ru/search?q=28833-1195&amp;newwindow=1&amp;tbm=isch","Еще фото")</f>
        <v>Еще фото</v>
      </c>
      <c r="F1328" s="14"/>
      <c r="G1328" s="11" t="s">
        <v>237</v>
      </c>
      <c r="H1328" s="11" t="s">
        <v>27</v>
      </c>
      <c r="I1328" s="15" t="s">
        <v>237</v>
      </c>
      <c r="J1328" s="15" t="s">
        <v>37</v>
      </c>
      <c r="K1328" s="16" t="s">
        <v>57</v>
      </c>
      <c r="L1328" s="60" t="s">
        <v>518</v>
      </c>
      <c r="M1328" s="15"/>
      <c r="N1328" s="15" t="s">
        <v>138</v>
      </c>
      <c r="O1328" s="15"/>
      <c r="P1328" s="16" t="s">
        <v>1125</v>
      </c>
      <c r="Q1328" s="17">
        <v>14999</v>
      </c>
      <c r="R1328" s="18">
        <v>45</v>
      </c>
      <c r="S1328" s="19">
        <v>9486.8675000000003</v>
      </c>
      <c r="T1328" s="20" t="s">
        <v>75</v>
      </c>
      <c r="U1328" s="21" t="s">
        <v>165</v>
      </c>
      <c r="V1328" s="22">
        <v>48</v>
      </c>
      <c r="W1328" s="22">
        <v>4</v>
      </c>
      <c r="X1328" s="23"/>
    </row>
    <row r="1329" spans="1:24" s="1" customFormat="1" ht="26" customHeight="1" x14ac:dyDescent="0.3">
      <c r="A1329" s="24" t="s">
        <v>23</v>
      </c>
      <c r="B1329" s="24" t="s">
        <v>498</v>
      </c>
      <c r="C1329" s="12" t="s">
        <v>1124</v>
      </c>
      <c r="D1329" s="58"/>
      <c r="E1329" s="43" t="str">
        <f>HYPERLINK("https://www.google.ru/search?q=28833-1195&amp;newwindow=1&amp;tbm=isch","Еще фото")</f>
        <v>Еще фото</v>
      </c>
      <c r="F1329" s="14"/>
      <c r="G1329" s="24" t="s">
        <v>237</v>
      </c>
      <c r="H1329" s="24" t="s">
        <v>27</v>
      </c>
      <c r="I1329" s="24" t="s">
        <v>237</v>
      </c>
      <c r="J1329" s="15" t="s">
        <v>37</v>
      </c>
      <c r="K1329" s="16" t="s">
        <v>57</v>
      </c>
      <c r="L1329" s="61"/>
      <c r="M1329" s="15"/>
      <c r="N1329" s="15" t="s">
        <v>138</v>
      </c>
      <c r="O1329" s="15"/>
      <c r="P1329" s="16" t="s">
        <v>1125</v>
      </c>
      <c r="Q1329" s="17">
        <v>14999</v>
      </c>
      <c r="R1329" s="18">
        <v>45</v>
      </c>
      <c r="S1329" s="19">
        <v>9486.8675000000003</v>
      </c>
      <c r="T1329" s="20" t="s">
        <v>75</v>
      </c>
      <c r="U1329" s="21" t="s">
        <v>104</v>
      </c>
      <c r="V1329" s="22">
        <v>48</v>
      </c>
      <c r="W1329" s="22">
        <v>2</v>
      </c>
      <c r="X1329" s="23"/>
    </row>
    <row r="1330" spans="1:24" s="1" customFormat="1" ht="26" customHeight="1" x14ac:dyDescent="0.3">
      <c r="A1330" s="24" t="s">
        <v>23</v>
      </c>
      <c r="B1330" s="24" t="s">
        <v>498</v>
      </c>
      <c r="C1330" s="12" t="s">
        <v>1124</v>
      </c>
      <c r="D1330" s="58"/>
      <c r="E1330" s="43" t="str">
        <f>HYPERLINK("https://www.google.ru/search?q=28833-1195&amp;newwindow=1&amp;tbm=isch","Еще фото")</f>
        <v>Еще фото</v>
      </c>
      <c r="F1330" s="14"/>
      <c r="G1330" s="24" t="s">
        <v>237</v>
      </c>
      <c r="H1330" s="24" t="s">
        <v>27</v>
      </c>
      <c r="I1330" s="24" t="s">
        <v>237</v>
      </c>
      <c r="J1330" s="15" t="s">
        <v>37</v>
      </c>
      <c r="K1330" s="16" t="s">
        <v>57</v>
      </c>
      <c r="L1330" s="61"/>
      <c r="M1330" s="15"/>
      <c r="N1330" s="15" t="s">
        <v>138</v>
      </c>
      <c r="O1330" s="15"/>
      <c r="P1330" s="16" t="s">
        <v>1125</v>
      </c>
      <c r="Q1330" s="17">
        <v>14999</v>
      </c>
      <c r="R1330" s="18">
        <v>45</v>
      </c>
      <c r="S1330" s="19">
        <v>9486.8675000000003</v>
      </c>
      <c r="T1330" s="20" t="s">
        <v>75</v>
      </c>
      <c r="U1330" s="21" t="s">
        <v>359</v>
      </c>
      <c r="V1330" s="25" t="s">
        <v>96</v>
      </c>
      <c r="W1330" s="22">
        <v>2</v>
      </c>
      <c r="X1330" s="23"/>
    </row>
    <row r="1331" spans="1:24" s="1" customFormat="1" ht="26" customHeight="1" x14ac:dyDescent="0.3">
      <c r="A1331" s="24" t="s">
        <v>23</v>
      </c>
      <c r="B1331" s="24" t="s">
        <v>498</v>
      </c>
      <c r="C1331" s="12" t="s">
        <v>1124</v>
      </c>
      <c r="D1331" s="59"/>
      <c r="E1331" s="43" t="str">
        <f>HYPERLINK("https://www.google.ru/search?q=28833-1195&amp;newwindow=1&amp;tbm=isch","Еще фото")</f>
        <v>Еще фото</v>
      </c>
      <c r="F1331" s="14"/>
      <c r="G1331" s="24" t="s">
        <v>237</v>
      </c>
      <c r="H1331" s="24" t="s">
        <v>27</v>
      </c>
      <c r="I1331" s="24" t="s">
        <v>237</v>
      </c>
      <c r="J1331" s="15" t="s">
        <v>37</v>
      </c>
      <c r="K1331" s="16" t="s">
        <v>57</v>
      </c>
      <c r="L1331" s="62"/>
      <c r="M1331" s="15"/>
      <c r="N1331" s="15" t="s">
        <v>138</v>
      </c>
      <c r="O1331" s="15"/>
      <c r="P1331" s="16" t="s">
        <v>1125</v>
      </c>
      <c r="Q1331" s="17">
        <v>14999</v>
      </c>
      <c r="R1331" s="18">
        <v>45</v>
      </c>
      <c r="S1331" s="19">
        <v>9486.8675000000003</v>
      </c>
      <c r="T1331" s="20" t="s">
        <v>75</v>
      </c>
      <c r="U1331" s="21" t="s">
        <v>100</v>
      </c>
      <c r="V1331" s="22">
        <v>50</v>
      </c>
      <c r="W1331" s="22">
        <v>1</v>
      </c>
      <c r="X1331" s="23"/>
    </row>
    <row r="1332" spans="1:24" s="1" customFormat="1" ht="11" customHeight="1" x14ac:dyDescent="0.3">
      <c r="A1332" s="11" t="s">
        <v>23</v>
      </c>
      <c r="B1332" s="11" t="s">
        <v>1126</v>
      </c>
      <c r="C1332" s="12" t="s">
        <v>1127</v>
      </c>
      <c r="D1332" s="57"/>
      <c r="E1332" s="43" t="str">
        <f t="shared" ref="E1332:E1342" si="85">HYPERLINK("https://www.google.ru/search?q=28833-1262&amp;newwindow=1&amp;tbm=isch","Еще фото")</f>
        <v>Еще фото</v>
      </c>
      <c r="F1332" s="34" t="s">
        <v>469</v>
      </c>
      <c r="G1332" s="11" t="s">
        <v>237</v>
      </c>
      <c r="H1332" s="11" t="s">
        <v>27</v>
      </c>
      <c r="I1332" s="15" t="s">
        <v>237</v>
      </c>
      <c r="J1332" s="15" t="s">
        <v>37</v>
      </c>
      <c r="K1332" s="16" t="s">
        <v>57</v>
      </c>
      <c r="L1332" s="60" t="s">
        <v>518</v>
      </c>
      <c r="M1332" s="15"/>
      <c r="N1332" s="15" t="s">
        <v>87</v>
      </c>
      <c r="O1332" s="15"/>
      <c r="P1332" s="16" t="s">
        <v>1128</v>
      </c>
      <c r="Q1332" s="17">
        <v>10199</v>
      </c>
      <c r="R1332" s="18">
        <v>45</v>
      </c>
      <c r="S1332" s="19">
        <v>6450.8674999999994</v>
      </c>
      <c r="T1332" s="20" t="s">
        <v>75</v>
      </c>
      <c r="U1332" s="21" t="s">
        <v>173</v>
      </c>
      <c r="V1332" s="25" t="s">
        <v>63</v>
      </c>
      <c r="W1332" s="22">
        <v>21</v>
      </c>
      <c r="X1332" s="23"/>
    </row>
    <row r="1333" spans="1:24" s="1" customFormat="1" ht="11" customHeight="1" x14ac:dyDescent="0.3">
      <c r="A1333" s="24" t="s">
        <v>23</v>
      </c>
      <c r="B1333" s="24" t="s">
        <v>1126</v>
      </c>
      <c r="C1333" s="12" t="s">
        <v>1127</v>
      </c>
      <c r="D1333" s="58"/>
      <c r="E1333" s="43" t="str">
        <f t="shared" si="85"/>
        <v>Еще фото</v>
      </c>
      <c r="F1333" s="34" t="s">
        <v>469</v>
      </c>
      <c r="G1333" s="24" t="s">
        <v>237</v>
      </c>
      <c r="H1333" s="24" t="s">
        <v>27</v>
      </c>
      <c r="I1333" s="24" t="s">
        <v>237</v>
      </c>
      <c r="J1333" s="15" t="s">
        <v>37</v>
      </c>
      <c r="K1333" s="16" t="s">
        <v>57</v>
      </c>
      <c r="L1333" s="61"/>
      <c r="M1333" s="15"/>
      <c r="N1333" s="15" t="s">
        <v>87</v>
      </c>
      <c r="O1333" s="15"/>
      <c r="P1333" s="16" t="s">
        <v>1128</v>
      </c>
      <c r="Q1333" s="17">
        <v>10199</v>
      </c>
      <c r="R1333" s="18">
        <v>45</v>
      </c>
      <c r="S1333" s="19">
        <v>6450.8674999999994</v>
      </c>
      <c r="T1333" s="20" t="s">
        <v>75</v>
      </c>
      <c r="U1333" s="21" t="s">
        <v>53</v>
      </c>
      <c r="V1333" s="22">
        <v>46</v>
      </c>
      <c r="W1333" s="22">
        <v>39</v>
      </c>
      <c r="X1333" s="23"/>
    </row>
    <row r="1334" spans="1:24" s="1" customFormat="1" ht="11" customHeight="1" x14ac:dyDescent="0.3">
      <c r="A1334" s="24" t="s">
        <v>23</v>
      </c>
      <c r="B1334" s="24" t="s">
        <v>1126</v>
      </c>
      <c r="C1334" s="12" t="s">
        <v>1127</v>
      </c>
      <c r="D1334" s="58"/>
      <c r="E1334" s="43" t="str">
        <f t="shared" si="85"/>
        <v>Еще фото</v>
      </c>
      <c r="F1334" s="34" t="s">
        <v>469</v>
      </c>
      <c r="G1334" s="24" t="s">
        <v>237</v>
      </c>
      <c r="H1334" s="24" t="s">
        <v>27</v>
      </c>
      <c r="I1334" s="24" t="s">
        <v>237</v>
      </c>
      <c r="J1334" s="15" t="s">
        <v>37</v>
      </c>
      <c r="K1334" s="16" t="s">
        <v>57</v>
      </c>
      <c r="L1334" s="61"/>
      <c r="M1334" s="15"/>
      <c r="N1334" s="15" t="s">
        <v>87</v>
      </c>
      <c r="O1334" s="15"/>
      <c r="P1334" s="16" t="s">
        <v>1128</v>
      </c>
      <c r="Q1334" s="17">
        <v>10199</v>
      </c>
      <c r="R1334" s="18">
        <v>45</v>
      </c>
      <c r="S1334" s="19">
        <v>6450.8674999999994</v>
      </c>
      <c r="T1334" s="20" t="s">
        <v>75</v>
      </c>
      <c r="U1334" s="21" t="s">
        <v>143</v>
      </c>
      <c r="V1334" s="22">
        <v>46</v>
      </c>
      <c r="W1334" s="22">
        <v>2</v>
      </c>
      <c r="X1334" s="23"/>
    </row>
    <row r="1335" spans="1:24" s="1" customFormat="1" ht="11" customHeight="1" x14ac:dyDescent="0.3">
      <c r="A1335" s="24" t="s">
        <v>23</v>
      </c>
      <c r="B1335" s="24" t="s">
        <v>1126</v>
      </c>
      <c r="C1335" s="12" t="s">
        <v>1127</v>
      </c>
      <c r="D1335" s="58"/>
      <c r="E1335" s="43" t="str">
        <f t="shared" si="85"/>
        <v>Еще фото</v>
      </c>
      <c r="F1335" s="34" t="s">
        <v>469</v>
      </c>
      <c r="G1335" s="24" t="s">
        <v>237</v>
      </c>
      <c r="H1335" s="24" t="s">
        <v>27</v>
      </c>
      <c r="I1335" s="24" t="s">
        <v>237</v>
      </c>
      <c r="J1335" s="15" t="s">
        <v>37</v>
      </c>
      <c r="K1335" s="16" t="s">
        <v>57</v>
      </c>
      <c r="L1335" s="61"/>
      <c r="M1335" s="15"/>
      <c r="N1335" s="15" t="s">
        <v>87</v>
      </c>
      <c r="O1335" s="15"/>
      <c r="P1335" s="16" t="s">
        <v>1128</v>
      </c>
      <c r="Q1335" s="17">
        <v>10199</v>
      </c>
      <c r="R1335" s="18">
        <v>45</v>
      </c>
      <c r="S1335" s="19">
        <v>6450.8674999999994</v>
      </c>
      <c r="T1335" s="20" t="s">
        <v>75</v>
      </c>
      <c r="U1335" s="21" t="s">
        <v>188</v>
      </c>
      <c r="V1335" s="25" t="s">
        <v>65</v>
      </c>
      <c r="W1335" s="22">
        <v>1</v>
      </c>
      <c r="X1335" s="23"/>
    </row>
    <row r="1336" spans="1:24" s="1" customFormat="1" ht="11" customHeight="1" x14ac:dyDescent="0.3">
      <c r="A1336" s="24" t="s">
        <v>23</v>
      </c>
      <c r="B1336" s="24" t="s">
        <v>1126</v>
      </c>
      <c r="C1336" s="12" t="s">
        <v>1127</v>
      </c>
      <c r="D1336" s="58"/>
      <c r="E1336" s="43" t="str">
        <f t="shared" si="85"/>
        <v>Еще фото</v>
      </c>
      <c r="F1336" s="34" t="s">
        <v>469</v>
      </c>
      <c r="G1336" s="24" t="s">
        <v>237</v>
      </c>
      <c r="H1336" s="24" t="s">
        <v>27</v>
      </c>
      <c r="I1336" s="24" t="s">
        <v>237</v>
      </c>
      <c r="J1336" s="15" t="s">
        <v>37</v>
      </c>
      <c r="K1336" s="16" t="s">
        <v>57</v>
      </c>
      <c r="L1336" s="61"/>
      <c r="M1336" s="15"/>
      <c r="N1336" s="15" t="s">
        <v>87</v>
      </c>
      <c r="O1336" s="15"/>
      <c r="P1336" s="16" t="s">
        <v>1128</v>
      </c>
      <c r="Q1336" s="17">
        <v>10199</v>
      </c>
      <c r="R1336" s="18">
        <v>45</v>
      </c>
      <c r="S1336" s="19">
        <v>6450.8674999999994</v>
      </c>
      <c r="T1336" s="20" t="s">
        <v>75</v>
      </c>
      <c r="U1336" s="21" t="s">
        <v>109</v>
      </c>
      <c r="V1336" s="25" t="s">
        <v>65</v>
      </c>
      <c r="W1336" s="22">
        <v>35</v>
      </c>
      <c r="X1336" s="23"/>
    </row>
    <row r="1337" spans="1:24" s="1" customFormat="1" ht="11" customHeight="1" x14ac:dyDescent="0.3">
      <c r="A1337" s="24" t="s">
        <v>23</v>
      </c>
      <c r="B1337" s="24" t="s">
        <v>1126</v>
      </c>
      <c r="C1337" s="12" t="s">
        <v>1127</v>
      </c>
      <c r="D1337" s="58"/>
      <c r="E1337" s="43" t="str">
        <f t="shared" si="85"/>
        <v>Еще фото</v>
      </c>
      <c r="F1337" s="34" t="s">
        <v>469</v>
      </c>
      <c r="G1337" s="24" t="s">
        <v>237</v>
      </c>
      <c r="H1337" s="24" t="s">
        <v>27</v>
      </c>
      <c r="I1337" s="24" t="s">
        <v>237</v>
      </c>
      <c r="J1337" s="15" t="s">
        <v>37</v>
      </c>
      <c r="K1337" s="16" t="s">
        <v>57</v>
      </c>
      <c r="L1337" s="61"/>
      <c r="M1337" s="15"/>
      <c r="N1337" s="15" t="s">
        <v>87</v>
      </c>
      <c r="O1337" s="15"/>
      <c r="P1337" s="16" t="s">
        <v>1128</v>
      </c>
      <c r="Q1337" s="17">
        <v>10199</v>
      </c>
      <c r="R1337" s="18">
        <v>45</v>
      </c>
      <c r="S1337" s="19">
        <v>6450.8674999999994</v>
      </c>
      <c r="T1337" s="20" t="s">
        <v>75</v>
      </c>
      <c r="U1337" s="21" t="s">
        <v>140</v>
      </c>
      <c r="V1337" s="25" t="s">
        <v>65</v>
      </c>
      <c r="W1337" s="22">
        <v>5</v>
      </c>
      <c r="X1337" s="23"/>
    </row>
    <row r="1338" spans="1:24" s="1" customFormat="1" ht="11" customHeight="1" x14ac:dyDescent="0.3">
      <c r="A1338" s="24" t="s">
        <v>23</v>
      </c>
      <c r="B1338" s="24" t="s">
        <v>1126</v>
      </c>
      <c r="C1338" s="12" t="s">
        <v>1127</v>
      </c>
      <c r="D1338" s="58"/>
      <c r="E1338" s="43" t="str">
        <f t="shared" si="85"/>
        <v>Еще фото</v>
      </c>
      <c r="F1338" s="34" t="s">
        <v>469</v>
      </c>
      <c r="G1338" s="24" t="s">
        <v>237</v>
      </c>
      <c r="H1338" s="24" t="s">
        <v>27</v>
      </c>
      <c r="I1338" s="24" t="s">
        <v>237</v>
      </c>
      <c r="J1338" s="15" t="s">
        <v>37</v>
      </c>
      <c r="K1338" s="16" t="s">
        <v>57</v>
      </c>
      <c r="L1338" s="61"/>
      <c r="M1338" s="15"/>
      <c r="N1338" s="15" t="s">
        <v>87</v>
      </c>
      <c r="O1338" s="15"/>
      <c r="P1338" s="16" t="s">
        <v>1128</v>
      </c>
      <c r="Q1338" s="17">
        <v>10199</v>
      </c>
      <c r="R1338" s="18">
        <v>45</v>
      </c>
      <c r="S1338" s="19">
        <v>6450.8674999999994</v>
      </c>
      <c r="T1338" s="20" t="s">
        <v>75</v>
      </c>
      <c r="U1338" s="21" t="s">
        <v>165</v>
      </c>
      <c r="V1338" s="22">
        <v>48</v>
      </c>
      <c r="W1338" s="22">
        <v>12</v>
      </c>
      <c r="X1338" s="23"/>
    </row>
    <row r="1339" spans="1:24" s="1" customFormat="1" ht="11" customHeight="1" x14ac:dyDescent="0.3">
      <c r="A1339" s="24" t="s">
        <v>23</v>
      </c>
      <c r="B1339" s="24" t="s">
        <v>1126</v>
      </c>
      <c r="C1339" s="12" t="s">
        <v>1127</v>
      </c>
      <c r="D1339" s="58"/>
      <c r="E1339" s="43" t="str">
        <f t="shared" si="85"/>
        <v>Еще фото</v>
      </c>
      <c r="F1339" s="34" t="s">
        <v>469</v>
      </c>
      <c r="G1339" s="24" t="s">
        <v>237</v>
      </c>
      <c r="H1339" s="24" t="s">
        <v>27</v>
      </c>
      <c r="I1339" s="24" t="s">
        <v>237</v>
      </c>
      <c r="J1339" s="15" t="s">
        <v>37</v>
      </c>
      <c r="K1339" s="16" t="s">
        <v>57</v>
      </c>
      <c r="L1339" s="61"/>
      <c r="M1339" s="15"/>
      <c r="N1339" s="15" t="s">
        <v>87</v>
      </c>
      <c r="O1339" s="15"/>
      <c r="P1339" s="16" t="s">
        <v>1128</v>
      </c>
      <c r="Q1339" s="17">
        <v>10199</v>
      </c>
      <c r="R1339" s="18">
        <v>45</v>
      </c>
      <c r="S1339" s="19">
        <v>6450.8674999999994</v>
      </c>
      <c r="T1339" s="20" t="s">
        <v>75</v>
      </c>
      <c r="U1339" s="21" t="s">
        <v>104</v>
      </c>
      <c r="V1339" s="22">
        <v>48</v>
      </c>
      <c r="W1339" s="22">
        <v>7</v>
      </c>
      <c r="X1339" s="23"/>
    </row>
    <row r="1340" spans="1:24" s="1" customFormat="1" ht="11" customHeight="1" x14ac:dyDescent="0.3">
      <c r="A1340" s="24" t="s">
        <v>23</v>
      </c>
      <c r="B1340" s="24" t="s">
        <v>1126</v>
      </c>
      <c r="C1340" s="12" t="s">
        <v>1127</v>
      </c>
      <c r="D1340" s="58"/>
      <c r="E1340" s="43" t="str">
        <f t="shared" si="85"/>
        <v>Еще фото</v>
      </c>
      <c r="F1340" s="34" t="s">
        <v>469</v>
      </c>
      <c r="G1340" s="24" t="s">
        <v>237</v>
      </c>
      <c r="H1340" s="24" t="s">
        <v>27</v>
      </c>
      <c r="I1340" s="24" t="s">
        <v>237</v>
      </c>
      <c r="J1340" s="15" t="s">
        <v>37</v>
      </c>
      <c r="K1340" s="16" t="s">
        <v>57</v>
      </c>
      <c r="L1340" s="61"/>
      <c r="M1340" s="15"/>
      <c r="N1340" s="15" t="s">
        <v>87</v>
      </c>
      <c r="O1340" s="15"/>
      <c r="P1340" s="16" t="s">
        <v>1128</v>
      </c>
      <c r="Q1340" s="17">
        <v>10199</v>
      </c>
      <c r="R1340" s="18">
        <v>45</v>
      </c>
      <c r="S1340" s="19">
        <v>6450.8674999999994</v>
      </c>
      <c r="T1340" s="20" t="s">
        <v>75</v>
      </c>
      <c r="U1340" s="21" t="s">
        <v>89</v>
      </c>
      <c r="V1340" s="22">
        <v>50</v>
      </c>
      <c r="W1340" s="22">
        <v>8</v>
      </c>
      <c r="X1340" s="23"/>
    </row>
    <row r="1341" spans="1:24" s="1" customFormat="1" ht="11" customHeight="1" x14ac:dyDescent="0.3">
      <c r="A1341" s="15" t="s">
        <v>23</v>
      </c>
      <c r="B1341" s="15" t="s">
        <v>1126</v>
      </c>
      <c r="C1341" s="12" t="s">
        <v>1127</v>
      </c>
      <c r="D1341" s="58"/>
      <c r="E1341" s="43" t="str">
        <f t="shared" si="85"/>
        <v>Еще фото</v>
      </c>
      <c r="F1341" s="35" t="s">
        <v>469</v>
      </c>
      <c r="G1341" s="15" t="s">
        <v>237</v>
      </c>
      <c r="H1341" s="15" t="s">
        <v>27</v>
      </c>
      <c r="I1341" s="15" t="s">
        <v>237</v>
      </c>
      <c r="J1341" s="15" t="s">
        <v>37</v>
      </c>
      <c r="K1341" s="15" t="s">
        <v>57</v>
      </c>
      <c r="L1341" s="61"/>
      <c r="M1341" s="15"/>
      <c r="N1341" s="15" t="s">
        <v>87</v>
      </c>
      <c r="O1341" s="15"/>
      <c r="P1341" s="15" t="s">
        <v>1128</v>
      </c>
      <c r="Q1341" s="27">
        <v>10199</v>
      </c>
      <c r="R1341" s="28">
        <v>45</v>
      </c>
      <c r="S1341" s="29">
        <v>6450.8674999999994</v>
      </c>
      <c r="T1341" s="20" t="s">
        <v>75</v>
      </c>
      <c r="U1341" s="21" t="s">
        <v>100</v>
      </c>
      <c r="V1341" s="22">
        <v>50</v>
      </c>
      <c r="W1341" s="22">
        <v>4</v>
      </c>
      <c r="X1341" s="23"/>
    </row>
    <row r="1342" spans="1:24" s="1" customFormat="1" ht="11" customHeight="1" x14ac:dyDescent="0.3">
      <c r="A1342" s="15" t="s">
        <v>23</v>
      </c>
      <c r="B1342" s="15" t="s">
        <v>1126</v>
      </c>
      <c r="C1342" s="12" t="s">
        <v>1127</v>
      </c>
      <c r="D1342" s="59"/>
      <c r="E1342" s="43" t="str">
        <f t="shared" si="85"/>
        <v>Еще фото</v>
      </c>
      <c r="F1342" s="35" t="s">
        <v>469</v>
      </c>
      <c r="G1342" s="15" t="s">
        <v>237</v>
      </c>
      <c r="H1342" s="15" t="s">
        <v>27</v>
      </c>
      <c r="I1342" s="15" t="s">
        <v>237</v>
      </c>
      <c r="J1342" s="15" t="s">
        <v>37</v>
      </c>
      <c r="K1342" s="15" t="s">
        <v>57</v>
      </c>
      <c r="L1342" s="62"/>
      <c r="M1342" s="15"/>
      <c r="N1342" s="15" t="s">
        <v>87</v>
      </c>
      <c r="O1342" s="15"/>
      <c r="P1342" s="15" t="s">
        <v>1128</v>
      </c>
      <c r="Q1342" s="27">
        <v>10199</v>
      </c>
      <c r="R1342" s="28">
        <v>45</v>
      </c>
      <c r="S1342" s="29">
        <v>6450.8674999999994</v>
      </c>
      <c r="T1342" s="20" t="s">
        <v>75</v>
      </c>
      <c r="U1342" s="21" t="s">
        <v>167</v>
      </c>
      <c r="V1342" s="22">
        <v>52</v>
      </c>
      <c r="W1342" s="22">
        <v>13</v>
      </c>
      <c r="X1342" s="23"/>
    </row>
    <row r="1343" spans="1:24" s="1" customFormat="1" ht="108" customHeight="1" x14ac:dyDescent="0.3">
      <c r="A1343" s="11" t="s">
        <v>23</v>
      </c>
      <c r="B1343" s="11" t="s">
        <v>674</v>
      </c>
      <c r="C1343" s="12" t="s">
        <v>1129</v>
      </c>
      <c r="D1343" s="13"/>
      <c r="E1343" s="43" t="str">
        <f>HYPERLINK("https://www.google.ru/search?q=28833-1310&amp;newwindow=1&amp;tbm=isch","Еще фото")</f>
        <v>Еще фото</v>
      </c>
      <c r="F1343" s="14"/>
      <c r="G1343" s="11" t="s">
        <v>237</v>
      </c>
      <c r="H1343" s="11" t="s">
        <v>27</v>
      </c>
      <c r="I1343" s="15" t="s">
        <v>237</v>
      </c>
      <c r="J1343" s="15" t="s">
        <v>37</v>
      </c>
      <c r="K1343" s="16" t="s">
        <v>57</v>
      </c>
      <c r="L1343" s="15" t="s">
        <v>500</v>
      </c>
      <c r="M1343" s="15"/>
      <c r="N1343" s="15" t="s">
        <v>130</v>
      </c>
      <c r="O1343" s="15"/>
      <c r="P1343" s="16" t="s">
        <v>358</v>
      </c>
      <c r="Q1343" s="17">
        <v>15899</v>
      </c>
      <c r="R1343" s="18">
        <v>45</v>
      </c>
      <c r="S1343" s="19">
        <v>10056.1175</v>
      </c>
      <c r="T1343" s="20" t="s">
        <v>75</v>
      </c>
      <c r="U1343" s="21" t="s">
        <v>53</v>
      </c>
      <c r="V1343" s="22">
        <v>46</v>
      </c>
      <c r="W1343" s="22">
        <v>2</v>
      </c>
      <c r="X1343" s="23"/>
    </row>
    <row r="1344" spans="1:24" s="1" customFormat="1" ht="108" customHeight="1" x14ac:dyDescent="0.3">
      <c r="A1344" s="11" t="s">
        <v>23</v>
      </c>
      <c r="B1344" s="11" t="s">
        <v>1130</v>
      </c>
      <c r="C1344" s="12" t="s">
        <v>1131</v>
      </c>
      <c r="D1344" s="13"/>
      <c r="E1344" s="43" t="str">
        <f>HYPERLINK("https://www.google.ru/search?q=28833-1317&amp;newwindow=1&amp;tbm=isch","Еще фото")</f>
        <v>Еще фото</v>
      </c>
      <c r="F1344" s="14"/>
      <c r="G1344" s="11" t="s">
        <v>237</v>
      </c>
      <c r="H1344" s="11" t="s">
        <v>27</v>
      </c>
      <c r="I1344" s="15" t="s">
        <v>237</v>
      </c>
      <c r="J1344" s="15" t="s">
        <v>37</v>
      </c>
      <c r="K1344" s="16" t="s">
        <v>57</v>
      </c>
      <c r="L1344" s="15" t="s">
        <v>570</v>
      </c>
      <c r="M1344" s="15"/>
      <c r="N1344" s="15" t="s">
        <v>130</v>
      </c>
      <c r="O1344" s="15"/>
      <c r="P1344" s="16" t="s">
        <v>358</v>
      </c>
      <c r="Q1344" s="17">
        <v>10199</v>
      </c>
      <c r="R1344" s="18">
        <v>45</v>
      </c>
      <c r="S1344" s="19">
        <v>6450.8674999999994</v>
      </c>
      <c r="T1344" s="20" t="s">
        <v>75</v>
      </c>
      <c r="U1344" s="21" t="s">
        <v>165</v>
      </c>
      <c r="V1344" s="22">
        <v>48</v>
      </c>
      <c r="W1344" s="22">
        <v>1</v>
      </c>
      <c r="X1344" s="23"/>
    </row>
    <row r="1345" spans="1:24" s="1" customFormat="1" ht="21" customHeight="1" x14ac:dyDescent="0.3">
      <c r="A1345" s="11" t="s">
        <v>23</v>
      </c>
      <c r="B1345" s="11" t="s">
        <v>1132</v>
      </c>
      <c r="C1345" s="30" t="s">
        <v>1133</v>
      </c>
      <c r="D1345" s="57"/>
      <c r="E1345" s="43" t="str">
        <f>HYPERLINK("https://www.google.ru/search?q=28833-1364&amp;newwindow=1&amp;tbm=isch","Еще фото")</f>
        <v>Еще фото</v>
      </c>
      <c r="F1345" s="14"/>
      <c r="G1345" s="11" t="s">
        <v>237</v>
      </c>
      <c r="H1345" s="11" t="s">
        <v>27</v>
      </c>
      <c r="I1345" s="15" t="s">
        <v>237</v>
      </c>
      <c r="J1345" s="15" t="s">
        <v>37</v>
      </c>
      <c r="K1345" s="16" t="s">
        <v>57</v>
      </c>
      <c r="L1345" s="60" t="s">
        <v>518</v>
      </c>
      <c r="M1345" s="15"/>
      <c r="N1345" s="15" t="s">
        <v>156</v>
      </c>
      <c r="O1345" s="15"/>
      <c r="P1345" s="16" t="s">
        <v>254</v>
      </c>
      <c r="Q1345" s="17">
        <v>18799</v>
      </c>
      <c r="R1345" s="18">
        <v>45</v>
      </c>
      <c r="S1345" s="19">
        <v>11890.3675</v>
      </c>
      <c r="T1345" s="20" t="s">
        <v>75</v>
      </c>
      <c r="U1345" s="21" t="s">
        <v>53</v>
      </c>
      <c r="V1345" s="22">
        <v>46</v>
      </c>
      <c r="W1345" s="22">
        <v>2</v>
      </c>
      <c r="X1345" s="23"/>
    </row>
    <row r="1346" spans="1:24" s="1" customFormat="1" ht="21" customHeight="1" x14ac:dyDescent="0.3">
      <c r="A1346" s="24" t="s">
        <v>23</v>
      </c>
      <c r="B1346" s="24" t="s">
        <v>1132</v>
      </c>
      <c r="C1346" s="31" t="s">
        <v>1133</v>
      </c>
      <c r="D1346" s="58"/>
      <c r="E1346" s="43" t="str">
        <f>HYPERLINK("https://www.google.ru/search?q=28833-1364&amp;newwindow=1&amp;tbm=isch","Еще фото")</f>
        <v>Еще фото</v>
      </c>
      <c r="F1346" s="14"/>
      <c r="G1346" s="24" t="s">
        <v>237</v>
      </c>
      <c r="H1346" s="24" t="s">
        <v>27</v>
      </c>
      <c r="I1346" s="24" t="s">
        <v>237</v>
      </c>
      <c r="J1346" s="15" t="s">
        <v>37</v>
      </c>
      <c r="K1346" s="16" t="s">
        <v>57</v>
      </c>
      <c r="L1346" s="61"/>
      <c r="M1346" s="15"/>
      <c r="N1346" s="15" t="s">
        <v>156</v>
      </c>
      <c r="O1346" s="15"/>
      <c r="P1346" s="16" t="s">
        <v>254</v>
      </c>
      <c r="Q1346" s="17">
        <v>18799</v>
      </c>
      <c r="R1346" s="18">
        <v>45</v>
      </c>
      <c r="S1346" s="19">
        <v>11890.3675</v>
      </c>
      <c r="T1346" s="20" t="s">
        <v>75</v>
      </c>
      <c r="U1346" s="21" t="s">
        <v>104</v>
      </c>
      <c r="V1346" s="22">
        <v>48</v>
      </c>
      <c r="W1346" s="22">
        <v>1</v>
      </c>
      <c r="X1346" s="23"/>
    </row>
    <row r="1347" spans="1:24" s="1" customFormat="1" ht="21" customHeight="1" x14ac:dyDescent="0.3">
      <c r="A1347" s="24" t="s">
        <v>23</v>
      </c>
      <c r="B1347" s="24" t="s">
        <v>1132</v>
      </c>
      <c r="C1347" s="31" t="s">
        <v>1133</v>
      </c>
      <c r="D1347" s="58"/>
      <c r="E1347" s="43" t="str">
        <f>HYPERLINK("https://www.google.ru/search?q=28833-1364&amp;newwindow=1&amp;tbm=isch","Еще фото")</f>
        <v>Еще фото</v>
      </c>
      <c r="F1347" s="14"/>
      <c r="G1347" s="24" t="s">
        <v>237</v>
      </c>
      <c r="H1347" s="24" t="s">
        <v>27</v>
      </c>
      <c r="I1347" s="24" t="s">
        <v>237</v>
      </c>
      <c r="J1347" s="15" t="s">
        <v>37</v>
      </c>
      <c r="K1347" s="16" t="s">
        <v>57</v>
      </c>
      <c r="L1347" s="61"/>
      <c r="M1347" s="15"/>
      <c r="N1347" s="15" t="s">
        <v>156</v>
      </c>
      <c r="O1347" s="15"/>
      <c r="P1347" s="16" t="s">
        <v>254</v>
      </c>
      <c r="Q1347" s="17">
        <v>18799</v>
      </c>
      <c r="R1347" s="18">
        <v>45</v>
      </c>
      <c r="S1347" s="19">
        <v>11890.3675</v>
      </c>
      <c r="T1347" s="20" t="s">
        <v>75</v>
      </c>
      <c r="U1347" s="21" t="s">
        <v>166</v>
      </c>
      <c r="V1347" s="25" t="s">
        <v>96</v>
      </c>
      <c r="W1347" s="22">
        <v>2</v>
      </c>
      <c r="X1347" s="23"/>
    </row>
    <row r="1348" spans="1:24" s="1" customFormat="1" ht="21" customHeight="1" x14ac:dyDescent="0.3">
      <c r="A1348" s="24" t="s">
        <v>23</v>
      </c>
      <c r="B1348" s="24" t="s">
        <v>1132</v>
      </c>
      <c r="C1348" s="31" t="s">
        <v>1133</v>
      </c>
      <c r="D1348" s="58"/>
      <c r="E1348" s="43" t="str">
        <f>HYPERLINK("https://www.google.ru/search?q=28833-1364&amp;newwindow=1&amp;tbm=isch","Еще фото")</f>
        <v>Еще фото</v>
      </c>
      <c r="F1348" s="14"/>
      <c r="G1348" s="24" t="s">
        <v>237</v>
      </c>
      <c r="H1348" s="24" t="s">
        <v>27</v>
      </c>
      <c r="I1348" s="24" t="s">
        <v>237</v>
      </c>
      <c r="J1348" s="15" t="s">
        <v>37</v>
      </c>
      <c r="K1348" s="16" t="s">
        <v>57</v>
      </c>
      <c r="L1348" s="61"/>
      <c r="M1348" s="15"/>
      <c r="N1348" s="15" t="s">
        <v>156</v>
      </c>
      <c r="O1348" s="15"/>
      <c r="P1348" s="16" t="s">
        <v>254</v>
      </c>
      <c r="Q1348" s="17">
        <v>18799</v>
      </c>
      <c r="R1348" s="18">
        <v>45</v>
      </c>
      <c r="S1348" s="19">
        <v>11890.3675</v>
      </c>
      <c r="T1348" s="20" t="s">
        <v>75</v>
      </c>
      <c r="U1348" s="21" t="s">
        <v>100</v>
      </c>
      <c r="V1348" s="22">
        <v>50</v>
      </c>
      <c r="W1348" s="22">
        <v>1</v>
      </c>
      <c r="X1348" s="23"/>
    </row>
    <row r="1349" spans="1:24" s="1" customFormat="1" ht="32" customHeight="1" x14ac:dyDescent="0.3">
      <c r="A1349" s="24" t="s">
        <v>23</v>
      </c>
      <c r="B1349" s="24" t="s">
        <v>1132</v>
      </c>
      <c r="C1349" s="31" t="s">
        <v>1133</v>
      </c>
      <c r="D1349" s="59"/>
      <c r="E1349" s="43" t="str">
        <f>HYPERLINK("https://www.google.ru/search?q=28833-1364&amp;newwindow=1&amp;tbm=isch","Еще фото")</f>
        <v>Еще фото</v>
      </c>
      <c r="F1349" s="14"/>
      <c r="G1349" s="24" t="s">
        <v>237</v>
      </c>
      <c r="H1349" s="24" t="s">
        <v>27</v>
      </c>
      <c r="I1349" s="24" t="s">
        <v>237</v>
      </c>
      <c r="J1349" s="15" t="s">
        <v>37</v>
      </c>
      <c r="K1349" s="16" t="s">
        <v>57</v>
      </c>
      <c r="L1349" s="62"/>
      <c r="M1349" s="15"/>
      <c r="N1349" s="15" t="s">
        <v>156</v>
      </c>
      <c r="O1349" s="15"/>
      <c r="P1349" s="16" t="s">
        <v>254</v>
      </c>
      <c r="Q1349" s="17">
        <v>18799</v>
      </c>
      <c r="R1349" s="18">
        <v>45</v>
      </c>
      <c r="S1349" s="19">
        <v>11890.3675</v>
      </c>
      <c r="T1349" s="20" t="s">
        <v>75</v>
      </c>
      <c r="U1349" s="21" t="s">
        <v>167</v>
      </c>
      <c r="V1349" s="22">
        <v>52</v>
      </c>
      <c r="W1349" s="22">
        <v>2</v>
      </c>
      <c r="X1349" s="23"/>
    </row>
    <row r="1350" spans="1:24" s="1" customFormat="1" ht="108" customHeight="1" x14ac:dyDescent="0.3">
      <c r="A1350" s="11" t="s">
        <v>23</v>
      </c>
      <c r="B1350" s="11" t="s">
        <v>1134</v>
      </c>
      <c r="C1350" s="12" t="s">
        <v>1135</v>
      </c>
      <c r="D1350" s="13"/>
      <c r="E1350" s="43" t="str">
        <f>HYPERLINK("https://www.google.ru/search?q=28833-1454&amp;newwindow=1&amp;tbm=isch","Еще фото")</f>
        <v>Еще фото</v>
      </c>
      <c r="F1350" s="14"/>
      <c r="G1350" s="11" t="s">
        <v>237</v>
      </c>
      <c r="H1350" s="11" t="s">
        <v>27</v>
      </c>
      <c r="I1350" s="15" t="s">
        <v>237</v>
      </c>
      <c r="J1350" s="15" t="s">
        <v>28</v>
      </c>
      <c r="K1350" s="16" t="s">
        <v>57</v>
      </c>
      <c r="L1350" s="15" t="s">
        <v>1112</v>
      </c>
      <c r="M1350" s="15"/>
      <c r="N1350" s="15" t="s">
        <v>130</v>
      </c>
      <c r="O1350" s="15"/>
      <c r="P1350" s="16" t="s">
        <v>891</v>
      </c>
      <c r="Q1350" s="17">
        <v>10199</v>
      </c>
      <c r="R1350" s="18">
        <v>45</v>
      </c>
      <c r="S1350" s="19">
        <v>6450.8674999999994</v>
      </c>
      <c r="T1350" s="20" t="s">
        <v>75</v>
      </c>
      <c r="U1350" s="21" t="s">
        <v>169</v>
      </c>
      <c r="V1350" s="22">
        <v>54</v>
      </c>
      <c r="W1350" s="22">
        <v>1</v>
      </c>
      <c r="X1350" s="23"/>
    </row>
    <row r="1351" spans="1:24" s="1" customFormat="1" ht="21" customHeight="1" x14ac:dyDescent="0.3">
      <c r="A1351" s="11" t="s">
        <v>23</v>
      </c>
      <c r="B1351" s="11" t="s">
        <v>1136</v>
      </c>
      <c r="C1351" s="30" t="s">
        <v>1137</v>
      </c>
      <c r="D1351" s="57"/>
      <c r="E1351" s="43" t="str">
        <f>HYPERLINK("https://www.google.ru/search?q=28833-1456&amp;newwindow=1&amp;tbm=isch","Еще фото")</f>
        <v>Еще фото</v>
      </c>
      <c r="F1351" s="14"/>
      <c r="G1351" s="11" t="s">
        <v>237</v>
      </c>
      <c r="H1351" s="11" t="s">
        <v>27</v>
      </c>
      <c r="I1351" s="15" t="s">
        <v>237</v>
      </c>
      <c r="J1351" s="15" t="s">
        <v>28</v>
      </c>
      <c r="K1351" s="16" t="s">
        <v>57</v>
      </c>
      <c r="L1351" s="60" t="s">
        <v>570</v>
      </c>
      <c r="M1351" s="15"/>
      <c r="N1351" s="15" t="s">
        <v>130</v>
      </c>
      <c r="O1351" s="15"/>
      <c r="P1351" s="16" t="s">
        <v>891</v>
      </c>
      <c r="Q1351" s="17">
        <v>10199</v>
      </c>
      <c r="R1351" s="18">
        <v>45</v>
      </c>
      <c r="S1351" s="19">
        <v>6450.8674999999994</v>
      </c>
      <c r="T1351" s="20" t="s">
        <v>75</v>
      </c>
      <c r="U1351" s="21" t="s">
        <v>173</v>
      </c>
      <c r="V1351" s="25" t="s">
        <v>63</v>
      </c>
      <c r="W1351" s="22">
        <v>21</v>
      </c>
      <c r="X1351" s="23"/>
    </row>
    <row r="1352" spans="1:24" s="1" customFormat="1" ht="21" customHeight="1" x14ac:dyDescent="0.3">
      <c r="A1352" s="24" t="s">
        <v>23</v>
      </c>
      <c r="B1352" s="24" t="s">
        <v>1136</v>
      </c>
      <c r="C1352" s="31" t="s">
        <v>1137</v>
      </c>
      <c r="D1352" s="58"/>
      <c r="E1352" s="43" t="str">
        <f>HYPERLINK("https://www.google.ru/search?q=28833-1456&amp;newwindow=1&amp;tbm=isch","Еще фото")</f>
        <v>Еще фото</v>
      </c>
      <c r="F1352" s="14"/>
      <c r="G1352" s="24" t="s">
        <v>237</v>
      </c>
      <c r="H1352" s="24" t="s">
        <v>27</v>
      </c>
      <c r="I1352" s="24" t="s">
        <v>237</v>
      </c>
      <c r="J1352" s="15" t="s">
        <v>28</v>
      </c>
      <c r="K1352" s="16" t="s">
        <v>57</v>
      </c>
      <c r="L1352" s="61"/>
      <c r="M1352" s="15"/>
      <c r="N1352" s="15" t="s">
        <v>130</v>
      </c>
      <c r="O1352" s="15"/>
      <c r="P1352" s="16" t="s">
        <v>891</v>
      </c>
      <c r="Q1352" s="17">
        <v>10199</v>
      </c>
      <c r="R1352" s="18">
        <v>45</v>
      </c>
      <c r="S1352" s="19">
        <v>6450.8674999999994</v>
      </c>
      <c r="T1352" s="20" t="s">
        <v>75</v>
      </c>
      <c r="U1352" s="21" t="s">
        <v>53</v>
      </c>
      <c r="V1352" s="22">
        <v>46</v>
      </c>
      <c r="W1352" s="22">
        <v>23</v>
      </c>
      <c r="X1352" s="23"/>
    </row>
    <row r="1353" spans="1:24" s="1" customFormat="1" ht="21" customHeight="1" x14ac:dyDescent="0.3">
      <c r="A1353" s="24" t="s">
        <v>23</v>
      </c>
      <c r="B1353" s="24" t="s">
        <v>1136</v>
      </c>
      <c r="C1353" s="31" t="s">
        <v>1137</v>
      </c>
      <c r="D1353" s="58"/>
      <c r="E1353" s="43" t="str">
        <f>HYPERLINK("https://www.google.ru/search?q=28833-1456&amp;newwindow=1&amp;tbm=isch","Еще фото")</f>
        <v>Еще фото</v>
      </c>
      <c r="F1353" s="14"/>
      <c r="G1353" s="24" t="s">
        <v>237</v>
      </c>
      <c r="H1353" s="24" t="s">
        <v>27</v>
      </c>
      <c r="I1353" s="24" t="s">
        <v>237</v>
      </c>
      <c r="J1353" s="15" t="s">
        <v>28</v>
      </c>
      <c r="K1353" s="16" t="s">
        <v>57</v>
      </c>
      <c r="L1353" s="61"/>
      <c r="M1353" s="15"/>
      <c r="N1353" s="15" t="s">
        <v>130</v>
      </c>
      <c r="O1353" s="15"/>
      <c r="P1353" s="16" t="s">
        <v>891</v>
      </c>
      <c r="Q1353" s="17">
        <v>10199</v>
      </c>
      <c r="R1353" s="18">
        <v>45</v>
      </c>
      <c r="S1353" s="19">
        <v>6450.8674999999994</v>
      </c>
      <c r="T1353" s="20" t="s">
        <v>75</v>
      </c>
      <c r="U1353" s="21" t="s">
        <v>188</v>
      </c>
      <c r="V1353" s="25" t="s">
        <v>65</v>
      </c>
      <c r="W1353" s="22">
        <v>23</v>
      </c>
      <c r="X1353" s="23"/>
    </row>
    <row r="1354" spans="1:24" s="1" customFormat="1" ht="21" customHeight="1" x14ac:dyDescent="0.3">
      <c r="A1354" s="24" t="s">
        <v>23</v>
      </c>
      <c r="B1354" s="24" t="s">
        <v>1136</v>
      </c>
      <c r="C1354" s="31" t="s">
        <v>1137</v>
      </c>
      <c r="D1354" s="58"/>
      <c r="E1354" s="43" t="str">
        <f>HYPERLINK("https://www.google.ru/search?q=28833-1456&amp;newwindow=1&amp;tbm=isch","Еще фото")</f>
        <v>Еще фото</v>
      </c>
      <c r="F1354" s="14"/>
      <c r="G1354" s="24" t="s">
        <v>237</v>
      </c>
      <c r="H1354" s="24" t="s">
        <v>27</v>
      </c>
      <c r="I1354" s="24" t="s">
        <v>237</v>
      </c>
      <c r="J1354" s="15" t="s">
        <v>28</v>
      </c>
      <c r="K1354" s="16" t="s">
        <v>57</v>
      </c>
      <c r="L1354" s="61"/>
      <c r="M1354" s="15"/>
      <c r="N1354" s="15" t="s">
        <v>130</v>
      </c>
      <c r="O1354" s="15"/>
      <c r="P1354" s="16" t="s">
        <v>891</v>
      </c>
      <c r="Q1354" s="17">
        <v>10199</v>
      </c>
      <c r="R1354" s="18">
        <v>45</v>
      </c>
      <c r="S1354" s="19">
        <v>6450.8674999999994</v>
      </c>
      <c r="T1354" s="20" t="s">
        <v>75</v>
      </c>
      <c r="U1354" s="21" t="s">
        <v>95</v>
      </c>
      <c r="V1354" s="22">
        <v>48</v>
      </c>
      <c r="W1354" s="22">
        <v>13</v>
      </c>
      <c r="X1354" s="23"/>
    </row>
    <row r="1355" spans="1:24" s="1" customFormat="1" ht="32" customHeight="1" x14ac:dyDescent="0.3">
      <c r="A1355" s="24" t="s">
        <v>23</v>
      </c>
      <c r="B1355" s="24" t="s">
        <v>1136</v>
      </c>
      <c r="C1355" s="31" t="s">
        <v>1137</v>
      </c>
      <c r="D1355" s="59"/>
      <c r="E1355" s="43" t="str">
        <f>HYPERLINK("https://www.google.ru/search?q=28833-1456&amp;newwindow=1&amp;tbm=isch","Еще фото")</f>
        <v>Еще фото</v>
      </c>
      <c r="F1355" s="14"/>
      <c r="G1355" s="24" t="s">
        <v>237</v>
      </c>
      <c r="H1355" s="24" t="s">
        <v>27</v>
      </c>
      <c r="I1355" s="24" t="s">
        <v>237</v>
      </c>
      <c r="J1355" s="15" t="s">
        <v>28</v>
      </c>
      <c r="K1355" s="16" t="s">
        <v>57</v>
      </c>
      <c r="L1355" s="62"/>
      <c r="M1355" s="15"/>
      <c r="N1355" s="15" t="s">
        <v>130</v>
      </c>
      <c r="O1355" s="15"/>
      <c r="P1355" s="16" t="s">
        <v>891</v>
      </c>
      <c r="Q1355" s="17">
        <v>10199</v>
      </c>
      <c r="R1355" s="18">
        <v>45</v>
      </c>
      <c r="S1355" s="19">
        <v>6450.8674999999994</v>
      </c>
      <c r="T1355" s="20" t="s">
        <v>75</v>
      </c>
      <c r="U1355" s="21" t="s">
        <v>359</v>
      </c>
      <c r="V1355" s="25" t="s">
        <v>96</v>
      </c>
      <c r="W1355" s="22">
        <v>13</v>
      </c>
      <c r="X1355" s="23"/>
    </row>
    <row r="1356" spans="1:24" s="1" customFormat="1" ht="35" customHeight="1" x14ac:dyDescent="0.3">
      <c r="A1356" s="11" t="s">
        <v>23</v>
      </c>
      <c r="B1356" s="11" t="s">
        <v>711</v>
      </c>
      <c r="C1356" s="12" t="s">
        <v>1138</v>
      </c>
      <c r="D1356" s="57"/>
      <c r="E1356" s="43" t="str">
        <f>HYPERLINK("https://www.google.ru/search?q=28833-1538&amp;newwindow=1&amp;tbm=isch","Еще фото")</f>
        <v>Еще фото</v>
      </c>
      <c r="F1356" s="14" t="s">
        <v>182</v>
      </c>
      <c r="G1356" s="11" t="s">
        <v>237</v>
      </c>
      <c r="H1356" s="11" t="s">
        <v>27</v>
      </c>
      <c r="I1356" s="15" t="s">
        <v>237</v>
      </c>
      <c r="J1356" s="15" t="s">
        <v>37</v>
      </c>
      <c r="K1356" s="16" t="s">
        <v>57</v>
      </c>
      <c r="L1356" s="60" t="s">
        <v>570</v>
      </c>
      <c r="M1356" s="15"/>
      <c r="N1356" s="15" t="s">
        <v>39</v>
      </c>
      <c r="O1356" s="15"/>
      <c r="P1356" s="16" t="s">
        <v>254</v>
      </c>
      <c r="Q1356" s="17">
        <v>16799</v>
      </c>
      <c r="R1356" s="18">
        <v>45</v>
      </c>
      <c r="S1356" s="19">
        <v>10625.3675</v>
      </c>
      <c r="T1356" s="20" t="s">
        <v>75</v>
      </c>
      <c r="U1356" s="21" t="s">
        <v>140</v>
      </c>
      <c r="V1356" s="25" t="s">
        <v>65</v>
      </c>
      <c r="W1356" s="22">
        <v>4</v>
      </c>
      <c r="X1356" s="23"/>
    </row>
    <row r="1357" spans="1:24" s="1" customFormat="1" ht="35" customHeight="1" x14ac:dyDescent="0.3">
      <c r="A1357" s="24" t="s">
        <v>23</v>
      </c>
      <c r="B1357" s="24" t="s">
        <v>711</v>
      </c>
      <c r="C1357" s="12" t="s">
        <v>1138</v>
      </c>
      <c r="D1357" s="58"/>
      <c r="E1357" s="43" t="str">
        <f>HYPERLINK("https://www.google.ru/search?q=28833-1538&amp;newwindow=1&amp;tbm=isch","Еще фото")</f>
        <v>Еще фото</v>
      </c>
      <c r="F1357" s="14" t="s">
        <v>182</v>
      </c>
      <c r="G1357" s="24" t="s">
        <v>237</v>
      </c>
      <c r="H1357" s="24" t="s">
        <v>27</v>
      </c>
      <c r="I1357" s="24" t="s">
        <v>237</v>
      </c>
      <c r="J1357" s="15" t="s">
        <v>37</v>
      </c>
      <c r="K1357" s="16" t="s">
        <v>57</v>
      </c>
      <c r="L1357" s="61"/>
      <c r="M1357" s="15"/>
      <c r="N1357" s="15" t="s">
        <v>39</v>
      </c>
      <c r="O1357" s="15"/>
      <c r="P1357" s="16" t="s">
        <v>254</v>
      </c>
      <c r="Q1357" s="17">
        <v>16799</v>
      </c>
      <c r="R1357" s="18">
        <v>45</v>
      </c>
      <c r="S1357" s="19">
        <v>10625.3675</v>
      </c>
      <c r="T1357" s="20" t="s">
        <v>75</v>
      </c>
      <c r="U1357" s="21" t="s">
        <v>104</v>
      </c>
      <c r="V1357" s="22">
        <v>48</v>
      </c>
      <c r="W1357" s="22">
        <v>4</v>
      </c>
      <c r="X1357" s="23"/>
    </row>
    <row r="1358" spans="1:24" s="1" customFormat="1" ht="37.049999999999997" customHeight="1" x14ac:dyDescent="0.3">
      <c r="A1358" s="24" t="s">
        <v>23</v>
      </c>
      <c r="B1358" s="24" t="s">
        <v>711</v>
      </c>
      <c r="C1358" s="12" t="s">
        <v>1138</v>
      </c>
      <c r="D1358" s="59"/>
      <c r="E1358" s="43" t="str">
        <f>HYPERLINK("https://www.google.ru/search?q=28833-1538&amp;newwindow=1&amp;tbm=isch","Еще фото")</f>
        <v>Еще фото</v>
      </c>
      <c r="F1358" s="14" t="s">
        <v>182</v>
      </c>
      <c r="G1358" s="24" t="s">
        <v>237</v>
      </c>
      <c r="H1358" s="24" t="s">
        <v>27</v>
      </c>
      <c r="I1358" s="24" t="s">
        <v>237</v>
      </c>
      <c r="J1358" s="15" t="s">
        <v>37</v>
      </c>
      <c r="K1358" s="16" t="s">
        <v>57</v>
      </c>
      <c r="L1358" s="62"/>
      <c r="M1358" s="15"/>
      <c r="N1358" s="15" t="s">
        <v>39</v>
      </c>
      <c r="O1358" s="15"/>
      <c r="P1358" s="16" t="s">
        <v>254</v>
      </c>
      <c r="Q1358" s="17">
        <v>16799</v>
      </c>
      <c r="R1358" s="18">
        <v>45</v>
      </c>
      <c r="S1358" s="19">
        <v>10625.3675</v>
      </c>
      <c r="T1358" s="20" t="s">
        <v>75</v>
      </c>
      <c r="U1358" s="21" t="s">
        <v>100</v>
      </c>
      <c r="V1358" s="22">
        <v>50</v>
      </c>
      <c r="W1358" s="22">
        <v>2</v>
      </c>
      <c r="X1358" s="23"/>
    </row>
    <row r="1359" spans="1:24" s="1" customFormat="1" ht="21" customHeight="1" x14ac:dyDescent="0.3">
      <c r="A1359" s="11" t="s">
        <v>23</v>
      </c>
      <c r="B1359" s="11" t="s">
        <v>711</v>
      </c>
      <c r="C1359" s="30" t="s">
        <v>1139</v>
      </c>
      <c r="D1359" s="57"/>
      <c r="E1359" s="43" t="str">
        <f>HYPERLINK("https://www.google.ru/search?q=28833-1553&amp;newwindow=1&amp;tbm=isch","Еще фото")</f>
        <v>Еще фото</v>
      </c>
      <c r="F1359" s="14" t="s">
        <v>182</v>
      </c>
      <c r="G1359" s="11" t="s">
        <v>237</v>
      </c>
      <c r="H1359" s="11" t="s">
        <v>27</v>
      </c>
      <c r="I1359" s="15" t="s">
        <v>237</v>
      </c>
      <c r="J1359" s="15" t="s">
        <v>37</v>
      </c>
      <c r="K1359" s="16" t="s">
        <v>57</v>
      </c>
      <c r="L1359" s="60" t="s">
        <v>1112</v>
      </c>
      <c r="M1359" s="15"/>
      <c r="N1359" s="15" t="s">
        <v>87</v>
      </c>
      <c r="O1359" s="15"/>
      <c r="P1359" s="16" t="s">
        <v>802</v>
      </c>
      <c r="Q1359" s="17">
        <v>22099</v>
      </c>
      <c r="R1359" s="18">
        <v>45</v>
      </c>
      <c r="S1359" s="19">
        <v>13977.6175</v>
      </c>
      <c r="T1359" s="20" t="s">
        <v>75</v>
      </c>
      <c r="U1359" s="21" t="s">
        <v>140</v>
      </c>
      <c r="V1359" s="25" t="s">
        <v>65</v>
      </c>
      <c r="W1359" s="22">
        <v>4</v>
      </c>
      <c r="X1359" s="23"/>
    </row>
    <row r="1360" spans="1:24" s="1" customFormat="1" ht="21" customHeight="1" x14ac:dyDescent="0.3">
      <c r="A1360" s="24" t="s">
        <v>23</v>
      </c>
      <c r="B1360" s="24" t="s">
        <v>711</v>
      </c>
      <c r="C1360" s="31" t="s">
        <v>1139</v>
      </c>
      <c r="D1360" s="58"/>
      <c r="E1360" s="43" t="str">
        <f>HYPERLINK("https://www.google.ru/search?q=28833-1553&amp;newwindow=1&amp;tbm=isch","Еще фото")</f>
        <v>Еще фото</v>
      </c>
      <c r="F1360" s="14" t="s">
        <v>182</v>
      </c>
      <c r="G1360" s="24" t="s">
        <v>237</v>
      </c>
      <c r="H1360" s="24" t="s">
        <v>27</v>
      </c>
      <c r="I1360" s="24" t="s">
        <v>237</v>
      </c>
      <c r="J1360" s="15" t="s">
        <v>37</v>
      </c>
      <c r="K1360" s="16" t="s">
        <v>57</v>
      </c>
      <c r="L1360" s="61"/>
      <c r="M1360" s="15"/>
      <c r="N1360" s="15" t="s">
        <v>87</v>
      </c>
      <c r="O1360" s="15"/>
      <c r="P1360" s="16" t="s">
        <v>802</v>
      </c>
      <c r="Q1360" s="17">
        <v>22099</v>
      </c>
      <c r="R1360" s="18">
        <v>45</v>
      </c>
      <c r="S1360" s="19">
        <v>13977.6175</v>
      </c>
      <c r="T1360" s="20" t="s">
        <v>75</v>
      </c>
      <c r="U1360" s="21" t="s">
        <v>104</v>
      </c>
      <c r="V1360" s="22">
        <v>48</v>
      </c>
      <c r="W1360" s="22">
        <v>7</v>
      </c>
      <c r="X1360" s="23"/>
    </row>
    <row r="1361" spans="1:24" s="1" customFormat="1" ht="21" customHeight="1" x14ac:dyDescent="0.3">
      <c r="A1361" s="24" t="s">
        <v>23</v>
      </c>
      <c r="B1361" s="24" t="s">
        <v>711</v>
      </c>
      <c r="C1361" s="31" t="s">
        <v>1139</v>
      </c>
      <c r="D1361" s="58"/>
      <c r="E1361" s="43" t="str">
        <f>HYPERLINK("https://www.google.ru/search?q=28833-1553&amp;newwindow=1&amp;tbm=isch","Еще фото")</f>
        <v>Еще фото</v>
      </c>
      <c r="F1361" s="14" t="s">
        <v>182</v>
      </c>
      <c r="G1361" s="24" t="s">
        <v>237</v>
      </c>
      <c r="H1361" s="24" t="s">
        <v>27</v>
      </c>
      <c r="I1361" s="24" t="s">
        <v>237</v>
      </c>
      <c r="J1361" s="15" t="s">
        <v>37</v>
      </c>
      <c r="K1361" s="16" t="s">
        <v>57</v>
      </c>
      <c r="L1361" s="61"/>
      <c r="M1361" s="15"/>
      <c r="N1361" s="15" t="s">
        <v>87</v>
      </c>
      <c r="O1361" s="15"/>
      <c r="P1361" s="16" t="s">
        <v>802</v>
      </c>
      <c r="Q1361" s="17">
        <v>22099</v>
      </c>
      <c r="R1361" s="18">
        <v>45</v>
      </c>
      <c r="S1361" s="19">
        <v>13977.6175</v>
      </c>
      <c r="T1361" s="20" t="s">
        <v>75</v>
      </c>
      <c r="U1361" s="21" t="s">
        <v>359</v>
      </c>
      <c r="V1361" s="25" t="s">
        <v>96</v>
      </c>
      <c r="W1361" s="22">
        <v>6</v>
      </c>
      <c r="X1361" s="23"/>
    </row>
    <row r="1362" spans="1:24" s="1" customFormat="1" ht="21" customHeight="1" x14ac:dyDescent="0.3">
      <c r="A1362" s="24" t="s">
        <v>23</v>
      </c>
      <c r="B1362" s="24" t="s">
        <v>711</v>
      </c>
      <c r="C1362" s="31" t="s">
        <v>1139</v>
      </c>
      <c r="D1362" s="58"/>
      <c r="E1362" s="43" t="str">
        <f>HYPERLINK("https://www.google.ru/search?q=28833-1553&amp;newwindow=1&amp;tbm=isch","Еще фото")</f>
        <v>Еще фото</v>
      </c>
      <c r="F1362" s="14" t="s">
        <v>182</v>
      </c>
      <c r="G1362" s="24" t="s">
        <v>237</v>
      </c>
      <c r="H1362" s="24" t="s">
        <v>27</v>
      </c>
      <c r="I1362" s="24" t="s">
        <v>237</v>
      </c>
      <c r="J1362" s="15" t="s">
        <v>37</v>
      </c>
      <c r="K1362" s="16" t="s">
        <v>57</v>
      </c>
      <c r="L1362" s="61"/>
      <c r="M1362" s="15"/>
      <c r="N1362" s="15" t="s">
        <v>87</v>
      </c>
      <c r="O1362" s="15"/>
      <c r="P1362" s="16" t="s">
        <v>802</v>
      </c>
      <c r="Q1362" s="17">
        <v>22099</v>
      </c>
      <c r="R1362" s="18">
        <v>45</v>
      </c>
      <c r="S1362" s="19">
        <v>13977.6175</v>
      </c>
      <c r="T1362" s="20" t="s">
        <v>75</v>
      </c>
      <c r="U1362" s="21" t="s">
        <v>100</v>
      </c>
      <c r="V1362" s="22">
        <v>50</v>
      </c>
      <c r="W1362" s="22">
        <v>11</v>
      </c>
      <c r="X1362" s="23"/>
    </row>
    <row r="1363" spans="1:24" s="1" customFormat="1" ht="32" customHeight="1" x14ac:dyDescent="0.3">
      <c r="A1363" s="24" t="s">
        <v>23</v>
      </c>
      <c r="B1363" s="24" t="s">
        <v>711</v>
      </c>
      <c r="C1363" s="31" t="s">
        <v>1139</v>
      </c>
      <c r="D1363" s="59"/>
      <c r="E1363" s="43" t="str">
        <f>HYPERLINK("https://www.google.ru/search?q=28833-1553&amp;newwindow=1&amp;tbm=isch","Еще фото")</f>
        <v>Еще фото</v>
      </c>
      <c r="F1363" s="14" t="s">
        <v>182</v>
      </c>
      <c r="G1363" s="24" t="s">
        <v>237</v>
      </c>
      <c r="H1363" s="24" t="s">
        <v>27</v>
      </c>
      <c r="I1363" s="24" t="s">
        <v>237</v>
      </c>
      <c r="J1363" s="15" t="s">
        <v>37</v>
      </c>
      <c r="K1363" s="16" t="s">
        <v>57</v>
      </c>
      <c r="L1363" s="62"/>
      <c r="M1363" s="15"/>
      <c r="N1363" s="15" t="s">
        <v>87</v>
      </c>
      <c r="O1363" s="15"/>
      <c r="P1363" s="16" t="s">
        <v>802</v>
      </c>
      <c r="Q1363" s="17">
        <v>22099</v>
      </c>
      <c r="R1363" s="18">
        <v>45</v>
      </c>
      <c r="S1363" s="19">
        <v>13977.6175</v>
      </c>
      <c r="T1363" s="20" t="s">
        <v>75</v>
      </c>
      <c r="U1363" s="21" t="s">
        <v>168</v>
      </c>
      <c r="V1363" s="22">
        <v>52</v>
      </c>
      <c r="W1363" s="22">
        <v>3</v>
      </c>
      <c r="X1363" s="23"/>
    </row>
    <row r="1364" spans="1:24" s="1" customFormat="1" ht="13.05" customHeight="1" x14ac:dyDescent="0.3">
      <c r="A1364" s="11" t="s">
        <v>23</v>
      </c>
      <c r="B1364" s="11" t="s">
        <v>1140</v>
      </c>
      <c r="C1364" s="12" t="s">
        <v>1141</v>
      </c>
      <c r="D1364" s="57"/>
      <c r="E1364" s="43" t="str">
        <f t="shared" ref="E1364:E1371" si="86">HYPERLINK("https://www.google.ru/search?q=29037-0052&amp;newwindow=1&amp;tbm=isch","Еще фото")</f>
        <v>Еще фото</v>
      </c>
      <c r="F1364" s="14" t="s">
        <v>182</v>
      </c>
      <c r="G1364" s="11" t="s">
        <v>237</v>
      </c>
      <c r="H1364" s="11" t="s">
        <v>27</v>
      </c>
      <c r="I1364" s="15" t="s">
        <v>237</v>
      </c>
      <c r="J1364" s="15" t="s">
        <v>37</v>
      </c>
      <c r="K1364" s="16" t="s">
        <v>57</v>
      </c>
      <c r="L1364" s="60" t="s">
        <v>1142</v>
      </c>
      <c r="M1364" s="15"/>
      <c r="N1364" s="15" t="s">
        <v>39</v>
      </c>
      <c r="O1364" s="15"/>
      <c r="P1364" s="16" t="s">
        <v>172</v>
      </c>
      <c r="Q1364" s="17">
        <v>15399</v>
      </c>
      <c r="R1364" s="18">
        <v>45</v>
      </c>
      <c r="S1364" s="19">
        <v>9739.8675000000003</v>
      </c>
      <c r="T1364" s="20" t="s">
        <v>75</v>
      </c>
      <c r="U1364" s="33" t="s">
        <v>173</v>
      </c>
      <c r="V1364" s="25" t="s">
        <v>63</v>
      </c>
      <c r="W1364" s="22">
        <v>7</v>
      </c>
      <c r="X1364" s="23"/>
    </row>
    <row r="1365" spans="1:24" s="1" customFormat="1" ht="13.05" customHeight="1" x14ac:dyDescent="0.3">
      <c r="A1365" s="24" t="s">
        <v>23</v>
      </c>
      <c r="B1365" s="24" t="s">
        <v>1140</v>
      </c>
      <c r="C1365" s="12" t="s">
        <v>1141</v>
      </c>
      <c r="D1365" s="58"/>
      <c r="E1365" s="43" t="str">
        <f t="shared" si="86"/>
        <v>Еще фото</v>
      </c>
      <c r="F1365" s="14" t="s">
        <v>182</v>
      </c>
      <c r="G1365" s="24" t="s">
        <v>237</v>
      </c>
      <c r="H1365" s="24" t="s">
        <v>27</v>
      </c>
      <c r="I1365" s="24" t="s">
        <v>237</v>
      </c>
      <c r="J1365" s="15" t="s">
        <v>37</v>
      </c>
      <c r="K1365" s="16" t="s">
        <v>57</v>
      </c>
      <c r="L1365" s="61"/>
      <c r="M1365" s="15"/>
      <c r="N1365" s="15" t="s">
        <v>39</v>
      </c>
      <c r="O1365" s="15"/>
      <c r="P1365" s="16" t="s">
        <v>172</v>
      </c>
      <c r="Q1365" s="17">
        <v>15399</v>
      </c>
      <c r="R1365" s="18">
        <v>45</v>
      </c>
      <c r="S1365" s="19">
        <v>9739.8675000000003</v>
      </c>
      <c r="T1365" s="20" t="s">
        <v>75</v>
      </c>
      <c r="U1365" s="21" t="s">
        <v>53</v>
      </c>
      <c r="V1365" s="22">
        <v>46</v>
      </c>
      <c r="W1365" s="22">
        <v>11</v>
      </c>
      <c r="X1365" s="23"/>
    </row>
    <row r="1366" spans="1:24" s="1" customFormat="1" ht="13.05" customHeight="1" x14ac:dyDescent="0.3">
      <c r="A1366" s="24" t="s">
        <v>23</v>
      </c>
      <c r="B1366" s="24" t="s">
        <v>1140</v>
      </c>
      <c r="C1366" s="12" t="s">
        <v>1141</v>
      </c>
      <c r="D1366" s="58"/>
      <c r="E1366" s="43" t="str">
        <f t="shared" si="86"/>
        <v>Еще фото</v>
      </c>
      <c r="F1366" s="14" t="s">
        <v>182</v>
      </c>
      <c r="G1366" s="24" t="s">
        <v>237</v>
      </c>
      <c r="H1366" s="24" t="s">
        <v>27</v>
      </c>
      <c r="I1366" s="24" t="s">
        <v>237</v>
      </c>
      <c r="J1366" s="15" t="s">
        <v>37</v>
      </c>
      <c r="K1366" s="16" t="s">
        <v>57</v>
      </c>
      <c r="L1366" s="61"/>
      <c r="M1366" s="15"/>
      <c r="N1366" s="15" t="s">
        <v>39</v>
      </c>
      <c r="O1366" s="15"/>
      <c r="P1366" s="16" t="s">
        <v>172</v>
      </c>
      <c r="Q1366" s="17">
        <v>15399</v>
      </c>
      <c r="R1366" s="18">
        <v>45</v>
      </c>
      <c r="S1366" s="19">
        <v>9739.8675000000003</v>
      </c>
      <c r="T1366" s="20" t="s">
        <v>75</v>
      </c>
      <c r="U1366" s="21" t="s">
        <v>143</v>
      </c>
      <c r="V1366" s="22">
        <v>46</v>
      </c>
      <c r="W1366" s="22">
        <v>10</v>
      </c>
      <c r="X1366" s="23"/>
    </row>
    <row r="1367" spans="1:24" s="1" customFormat="1" ht="13.05" customHeight="1" x14ac:dyDescent="0.3">
      <c r="A1367" s="24" t="s">
        <v>23</v>
      </c>
      <c r="B1367" s="24" t="s">
        <v>1140</v>
      </c>
      <c r="C1367" s="12" t="s">
        <v>1141</v>
      </c>
      <c r="D1367" s="58"/>
      <c r="E1367" s="43" t="str">
        <f t="shared" si="86"/>
        <v>Еще фото</v>
      </c>
      <c r="F1367" s="14" t="s">
        <v>182</v>
      </c>
      <c r="G1367" s="24" t="s">
        <v>237</v>
      </c>
      <c r="H1367" s="24" t="s">
        <v>27</v>
      </c>
      <c r="I1367" s="24" t="s">
        <v>237</v>
      </c>
      <c r="J1367" s="15" t="s">
        <v>37</v>
      </c>
      <c r="K1367" s="16" t="s">
        <v>57</v>
      </c>
      <c r="L1367" s="61"/>
      <c r="M1367" s="15"/>
      <c r="N1367" s="15" t="s">
        <v>39</v>
      </c>
      <c r="O1367" s="15"/>
      <c r="P1367" s="16" t="s">
        <v>172</v>
      </c>
      <c r="Q1367" s="17">
        <v>15399</v>
      </c>
      <c r="R1367" s="18">
        <v>45</v>
      </c>
      <c r="S1367" s="19">
        <v>9739.8675000000003</v>
      </c>
      <c r="T1367" s="20" t="s">
        <v>75</v>
      </c>
      <c r="U1367" s="21" t="s">
        <v>109</v>
      </c>
      <c r="V1367" s="25" t="s">
        <v>65</v>
      </c>
      <c r="W1367" s="22">
        <v>10</v>
      </c>
      <c r="X1367" s="23"/>
    </row>
    <row r="1368" spans="1:24" s="1" customFormat="1" ht="13.05" customHeight="1" x14ac:dyDescent="0.3">
      <c r="A1368" s="24" t="s">
        <v>23</v>
      </c>
      <c r="B1368" s="24" t="s">
        <v>1140</v>
      </c>
      <c r="C1368" s="12" t="s">
        <v>1141</v>
      </c>
      <c r="D1368" s="58"/>
      <c r="E1368" s="43" t="str">
        <f t="shared" si="86"/>
        <v>Еще фото</v>
      </c>
      <c r="F1368" s="14" t="s">
        <v>182</v>
      </c>
      <c r="G1368" s="24" t="s">
        <v>237</v>
      </c>
      <c r="H1368" s="24" t="s">
        <v>27</v>
      </c>
      <c r="I1368" s="24" t="s">
        <v>237</v>
      </c>
      <c r="J1368" s="15" t="s">
        <v>37</v>
      </c>
      <c r="K1368" s="16" t="s">
        <v>57</v>
      </c>
      <c r="L1368" s="61"/>
      <c r="M1368" s="15"/>
      <c r="N1368" s="15" t="s">
        <v>39</v>
      </c>
      <c r="O1368" s="15"/>
      <c r="P1368" s="16" t="s">
        <v>172</v>
      </c>
      <c r="Q1368" s="17">
        <v>15399</v>
      </c>
      <c r="R1368" s="18">
        <v>45</v>
      </c>
      <c r="S1368" s="19">
        <v>9739.8675000000003</v>
      </c>
      <c r="T1368" s="20" t="s">
        <v>75</v>
      </c>
      <c r="U1368" s="21" t="s">
        <v>165</v>
      </c>
      <c r="V1368" s="22">
        <v>48</v>
      </c>
      <c r="W1368" s="22">
        <v>20</v>
      </c>
      <c r="X1368" s="23"/>
    </row>
    <row r="1369" spans="1:24" s="1" customFormat="1" ht="13.05" customHeight="1" x14ac:dyDescent="0.3">
      <c r="A1369" s="24" t="s">
        <v>23</v>
      </c>
      <c r="B1369" s="24" t="s">
        <v>1140</v>
      </c>
      <c r="C1369" s="12" t="s">
        <v>1141</v>
      </c>
      <c r="D1369" s="58"/>
      <c r="E1369" s="43" t="str">
        <f t="shared" si="86"/>
        <v>Еще фото</v>
      </c>
      <c r="F1369" s="14" t="s">
        <v>182</v>
      </c>
      <c r="G1369" s="24" t="s">
        <v>237</v>
      </c>
      <c r="H1369" s="24" t="s">
        <v>27</v>
      </c>
      <c r="I1369" s="24" t="s">
        <v>237</v>
      </c>
      <c r="J1369" s="15" t="s">
        <v>37</v>
      </c>
      <c r="K1369" s="16" t="s">
        <v>57</v>
      </c>
      <c r="L1369" s="61"/>
      <c r="M1369" s="15"/>
      <c r="N1369" s="15" t="s">
        <v>39</v>
      </c>
      <c r="O1369" s="15"/>
      <c r="P1369" s="16" t="s">
        <v>172</v>
      </c>
      <c r="Q1369" s="17">
        <v>15399</v>
      </c>
      <c r="R1369" s="18">
        <v>45</v>
      </c>
      <c r="S1369" s="19">
        <v>9739.8675000000003</v>
      </c>
      <c r="T1369" s="20" t="s">
        <v>75</v>
      </c>
      <c r="U1369" s="21" t="s">
        <v>104</v>
      </c>
      <c r="V1369" s="22">
        <v>48</v>
      </c>
      <c r="W1369" s="22">
        <v>8</v>
      </c>
      <c r="X1369" s="23"/>
    </row>
    <row r="1370" spans="1:24" s="1" customFormat="1" ht="13.05" customHeight="1" x14ac:dyDescent="0.3">
      <c r="A1370" s="24" t="s">
        <v>23</v>
      </c>
      <c r="B1370" s="24" t="s">
        <v>1140</v>
      </c>
      <c r="C1370" s="12" t="s">
        <v>1141</v>
      </c>
      <c r="D1370" s="58"/>
      <c r="E1370" s="43" t="str">
        <f t="shared" si="86"/>
        <v>Еще фото</v>
      </c>
      <c r="F1370" s="14" t="s">
        <v>182</v>
      </c>
      <c r="G1370" s="24" t="s">
        <v>237</v>
      </c>
      <c r="H1370" s="24" t="s">
        <v>27</v>
      </c>
      <c r="I1370" s="24" t="s">
        <v>237</v>
      </c>
      <c r="J1370" s="15" t="s">
        <v>37</v>
      </c>
      <c r="K1370" s="16" t="s">
        <v>57</v>
      </c>
      <c r="L1370" s="61"/>
      <c r="M1370" s="15"/>
      <c r="N1370" s="15" t="s">
        <v>39</v>
      </c>
      <c r="O1370" s="15"/>
      <c r="P1370" s="16" t="s">
        <v>172</v>
      </c>
      <c r="Q1370" s="17">
        <v>15399</v>
      </c>
      <c r="R1370" s="18">
        <v>45</v>
      </c>
      <c r="S1370" s="19">
        <v>9739.8675000000003</v>
      </c>
      <c r="T1370" s="20" t="s">
        <v>75</v>
      </c>
      <c r="U1370" s="21" t="s">
        <v>89</v>
      </c>
      <c r="V1370" s="22">
        <v>50</v>
      </c>
      <c r="W1370" s="22">
        <v>22</v>
      </c>
      <c r="X1370" s="23"/>
    </row>
    <row r="1371" spans="1:24" s="1" customFormat="1" ht="18" customHeight="1" x14ac:dyDescent="0.3">
      <c r="A1371" s="24" t="s">
        <v>23</v>
      </c>
      <c r="B1371" s="24" t="s">
        <v>1140</v>
      </c>
      <c r="C1371" s="12" t="s">
        <v>1141</v>
      </c>
      <c r="D1371" s="59"/>
      <c r="E1371" s="43" t="str">
        <f t="shared" si="86"/>
        <v>Еще фото</v>
      </c>
      <c r="F1371" s="14" t="s">
        <v>182</v>
      </c>
      <c r="G1371" s="24" t="s">
        <v>237</v>
      </c>
      <c r="H1371" s="24" t="s">
        <v>27</v>
      </c>
      <c r="I1371" s="24" t="s">
        <v>237</v>
      </c>
      <c r="J1371" s="15" t="s">
        <v>37</v>
      </c>
      <c r="K1371" s="16" t="s">
        <v>57</v>
      </c>
      <c r="L1371" s="62"/>
      <c r="M1371" s="15"/>
      <c r="N1371" s="15" t="s">
        <v>39</v>
      </c>
      <c r="O1371" s="15"/>
      <c r="P1371" s="16" t="s">
        <v>172</v>
      </c>
      <c r="Q1371" s="17">
        <v>15399</v>
      </c>
      <c r="R1371" s="18">
        <v>45</v>
      </c>
      <c r="S1371" s="19">
        <v>9739.8675000000003</v>
      </c>
      <c r="T1371" s="20" t="s">
        <v>75</v>
      </c>
      <c r="U1371" s="21" t="s">
        <v>167</v>
      </c>
      <c r="V1371" s="22">
        <v>52</v>
      </c>
      <c r="W1371" s="22">
        <v>10</v>
      </c>
      <c r="X1371" s="23"/>
    </row>
    <row r="1372" spans="1:24" s="1" customFormat="1" ht="35" customHeight="1" x14ac:dyDescent="0.3">
      <c r="A1372" s="11" t="s">
        <v>23</v>
      </c>
      <c r="B1372" s="11" t="s">
        <v>1143</v>
      </c>
      <c r="C1372" s="12" t="s">
        <v>1144</v>
      </c>
      <c r="D1372" s="57"/>
      <c r="E1372" s="43" t="str">
        <f>HYPERLINK("https://www.google.ru/search?q=29037-0059&amp;newwindow=1&amp;tbm=isch","Еще фото")</f>
        <v>Еще фото</v>
      </c>
      <c r="F1372" s="14" t="s">
        <v>182</v>
      </c>
      <c r="G1372" s="11" t="s">
        <v>237</v>
      </c>
      <c r="H1372" s="11" t="s">
        <v>27</v>
      </c>
      <c r="I1372" s="15" t="s">
        <v>237</v>
      </c>
      <c r="J1372" s="15" t="s">
        <v>37</v>
      </c>
      <c r="K1372" s="16" t="s">
        <v>57</v>
      </c>
      <c r="L1372" s="60" t="s">
        <v>673</v>
      </c>
      <c r="M1372" s="15"/>
      <c r="N1372" s="15" t="s">
        <v>130</v>
      </c>
      <c r="O1372" s="15"/>
      <c r="P1372" s="16" t="s">
        <v>32</v>
      </c>
      <c r="Q1372" s="17">
        <v>16799</v>
      </c>
      <c r="R1372" s="18">
        <v>45</v>
      </c>
      <c r="S1372" s="19">
        <v>10625.3675</v>
      </c>
      <c r="T1372" s="20" t="s">
        <v>75</v>
      </c>
      <c r="U1372" s="21" t="s">
        <v>173</v>
      </c>
      <c r="V1372" s="25" t="s">
        <v>63</v>
      </c>
      <c r="W1372" s="22">
        <v>1</v>
      </c>
      <c r="X1372" s="23"/>
    </row>
    <row r="1373" spans="1:24" s="1" customFormat="1" ht="35" customHeight="1" x14ac:dyDescent="0.3">
      <c r="A1373" s="24" t="s">
        <v>23</v>
      </c>
      <c r="B1373" s="24" t="s">
        <v>1143</v>
      </c>
      <c r="C1373" s="12" t="s">
        <v>1144</v>
      </c>
      <c r="D1373" s="58"/>
      <c r="E1373" s="43" t="str">
        <f>HYPERLINK("https://www.google.ru/search?q=29037-0059&amp;newwindow=1&amp;tbm=isch","Еще фото")</f>
        <v>Еще фото</v>
      </c>
      <c r="F1373" s="14" t="s">
        <v>182</v>
      </c>
      <c r="G1373" s="24" t="s">
        <v>237</v>
      </c>
      <c r="H1373" s="24" t="s">
        <v>27</v>
      </c>
      <c r="I1373" s="24" t="s">
        <v>237</v>
      </c>
      <c r="J1373" s="15" t="s">
        <v>37</v>
      </c>
      <c r="K1373" s="16" t="s">
        <v>57</v>
      </c>
      <c r="L1373" s="61"/>
      <c r="M1373" s="15"/>
      <c r="N1373" s="15" t="s">
        <v>130</v>
      </c>
      <c r="O1373" s="15"/>
      <c r="P1373" s="16" t="s">
        <v>32</v>
      </c>
      <c r="Q1373" s="17">
        <v>16799</v>
      </c>
      <c r="R1373" s="18">
        <v>45</v>
      </c>
      <c r="S1373" s="19">
        <v>10625.3675</v>
      </c>
      <c r="T1373" s="20" t="s">
        <v>75</v>
      </c>
      <c r="U1373" s="21" t="s">
        <v>53</v>
      </c>
      <c r="V1373" s="22">
        <v>46</v>
      </c>
      <c r="W1373" s="22">
        <v>1</v>
      </c>
      <c r="X1373" s="23"/>
    </row>
    <row r="1374" spans="1:24" s="1" customFormat="1" ht="37.049999999999997" customHeight="1" x14ac:dyDescent="0.3">
      <c r="A1374" s="24" t="s">
        <v>23</v>
      </c>
      <c r="B1374" s="24" t="s">
        <v>1143</v>
      </c>
      <c r="C1374" s="12" t="s">
        <v>1144</v>
      </c>
      <c r="D1374" s="59"/>
      <c r="E1374" s="43" t="str">
        <f>HYPERLINK("https://www.google.ru/search?q=29037-0059&amp;newwindow=1&amp;tbm=isch","Еще фото")</f>
        <v>Еще фото</v>
      </c>
      <c r="F1374" s="14" t="s">
        <v>182</v>
      </c>
      <c r="G1374" s="24" t="s">
        <v>237</v>
      </c>
      <c r="H1374" s="24" t="s">
        <v>27</v>
      </c>
      <c r="I1374" s="24" t="s">
        <v>237</v>
      </c>
      <c r="J1374" s="15" t="s">
        <v>37</v>
      </c>
      <c r="K1374" s="16" t="s">
        <v>57</v>
      </c>
      <c r="L1374" s="62"/>
      <c r="M1374" s="15"/>
      <c r="N1374" s="15" t="s">
        <v>130</v>
      </c>
      <c r="O1374" s="15"/>
      <c r="P1374" s="16" t="s">
        <v>32</v>
      </c>
      <c r="Q1374" s="17">
        <v>16799</v>
      </c>
      <c r="R1374" s="18">
        <v>45</v>
      </c>
      <c r="S1374" s="19">
        <v>10625.3675</v>
      </c>
      <c r="T1374" s="20" t="s">
        <v>75</v>
      </c>
      <c r="U1374" s="21" t="s">
        <v>165</v>
      </c>
      <c r="V1374" s="22">
        <v>48</v>
      </c>
      <c r="W1374" s="22">
        <v>2</v>
      </c>
      <c r="X1374" s="23"/>
    </row>
    <row r="1375" spans="1:24" s="1" customFormat="1" ht="11" customHeight="1" x14ac:dyDescent="0.3">
      <c r="A1375" s="11" t="s">
        <v>23</v>
      </c>
      <c r="B1375" s="11" t="s">
        <v>1145</v>
      </c>
      <c r="C1375" s="12" t="s">
        <v>1146</v>
      </c>
      <c r="D1375" s="57"/>
      <c r="E1375" s="43" t="str">
        <f t="shared" ref="E1375:E1385" si="87">HYPERLINK("https://www.google.ru/search?q=29037-0062&amp;newwindow=1&amp;tbm=isch","Еще фото")</f>
        <v>Еще фото</v>
      </c>
      <c r="F1375" s="14" t="s">
        <v>854</v>
      </c>
      <c r="G1375" s="11" t="s">
        <v>237</v>
      </c>
      <c r="H1375" s="11" t="s">
        <v>27</v>
      </c>
      <c r="I1375" s="15" t="s">
        <v>237</v>
      </c>
      <c r="J1375" s="15" t="s">
        <v>37</v>
      </c>
      <c r="K1375" s="16" t="s">
        <v>57</v>
      </c>
      <c r="L1375" s="60" t="s">
        <v>1147</v>
      </c>
      <c r="M1375" s="15"/>
      <c r="N1375" s="15" t="s">
        <v>138</v>
      </c>
      <c r="O1375" s="15"/>
      <c r="P1375" s="16" t="s">
        <v>172</v>
      </c>
      <c r="Q1375" s="17">
        <v>16999</v>
      </c>
      <c r="R1375" s="18">
        <v>45</v>
      </c>
      <c r="S1375" s="19">
        <v>10751.8675</v>
      </c>
      <c r="T1375" s="20" t="s">
        <v>75</v>
      </c>
      <c r="U1375" s="21" t="s">
        <v>173</v>
      </c>
      <c r="V1375" s="25" t="s">
        <v>63</v>
      </c>
      <c r="W1375" s="22">
        <v>6</v>
      </c>
      <c r="X1375" s="23"/>
    </row>
    <row r="1376" spans="1:24" s="1" customFormat="1" ht="11" customHeight="1" x14ac:dyDescent="0.3">
      <c r="A1376" s="24" t="s">
        <v>23</v>
      </c>
      <c r="B1376" s="24" t="s">
        <v>1145</v>
      </c>
      <c r="C1376" s="12" t="s">
        <v>1146</v>
      </c>
      <c r="D1376" s="58"/>
      <c r="E1376" s="43" t="str">
        <f t="shared" si="87"/>
        <v>Еще фото</v>
      </c>
      <c r="F1376" s="14" t="s">
        <v>854</v>
      </c>
      <c r="G1376" s="24" t="s">
        <v>237</v>
      </c>
      <c r="H1376" s="24" t="s">
        <v>27</v>
      </c>
      <c r="I1376" s="24" t="s">
        <v>237</v>
      </c>
      <c r="J1376" s="15" t="s">
        <v>37</v>
      </c>
      <c r="K1376" s="16" t="s">
        <v>57</v>
      </c>
      <c r="L1376" s="61"/>
      <c r="M1376" s="15"/>
      <c r="N1376" s="15" t="s">
        <v>138</v>
      </c>
      <c r="O1376" s="15"/>
      <c r="P1376" s="16" t="s">
        <v>172</v>
      </c>
      <c r="Q1376" s="17">
        <v>16999</v>
      </c>
      <c r="R1376" s="18">
        <v>45</v>
      </c>
      <c r="S1376" s="19">
        <v>10751.8675</v>
      </c>
      <c r="T1376" s="20" t="s">
        <v>75</v>
      </c>
      <c r="U1376" s="21" t="s">
        <v>53</v>
      </c>
      <c r="V1376" s="22">
        <v>46</v>
      </c>
      <c r="W1376" s="22">
        <v>7</v>
      </c>
      <c r="X1376" s="23"/>
    </row>
    <row r="1377" spans="1:24" s="1" customFormat="1" ht="11" customHeight="1" x14ac:dyDescent="0.3">
      <c r="A1377" s="24" t="s">
        <v>23</v>
      </c>
      <c r="B1377" s="24" t="s">
        <v>1145</v>
      </c>
      <c r="C1377" s="12" t="s">
        <v>1146</v>
      </c>
      <c r="D1377" s="58"/>
      <c r="E1377" s="43" t="str">
        <f t="shared" si="87"/>
        <v>Еще фото</v>
      </c>
      <c r="F1377" s="14" t="s">
        <v>854</v>
      </c>
      <c r="G1377" s="24" t="s">
        <v>237</v>
      </c>
      <c r="H1377" s="24" t="s">
        <v>27</v>
      </c>
      <c r="I1377" s="24" t="s">
        <v>237</v>
      </c>
      <c r="J1377" s="15" t="s">
        <v>37</v>
      </c>
      <c r="K1377" s="16" t="s">
        <v>57</v>
      </c>
      <c r="L1377" s="61"/>
      <c r="M1377" s="15"/>
      <c r="N1377" s="15" t="s">
        <v>138</v>
      </c>
      <c r="O1377" s="15"/>
      <c r="P1377" s="16" t="s">
        <v>172</v>
      </c>
      <c r="Q1377" s="17">
        <v>16999</v>
      </c>
      <c r="R1377" s="18">
        <v>45</v>
      </c>
      <c r="S1377" s="19">
        <v>10751.8675</v>
      </c>
      <c r="T1377" s="20" t="s">
        <v>75</v>
      </c>
      <c r="U1377" s="21" t="s">
        <v>109</v>
      </c>
      <c r="V1377" s="25" t="s">
        <v>65</v>
      </c>
      <c r="W1377" s="22">
        <v>6</v>
      </c>
      <c r="X1377" s="23"/>
    </row>
    <row r="1378" spans="1:24" s="1" customFormat="1" ht="11" customHeight="1" x14ac:dyDescent="0.3">
      <c r="A1378" s="24" t="s">
        <v>23</v>
      </c>
      <c r="B1378" s="24" t="s">
        <v>1145</v>
      </c>
      <c r="C1378" s="12" t="s">
        <v>1146</v>
      </c>
      <c r="D1378" s="58"/>
      <c r="E1378" s="43" t="str">
        <f t="shared" si="87"/>
        <v>Еще фото</v>
      </c>
      <c r="F1378" s="14" t="s">
        <v>854</v>
      </c>
      <c r="G1378" s="24" t="s">
        <v>237</v>
      </c>
      <c r="H1378" s="24" t="s">
        <v>27</v>
      </c>
      <c r="I1378" s="24" t="s">
        <v>237</v>
      </c>
      <c r="J1378" s="15" t="s">
        <v>37</v>
      </c>
      <c r="K1378" s="16" t="s">
        <v>57</v>
      </c>
      <c r="L1378" s="61"/>
      <c r="M1378" s="15"/>
      <c r="N1378" s="15" t="s">
        <v>138</v>
      </c>
      <c r="O1378" s="15"/>
      <c r="P1378" s="16" t="s">
        <v>172</v>
      </c>
      <c r="Q1378" s="17">
        <v>16999</v>
      </c>
      <c r="R1378" s="18">
        <v>45</v>
      </c>
      <c r="S1378" s="19">
        <v>10751.8675</v>
      </c>
      <c r="T1378" s="20" t="s">
        <v>75</v>
      </c>
      <c r="U1378" s="21" t="s">
        <v>165</v>
      </c>
      <c r="V1378" s="22">
        <v>48</v>
      </c>
      <c r="W1378" s="22">
        <v>18</v>
      </c>
      <c r="X1378" s="23"/>
    </row>
    <row r="1379" spans="1:24" s="1" customFormat="1" ht="11" customHeight="1" x14ac:dyDescent="0.3">
      <c r="A1379" s="24" t="s">
        <v>23</v>
      </c>
      <c r="B1379" s="24" t="s">
        <v>1145</v>
      </c>
      <c r="C1379" s="12" t="s">
        <v>1146</v>
      </c>
      <c r="D1379" s="58"/>
      <c r="E1379" s="43" t="str">
        <f t="shared" si="87"/>
        <v>Еще фото</v>
      </c>
      <c r="F1379" s="14" t="s">
        <v>854</v>
      </c>
      <c r="G1379" s="24" t="s">
        <v>237</v>
      </c>
      <c r="H1379" s="24" t="s">
        <v>27</v>
      </c>
      <c r="I1379" s="24" t="s">
        <v>237</v>
      </c>
      <c r="J1379" s="15" t="s">
        <v>37</v>
      </c>
      <c r="K1379" s="16" t="s">
        <v>57</v>
      </c>
      <c r="L1379" s="61"/>
      <c r="M1379" s="15"/>
      <c r="N1379" s="15" t="s">
        <v>138</v>
      </c>
      <c r="O1379" s="15"/>
      <c r="P1379" s="16" t="s">
        <v>172</v>
      </c>
      <c r="Q1379" s="17">
        <v>16999</v>
      </c>
      <c r="R1379" s="18">
        <v>45</v>
      </c>
      <c r="S1379" s="19">
        <v>10751.8675</v>
      </c>
      <c r="T1379" s="20" t="s">
        <v>75</v>
      </c>
      <c r="U1379" s="21" t="s">
        <v>104</v>
      </c>
      <c r="V1379" s="22">
        <v>48</v>
      </c>
      <c r="W1379" s="22">
        <v>4</v>
      </c>
      <c r="X1379" s="23"/>
    </row>
    <row r="1380" spans="1:24" s="1" customFormat="1" ht="11" customHeight="1" x14ac:dyDescent="0.3">
      <c r="A1380" s="24" t="s">
        <v>23</v>
      </c>
      <c r="B1380" s="24" t="s">
        <v>1145</v>
      </c>
      <c r="C1380" s="12" t="s">
        <v>1146</v>
      </c>
      <c r="D1380" s="58"/>
      <c r="E1380" s="43" t="str">
        <f t="shared" si="87"/>
        <v>Еще фото</v>
      </c>
      <c r="F1380" s="14" t="s">
        <v>854</v>
      </c>
      <c r="G1380" s="24" t="s">
        <v>237</v>
      </c>
      <c r="H1380" s="24" t="s">
        <v>27</v>
      </c>
      <c r="I1380" s="24" t="s">
        <v>237</v>
      </c>
      <c r="J1380" s="15" t="s">
        <v>37</v>
      </c>
      <c r="K1380" s="16" t="s">
        <v>57</v>
      </c>
      <c r="L1380" s="61"/>
      <c r="M1380" s="15"/>
      <c r="N1380" s="15" t="s">
        <v>138</v>
      </c>
      <c r="O1380" s="15"/>
      <c r="P1380" s="16" t="s">
        <v>172</v>
      </c>
      <c r="Q1380" s="17">
        <v>16999</v>
      </c>
      <c r="R1380" s="18">
        <v>45</v>
      </c>
      <c r="S1380" s="19">
        <v>10751.8675</v>
      </c>
      <c r="T1380" s="20" t="s">
        <v>75</v>
      </c>
      <c r="U1380" s="21" t="s">
        <v>166</v>
      </c>
      <c r="V1380" s="25" t="s">
        <v>96</v>
      </c>
      <c r="W1380" s="22">
        <v>11</v>
      </c>
      <c r="X1380" s="23"/>
    </row>
    <row r="1381" spans="1:24" s="1" customFormat="1" ht="11" customHeight="1" x14ac:dyDescent="0.3">
      <c r="A1381" s="24" t="s">
        <v>23</v>
      </c>
      <c r="B1381" s="24" t="s">
        <v>1145</v>
      </c>
      <c r="C1381" s="12" t="s">
        <v>1146</v>
      </c>
      <c r="D1381" s="58"/>
      <c r="E1381" s="43" t="str">
        <f t="shared" si="87"/>
        <v>Еще фото</v>
      </c>
      <c r="F1381" s="14" t="s">
        <v>854</v>
      </c>
      <c r="G1381" s="24" t="s">
        <v>237</v>
      </c>
      <c r="H1381" s="24" t="s">
        <v>27</v>
      </c>
      <c r="I1381" s="24" t="s">
        <v>237</v>
      </c>
      <c r="J1381" s="15" t="s">
        <v>37</v>
      </c>
      <c r="K1381" s="16" t="s">
        <v>57</v>
      </c>
      <c r="L1381" s="61"/>
      <c r="M1381" s="15"/>
      <c r="N1381" s="15" t="s">
        <v>138</v>
      </c>
      <c r="O1381" s="15"/>
      <c r="P1381" s="16" t="s">
        <v>172</v>
      </c>
      <c r="Q1381" s="17">
        <v>16999</v>
      </c>
      <c r="R1381" s="18">
        <v>45</v>
      </c>
      <c r="S1381" s="19">
        <v>10751.8675</v>
      </c>
      <c r="T1381" s="20" t="s">
        <v>75</v>
      </c>
      <c r="U1381" s="21" t="s">
        <v>359</v>
      </c>
      <c r="V1381" s="25" t="s">
        <v>96</v>
      </c>
      <c r="W1381" s="22">
        <v>3</v>
      </c>
      <c r="X1381" s="23"/>
    </row>
    <row r="1382" spans="1:24" s="1" customFormat="1" ht="11" customHeight="1" x14ac:dyDescent="0.3">
      <c r="A1382" s="24" t="s">
        <v>23</v>
      </c>
      <c r="B1382" s="24" t="s">
        <v>1145</v>
      </c>
      <c r="C1382" s="12" t="s">
        <v>1146</v>
      </c>
      <c r="D1382" s="58"/>
      <c r="E1382" s="43" t="str">
        <f t="shared" si="87"/>
        <v>Еще фото</v>
      </c>
      <c r="F1382" s="14" t="s">
        <v>854</v>
      </c>
      <c r="G1382" s="24" t="s">
        <v>237</v>
      </c>
      <c r="H1382" s="24" t="s">
        <v>27</v>
      </c>
      <c r="I1382" s="24" t="s">
        <v>237</v>
      </c>
      <c r="J1382" s="15" t="s">
        <v>37</v>
      </c>
      <c r="K1382" s="16" t="s">
        <v>57</v>
      </c>
      <c r="L1382" s="61"/>
      <c r="M1382" s="15"/>
      <c r="N1382" s="15" t="s">
        <v>138</v>
      </c>
      <c r="O1382" s="15"/>
      <c r="P1382" s="16" t="s">
        <v>172</v>
      </c>
      <c r="Q1382" s="17">
        <v>16999</v>
      </c>
      <c r="R1382" s="18">
        <v>45</v>
      </c>
      <c r="S1382" s="19">
        <v>10751.8675</v>
      </c>
      <c r="T1382" s="20" t="s">
        <v>75</v>
      </c>
      <c r="U1382" s="21" t="s">
        <v>89</v>
      </c>
      <c r="V1382" s="22">
        <v>50</v>
      </c>
      <c r="W1382" s="22">
        <v>21</v>
      </c>
      <c r="X1382" s="23"/>
    </row>
    <row r="1383" spans="1:24" s="1" customFormat="1" ht="11" customHeight="1" x14ac:dyDescent="0.3">
      <c r="A1383" s="24" t="s">
        <v>23</v>
      </c>
      <c r="B1383" s="24" t="s">
        <v>1145</v>
      </c>
      <c r="C1383" s="12" t="s">
        <v>1146</v>
      </c>
      <c r="D1383" s="58"/>
      <c r="E1383" s="43" t="str">
        <f t="shared" si="87"/>
        <v>Еще фото</v>
      </c>
      <c r="F1383" s="14" t="s">
        <v>854</v>
      </c>
      <c r="G1383" s="24" t="s">
        <v>237</v>
      </c>
      <c r="H1383" s="24" t="s">
        <v>27</v>
      </c>
      <c r="I1383" s="24" t="s">
        <v>237</v>
      </c>
      <c r="J1383" s="15" t="s">
        <v>37</v>
      </c>
      <c r="K1383" s="16" t="s">
        <v>57</v>
      </c>
      <c r="L1383" s="61"/>
      <c r="M1383" s="15"/>
      <c r="N1383" s="15" t="s">
        <v>138</v>
      </c>
      <c r="O1383" s="15"/>
      <c r="P1383" s="16" t="s">
        <v>172</v>
      </c>
      <c r="Q1383" s="17">
        <v>16999</v>
      </c>
      <c r="R1383" s="18">
        <v>45</v>
      </c>
      <c r="S1383" s="19">
        <v>10751.8675</v>
      </c>
      <c r="T1383" s="20" t="s">
        <v>75</v>
      </c>
      <c r="U1383" s="21" t="s">
        <v>100</v>
      </c>
      <c r="V1383" s="22">
        <v>50</v>
      </c>
      <c r="W1383" s="22">
        <v>9</v>
      </c>
      <c r="X1383" s="23"/>
    </row>
    <row r="1384" spans="1:24" s="1" customFormat="1" ht="11" customHeight="1" x14ac:dyDescent="0.3">
      <c r="A1384" s="15" t="s">
        <v>23</v>
      </c>
      <c r="B1384" s="15" t="s">
        <v>1145</v>
      </c>
      <c r="C1384" s="12" t="s">
        <v>1146</v>
      </c>
      <c r="D1384" s="58"/>
      <c r="E1384" s="43" t="str">
        <f t="shared" si="87"/>
        <v>Еще фото</v>
      </c>
      <c r="F1384" s="26" t="s">
        <v>854</v>
      </c>
      <c r="G1384" s="15" t="s">
        <v>237</v>
      </c>
      <c r="H1384" s="15" t="s">
        <v>27</v>
      </c>
      <c r="I1384" s="15" t="s">
        <v>237</v>
      </c>
      <c r="J1384" s="15" t="s">
        <v>37</v>
      </c>
      <c r="K1384" s="15" t="s">
        <v>57</v>
      </c>
      <c r="L1384" s="61"/>
      <c r="M1384" s="15"/>
      <c r="N1384" s="15" t="s">
        <v>138</v>
      </c>
      <c r="O1384" s="15"/>
      <c r="P1384" s="15" t="s">
        <v>172</v>
      </c>
      <c r="Q1384" s="27">
        <v>16999</v>
      </c>
      <c r="R1384" s="28">
        <v>45</v>
      </c>
      <c r="S1384" s="29">
        <v>10751.8675</v>
      </c>
      <c r="T1384" s="20" t="s">
        <v>75</v>
      </c>
      <c r="U1384" s="21" t="s">
        <v>167</v>
      </c>
      <c r="V1384" s="22">
        <v>52</v>
      </c>
      <c r="W1384" s="22">
        <v>19</v>
      </c>
      <c r="X1384" s="23"/>
    </row>
    <row r="1385" spans="1:24" s="1" customFormat="1" ht="11" customHeight="1" x14ac:dyDescent="0.3">
      <c r="A1385" s="15" t="s">
        <v>23</v>
      </c>
      <c r="B1385" s="15" t="s">
        <v>1145</v>
      </c>
      <c r="C1385" s="12" t="s">
        <v>1146</v>
      </c>
      <c r="D1385" s="59"/>
      <c r="E1385" s="43" t="str">
        <f t="shared" si="87"/>
        <v>Еще фото</v>
      </c>
      <c r="F1385" s="26" t="s">
        <v>854</v>
      </c>
      <c r="G1385" s="15" t="s">
        <v>237</v>
      </c>
      <c r="H1385" s="15" t="s">
        <v>27</v>
      </c>
      <c r="I1385" s="15" t="s">
        <v>237</v>
      </c>
      <c r="J1385" s="15" t="s">
        <v>37</v>
      </c>
      <c r="K1385" s="15" t="s">
        <v>57</v>
      </c>
      <c r="L1385" s="62"/>
      <c r="M1385" s="15"/>
      <c r="N1385" s="15" t="s">
        <v>138</v>
      </c>
      <c r="O1385" s="15"/>
      <c r="P1385" s="15" t="s">
        <v>172</v>
      </c>
      <c r="Q1385" s="27">
        <v>16999</v>
      </c>
      <c r="R1385" s="28">
        <v>45</v>
      </c>
      <c r="S1385" s="29">
        <v>10751.8675</v>
      </c>
      <c r="T1385" s="20" t="s">
        <v>75</v>
      </c>
      <c r="U1385" s="21" t="s">
        <v>168</v>
      </c>
      <c r="V1385" s="22">
        <v>52</v>
      </c>
      <c r="W1385" s="22">
        <v>7</v>
      </c>
      <c r="X1385" s="23"/>
    </row>
    <row r="1386" spans="1:24" s="1" customFormat="1" ht="35" customHeight="1" x14ac:dyDescent="0.3">
      <c r="A1386" s="11" t="s">
        <v>23</v>
      </c>
      <c r="B1386" s="11" t="s">
        <v>1143</v>
      </c>
      <c r="C1386" s="12" t="s">
        <v>1148</v>
      </c>
      <c r="D1386" s="57"/>
      <c r="E1386" s="43" t="str">
        <f>HYPERLINK("https://www.google.ru/search?q=29037-0066&amp;newwindow=1&amp;tbm=isch","Еще фото")</f>
        <v>Еще фото</v>
      </c>
      <c r="F1386" s="14"/>
      <c r="G1386" s="11" t="s">
        <v>237</v>
      </c>
      <c r="H1386" s="11" t="s">
        <v>27</v>
      </c>
      <c r="I1386" s="15" t="s">
        <v>237</v>
      </c>
      <c r="J1386" s="15" t="s">
        <v>37</v>
      </c>
      <c r="K1386" s="16" t="s">
        <v>57</v>
      </c>
      <c r="L1386" s="60" t="s">
        <v>673</v>
      </c>
      <c r="M1386" s="15"/>
      <c r="N1386" s="15" t="s">
        <v>39</v>
      </c>
      <c r="O1386" s="15"/>
      <c r="P1386" s="16" t="s">
        <v>32</v>
      </c>
      <c r="Q1386" s="17">
        <v>15399</v>
      </c>
      <c r="R1386" s="18">
        <v>45</v>
      </c>
      <c r="S1386" s="19">
        <v>9739.8675000000003</v>
      </c>
      <c r="T1386" s="20" t="s">
        <v>75</v>
      </c>
      <c r="U1386" s="21" t="s">
        <v>173</v>
      </c>
      <c r="V1386" s="25" t="s">
        <v>63</v>
      </c>
      <c r="W1386" s="22">
        <v>1</v>
      </c>
      <c r="X1386" s="23"/>
    </row>
    <row r="1387" spans="1:24" s="1" customFormat="1" ht="35" customHeight="1" x14ac:dyDescent="0.3">
      <c r="A1387" s="24" t="s">
        <v>23</v>
      </c>
      <c r="B1387" s="24" t="s">
        <v>1143</v>
      </c>
      <c r="C1387" s="12" t="s">
        <v>1148</v>
      </c>
      <c r="D1387" s="58"/>
      <c r="E1387" s="43" t="str">
        <f>HYPERLINK("https://www.google.ru/search?q=29037-0066&amp;newwindow=1&amp;tbm=isch","Еще фото")</f>
        <v>Еще фото</v>
      </c>
      <c r="F1387" s="14"/>
      <c r="G1387" s="24" t="s">
        <v>237</v>
      </c>
      <c r="H1387" s="24" t="s">
        <v>27</v>
      </c>
      <c r="I1387" s="24" t="s">
        <v>237</v>
      </c>
      <c r="J1387" s="15" t="s">
        <v>37</v>
      </c>
      <c r="K1387" s="16" t="s">
        <v>57</v>
      </c>
      <c r="L1387" s="61"/>
      <c r="M1387" s="15"/>
      <c r="N1387" s="15" t="s">
        <v>39</v>
      </c>
      <c r="O1387" s="15"/>
      <c r="P1387" s="16" t="s">
        <v>32</v>
      </c>
      <c r="Q1387" s="17">
        <v>15399</v>
      </c>
      <c r="R1387" s="18">
        <v>45</v>
      </c>
      <c r="S1387" s="19">
        <v>9739.8675000000003</v>
      </c>
      <c r="T1387" s="20" t="s">
        <v>75</v>
      </c>
      <c r="U1387" s="21" t="s">
        <v>109</v>
      </c>
      <c r="V1387" s="25" t="s">
        <v>65</v>
      </c>
      <c r="W1387" s="22">
        <v>2</v>
      </c>
      <c r="X1387" s="23"/>
    </row>
    <row r="1388" spans="1:24" s="1" customFormat="1" ht="37.049999999999997" customHeight="1" x14ac:dyDescent="0.3">
      <c r="A1388" s="24" t="s">
        <v>23</v>
      </c>
      <c r="B1388" s="24" t="s">
        <v>1143</v>
      </c>
      <c r="C1388" s="12" t="s">
        <v>1148</v>
      </c>
      <c r="D1388" s="59"/>
      <c r="E1388" s="43" t="str">
        <f>HYPERLINK("https://www.google.ru/search?q=29037-0066&amp;newwindow=1&amp;tbm=isch","Еще фото")</f>
        <v>Еще фото</v>
      </c>
      <c r="F1388" s="14"/>
      <c r="G1388" s="24" t="s">
        <v>237</v>
      </c>
      <c r="H1388" s="24" t="s">
        <v>27</v>
      </c>
      <c r="I1388" s="24" t="s">
        <v>237</v>
      </c>
      <c r="J1388" s="15" t="s">
        <v>37</v>
      </c>
      <c r="K1388" s="16" t="s">
        <v>57</v>
      </c>
      <c r="L1388" s="62"/>
      <c r="M1388" s="15"/>
      <c r="N1388" s="15" t="s">
        <v>39</v>
      </c>
      <c r="O1388" s="15"/>
      <c r="P1388" s="16" t="s">
        <v>32</v>
      </c>
      <c r="Q1388" s="17">
        <v>15399</v>
      </c>
      <c r="R1388" s="18">
        <v>45</v>
      </c>
      <c r="S1388" s="19">
        <v>9739.8675000000003</v>
      </c>
      <c r="T1388" s="20" t="s">
        <v>75</v>
      </c>
      <c r="U1388" s="21" t="s">
        <v>167</v>
      </c>
      <c r="V1388" s="22">
        <v>52</v>
      </c>
      <c r="W1388" s="22">
        <v>1</v>
      </c>
      <c r="X1388" s="23"/>
    </row>
    <row r="1389" spans="1:24" s="1" customFormat="1" ht="35" customHeight="1" x14ac:dyDescent="0.3">
      <c r="A1389" s="11" t="s">
        <v>23</v>
      </c>
      <c r="B1389" s="11" t="s">
        <v>1143</v>
      </c>
      <c r="C1389" s="12" t="s">
        <v>1149</v>
      </c>
      <c r="D1389" s="57"/>
      <c r="E1389" s="43" t="str">
        <f>HYPERLINK("https://www.google.ru/search?q=29037-0070&amp;newwindow=1&amp;tbm=isch","Еще фото")</f>
        <v>Еще фото</v>
      </c>
      <c r="F1389" s="14"/>
      <c r="G1389" s="11" t="s">
        <v>237</v>
      </c>
      <c r="H1389" s="11" t="s">
        <v>27</v>
      </c>
      <c r="I1389" s="15" t="s">
        <v>237</v>
      </c>
      <c r="J1389" s="15" t="s">
        <v>37</v>
      </c>
      <c r="K1389" s="16" t="s">
        <v>57</v>
      </c>
      <c r="L1389" s="60" t="s">
        <v>673</v>
      </c>
      <c r="M1389" s="15"/>
      <c r="N1389" s="15" t="s">
        <v>130</v>
      </c>
      <c r="O1389" s="15"/>
      <c r="P1389" s="16" t="s">
        <v>1150</v>
      </c>
      <c r="Q1389" s="17">
        <v>16799</v>
      </c>
      <c r="R1389" s="18">
        <v>45</v>
      </c>
      <c r="S1389" s="19">
        <v>10625.3675</v>
      </c>
      <c r="T1389" s="20" t="s">
        <v>75</v>
      </c>
      <c r="U1389" s="21" t="s">
        <v>109</v>
      </c>
      <c r="V1389" s="25" t="s">
        <v>65</v>
      </c>
      <c r="W1389" s="22">
        <v>3</v>
      </c>
      <c r="X1389" s="23"/>
    </row>
    <row r="1390" spans="1:24" s="1" customFormat="1" ht="35" customHeight="1" x14ac:dyDescent="0.3">
      <c r="A1390" s="24" t="s">
        <v>23</v>
      </c>
      <c r="B1390" s="24" t="s">
        <v>1143</v>
      </c>
      <c r="C1390" s="12" t="s">
        <v>1149</v>
      </c>
      <c r="D1390" s="58"/>
      <c r="E1390" s="43" t="str">
        <f>HYPERLINK("https://www.google.ru/search?q=29037-0070&amp;newwindow=1&amp;tbm=isch","Еще фото")</f>
        <v>Еще фото</v>
      </c>
      <c r="F1390" s="14"/>
      <c r="G1390" s="24" t="s">
        <v>237</v>
      </c>
      <c r="H1390" s="24" t="s">
        <v>27</v>
      </c>
      <c r="I1390" s="24" t="s">
        <v>237</v>
      </c>
      <c r="J1390" s="15" t="s">
        <v>37</v>
      </c>
      <c r="K1390" s="16" t="s">
        <v>57</v>
      </c>
      <c r="L1390" s="61"/>
      <c r="M1390" s="15"/>
      <c r="N1390" s="15" t="s">
        <v>130</v>
      </c>
      <c r="O1390" s="15"/>
      <c r="P1390" s="16" t="s">
        <v>1150</v>
      </c>
      <c r="Q1390" s="17">
        <v>16799</v>
      </c>
      <c r="R1390" s="18">
        <v>45</v>
      </c>
      <c r="S1390" s="19">
        <v>10625.3675</v>
      </c>
      <c r="T1390" s="20" t="s">
        <v>75</v>
      </c>
      <c r="U1390" s="21" t="s">
        <v>165</v>
      </c>
      <c r="V1390" s="22">
        <v>48</v>
      </c>
      <c r="W1390" s="22">
        <v>1</v>
      </c>
      <c r="X1390" s="23"/>
    </row>
    <row r="1391" spans="1:24" s="1" customFormat="1" ht="37.049999999999997" customHeight="1" x14ac:dyDescent="0.3">
      <c r="A1391" s="24" t="s">
        <v>23</v>
      </c>
      <c r="B1391" s="24" t="s">
        <v>1143</v>
      </c>
      <c r="C1391" s="12" t="s">
        <v>1149</v>
      </c>
      <c r="D1391" s="59"/>
      <c r="E1391" s="43" t="str">
        <f>HYPERLINK("https://www.google.ru/search?q=29037-0070&amp;newwindow=1&amp;tbm=isch","Еще фото")</f>
        <v>Еще фото</v>
      </c>
      <c r="F1391" s="14"/>
      <c r="G1391" s="24" t="s">
        <v>237</v>
      </c>
      <c r="H1391" s="24" t="s">
        <v>27</v>
      </c>
      <c r="I1391" s="24" t="s">
        <v>237</v>
      </c>
      <c r="J1391" s="15" t="s">
        <v>37</v>
      </c>
      <c r="K1391" s="16" t="s">
        <v>57</v>
      </c>
      <c r="L1391" s="62"/>
      <c r="M1391" s="15"/>
      <c r="N1391" s="15" t="s">
        <v>130</v>
      </c>
      <c r="O1391" s="15"/>
      <c r="P1391" s="16" t="s">
        <v>1150</v>
      </c>
      <c r="Q1391" s="17">
        <v>16799</v>
      </c>
      <c r="R1391" s="18">
        <v>45</v>
      </c>
      <c r="S1391" s="19">
        <v>10625.3675</v>
      </c>
      <c r="T1391" s="20" t="s">
        <v>75</v>
      </c>
      <c r="U1391" s="21" t="s">
        <v>100</v>
      </c>
      <c r="V1391" s="22">
        <v>50</v>
      </c>
      <c r="W1391" s="22">
        <v>1</v>
      </c>
      <c r="X1391" s="23"/>
    </row>
    <row r="1392" spans="1:24" s="1" customFormat="1" ht="108" customHeight="1" x14ac:dyDescent="0.3">
      <c r="A1392" s="11" t="s">
        <v>23</v>
      </c>
      <c r="B1392" s="11" t="s">
        <v>1151</v>
      </c>
      <c r="C1392" s="12" t="s">
        <v>1152</v>
      </c>
      <c r="D1392" s="13"/>
      <c r="E1392" s="43" t="str">
        <f>HYPERLINK("https://www.google.ru/search?q=29037-0078&amp;newwindow=1&amp;tbm=isch","Еще фото")</f>
        <v>Еще фото</v>
      </c>
      <c r="F1392" s="14" t="s">
        <v>182</v>
      </c>
      <c r="G1392" s="11" t="s">
        <v>237</v>
      </c>
      <c r="H1392" s="11" t="s">
        <v>27</v>
      </c>
      <c r="I1392" s="15" t="s">
        <v>237</v>
      </c>
      <c r="J1392" s="15" t="s">
        <v>37</v>
      </c>
      <c r="K1392" s="16" t="s">
        <v>57</v>
      </c>
      <c r="L1392" s="15" t="s">
        <v>1142</v>
      </c>
      <c r="M1392" s="15"/>
      <c r="N1392" s="15" t="s">
        <v>130</v>
      </c>
      <c r="O1392" s="15"/>
      <c r="P1392" s="16" t="s">
        <v>172</v>
      </c>
      <c r="Q1392" s="17">
        <v>15699</v>
      </c>
      <c r="R1392" s="18">
        <v>45</v>
      </c>
      <c r="S1392" s="19">
        <v>9929.6175000000003</v>
      </c>
      <c r="T1392" s="20" t="s">
        <v>75</v>
      </c>
      <c r="U1392" s="21" t="s">
        <v>100</v>
      </c>
      <c r="V1392" s="22">
        <v>50</v>
      </c>
      <c r="W1392" s="22">
        <v>1</v>
      </c>
      <c r="X1392" s="23"/>
    </row>
    <row r="1393" spans="1:24" s="1" customFormat="1" ht="35" customHeight="1" x14ac:dyDescent="0.3">
      <c r="A1393" s="11" t="s">
        <v>23</v>
      </c>
      <c r="B1393" s="11" t="s">
        <v>1153</v>
      </c>
      <c r="C1393" s="12" t="s">
        <v>1154</v>
      </c>
      <c r="D1393" s="57"/>
      <c r="E1393" s="43" t="str">
        <f>HYPERLINK("https://www.google.ru/search?q=29037-0140&amp;newwindow=1&amp;tbm=isch","Еще фото")</f>
        <v>Еще фото</v>
      </c>
      <c r="F1393" s="14" t="s">
        <v>182</v>
      </c>
      <c r="G1393" s="11" t="s">
        <v>237</v>
      </c>
      <c r="H1393" s="11" t="s">
        <v>27</v>
      </c>
      <c r="I1393" s="15" t="s">
        <v>237</v>
      </c>
      <c r="J1393" s="15" t="s">
        <v>37</v>
      </c>
      <c r="K1393" s="16" t="s">
        <v>57</v>
      </c>
      <c r="L1393" s="60" t="s">
        <v>673</v>
      </c>
      <c r="M1393" s="15"/>
      <c r="N1393" s="15" t="s">
        <v>130</v>
      </c>
      <c r="O1393" s="15"/>
      <c r="P1393" s="16" t="s">
        <v>1150</v>
      </c>
      <c r="Q1393" s="17">
        <v>17099</v>
      </c>
      <c r="R1393" s="18">
        <v>45</v>
      </c>
      <c r="S1393" s="19">
        <v>10815.1175</v>
      </c>
      <c r="T1393" s="20" t="s">
        <v>75</v>
      </c>
      <c r="U1393" s="21" t="s">
        <v>53</v>
      </c>
      <c r="V1393" s="22">
        <v>46</v>
      </c>
      <c r="W1393" s="22">
        <v>1</v>
      </c>
      <c r="X1393" s="23"/>
    </row>
    <row r="1394" spans="1:24" s="1" customFormat="1" ht="35" customHeight="1" x14ac:dyDescent="0.3">
      <c r="A1394" s="24" t="s">
        <v>23</v>
      </c>
      <c r="B1394" s="24" t="s">
        <v>1153</v>
      </c>
      <c r="C1394" s="12" t="s">
        <v>1154</v>
      </c>
      <c r="D1394" s="58"/>
      <c r="E1394" s="43" t="str">
        <f>HYPERLINK("https://www.google.ru/search?q=29037-0140&amp;newwindow=1&amp;tbm=isch","Еще фото")</f>
        <v>Еще фото</v>
      </c>
      <c r="F1394" s="14" t="s">
        <v>182</v>
      </c>
      <c r="G1394" s="24" t="s">
        <v>237</v>
      </c>
      <c r="H1394" s="24" t="s">
        <v>27</v>
      </c>
      <c r="I1394" s="24" t="s">
        <v>237</v>
      </c>
      <c r="J1394" s="15" t="s">
        <v>37</v>
      </c>
      <c r="K1394" s="16" t="s">
        <v>57</v>
      </c>
      <c r="L1394" s="61"/>
      <c r="M1394" s="15"/>
      <c r="N1394" s="15" t="s">
        <v>130</v>
      </c>
      <c r="O1394" s="15"/>
      <c r="P1394" s="16" t="s">
        <v>1150</v>
      </c>
      <c r="Q1394" s="17">
        <v>17099</v>
      </c>
      <c r="R1394" s="18">
        <v>45</v>
      </c>
      <c r="S1394" s="19">
        <v>10815.1175</v>
      </c>
      <c r="T1394" s="20" t="s">
        <v>75</v>
      </c>
      <c r="U1394" s="21" t="s">
        <v>165</v>
      </c>
      <c r="V1394" s="22">
        <v>48</v>
      </c>
      <c r="W1394" s="22">
        <v>2</v>
      </c>
      <c r="X1394" s="23"/>
    </row>
    <row r="1395" spans="1:24" s="1" customFormat="1" ht="37.049999999999997" customHeight="1" x14ac:dyDescent="0.3">
      <c r="A1395" s="24" t="s">
        <v>23</v>
      </c>
      <c r="B1395" s="24" t="s">
        <v>1153</v>
      </c>
      <c r="C1395" s="12" t="s">
        <v>1154</v>
      </c>
      <c r="D1395" s="59"/>
      <c r="E1395" s="43" t="str">
        <f>HYPERLINK("https://www.google.ru/search?q=29037-0140&amp;newwindow=1&amp;tbm=isch","Еще фото")</f>
        <v>Еще фото</v>
      </c>
      <c r="F1395" s="14" t="s">
        <v>182</v>
      </c>
      <c r="G1395" s="24" t="s">
        <v>237</v>
      </c>
      <c r="H1395" s="24" t="s">
        <v>27</v>
      </c>
      <c r="I1395" s="24" t="s">
        <v>237</v>
      </c>
      <c r="J1395" s="15" t="s">
        <v>37</v>
      </c>
      <c r="K1395" s="16" t="s">
        <v>57</v>
      </c>
      <c r="L1395" s="62"/>
      <c r="M1395" s="15"/>
      <c r="N1395" s="15" t="s">
        <v>130</v>
      </c>
      <c r="O1395" s="15"/>
      <c r="P1395" s="16" t="s">
        <v>1150</v>
      </c>
      <c r="Q1395" s="17">
        <v>17099</v>
      </c>
      <c r="R1395" s="18">
        <v>45</v>
      </c>
      <c r="S1395" s="19">
        <v>10815.1175</v>
      </c>
      <c r="T1395" s="20" t="s">
        <v>75</v>
      </c>
      <c r="U1395" s="21" t="s">
        <v>89</v>
      </c>
      <c r="V1395" s="22">
        <v>50</v>
      </c>
      <c r="W1395" s="22">
        <v>1</v>
      </c>
      <c r="X1395" s="23"/>
    </row>
    <row r="1396" spans="1:24" s="1" customFormat="1" ht="108" customHeight="1" x14ac:dyDescent="0.3">
      <c r="A1396" s="11" t="s">
        <v>23</v>
      </c>
      <c r="B1396" s="11" t="s">
        <v>1155</v>
      </c>
      <c r="C1396" s="12" t="s">
        <v>1156</v>
      </c>
      <c r="D1396" s="13"/>
      <c r="E1396" s="43" t="str">
        <f>HYPERLINK("https://www.google.ru/search?q=29507-0001&amp;newwindow=1&amp;tbm=isch","Еще фото")</f>
        <v>Еще фото</v>
      </c>
      <c r="F1396" s="14" t="s">
        <v>182</v>
      </c>
      <c r="G1396" s="11" t="s">
        <v>237</v>
      </c>
      <c r="H1396" s="11" t="s">
        <v>27</v>
      </c>
      <c r="I1396" s="15" t="s">
        <v>237</v>
      </c>
      <c r="J1396" s="15" t="s">
        <v>37</v>
      </c>
      <c r="K1396" s="16" t="s">
        <v>57</v>
      </c>
      <c r="L1396" s="15" t="s">
        <v>596</v>
      </c>
      <c r="M1396" s="15"/>
      <c r="N1396" s="15" t="s">
        <v>39</v>
      </c>
      <c r="O1396" s="15"/>
      <c r="P1396" s="16" t="s">
        <v>1157</v>
      </c>
      <c r="Q1396" s="17">
        <v>8699</v>
      </c>
      <c r="R1396" s="18">
        <v>45</v>
      </c>
      <c r="S1396" s="19">
        <v>5502.1174999999994</v>
      </c>
      <c r="T1396" s="20" t="s">
        <v>75</v>
      </c>
      <c r="U1396" s="21" t="s">
        <v>109</v>
      </c>
      <c r="V1396" s="25" t="s">
        <v>65</v>
      </c>
      <c r="W1396" s="22">
        <v>1</v>
      </c>
      <c r="X1396" s="23"/>
    </row>
    <row r="1397" spans="1:24" s="1" customFormat="1" ht="11" customHeight="1" x14ac:dyDescent="0.3">
      <c r="A1397" s="11" t="s">
        <v>23</v>
      </c>
      <c r="B1397" s="11" t="s">
        <v>1158</v>
      </c>
      <c r="C1397" s="12" t="s">
        <v>1159</v>
      </c>
      <c r="D1397" s="57"/>
      <c r="E1397" s="43" t="str">
        <f t="shared" ref="E1397:E1406" si="88">HYPERLINK("https://www.google.ru/search?q=29507-0031&amp;newwindow=1&amp;tbm=isch","Еще фото")</f>
        <v>Еще фото</v>
      </c>
      <c r="F1397" s="34" t="s">
        <v>854</v>
      </c>
      <c r="G1397" s="11" t="s">
        <v>237</v>
      </c>
      <c r="H1397" s="11" t="s">
        <v>27</v>
      </c>
      <c r="I1397" s="15" t="s">
        <v>237</v>
      </c>
      <c r="J1397" s="15" t="s">
        <v>28</v>
      </c>
      <c r="K1397" s="16" t="s">
        <v>57</v>
      </c>
      <c r="L1397" s="60" t="s">
        <v>1160</v>
      </c>
      <c r="M1397" s="15" t="s">
        <v>72</v>
      </c>
      <c r="N1397" s="15" t="s">
        <v>39</v>
      </c>
      <c r="O1397" s="15" t="s">
        <v>113</v>
      </c>
      <c r="P1397" s="16" t="s">
        <v>891</v>
      </c>
      <c r="Q1397" s="17">
        <v>15199</v>
      </c>
      <c r="R1397" s="18">
        <v>45</v>
      </c>
      <c r="S1397" s="19">
        <v>9613.3675000000003</v>
      </c>
      <c r="T1397" s="20" t="s">
        <v>75</v>
      </c>
      <c r="U1397" s="21" t="s">
        <v>173</v>
      </c>
      <c r="V1397" s="25" t="s">
        <v>63</v>
      </c>
      <c r="W1397" s="22">
        <v>6</v>
      </c>
      <c r="X1397" s="23"/>
    </row>
    <row r="1398" spans="1:24" s="1" customFormat="1" ht="11" customHeight="1" x14ac:dyDescent="0.3">
      <c r="A1398" s="24" t="s">
        <v>23</v>
      </c>
      <c r="B1398" s="24" t="s">
        <v>1158</v>
      </c>
      <c r="C1398" s="12" t="s">
        <v>1159</v>
      </c>
      <c r="D1398" s="58"/>
      <c r="E1398" s="43" t="str">
        <f t="shared" si="88"/>
        <v>Еще фото</v>
      </c>
      <c r="F1398" s="34" t="s">
        <v>854</v>
      </c>
      <c r="G1398" s="24" t="s">
        <v>237</v>
      </c>
      <c r="H1398" s="24" t="s">
        <v>27</v>
      </c>
      <c r="I1398" s="24" t="s">
        <v>237</v>
      </c>
      <c r="J1398" s="15" t="s">
        <v>28</v>
      </c>
      <c r="K1398" s="16" t="s">
        <v>57</v>
      </c>
      <c r="L1398" s="61"/>
      <c r="M1398" s="15" t="s">
        <v>72</v>
      </c>
      <c r="N1398" s="15" t="s">
        <v>39</v>
      </c>
      <c r="O1398" s="15" t="s">
        <v>113</v>
      </c>
      <c r="P1398" s="16" t="s">
        <v>891</v>
      </c>
      <c r="Q1398" s="17">
        <v>15199</v>
      </c>
      <c r="R1398" s="18">
        <v>45</v>
      </c>
      <c r="S1398" s="19">
        <v>9613.3675000000003</v>
      </c>
      <c r="T1398" s="20" t="s">
        <v>75</v>
      </c>
      <c r="U1398" s="21" t="s">
        <v>53</v>
      </c>
      <c r="V1398" s="22">
        <v>46</v>
      </c>
      <c r="W1398" s="22">
        <v>7</v>
      </c>
      <c r="X1398" s="23"/>
    </row>
    <row r="1399" spans="1:24" s="1" customFormat="1" ht="11" customHeight="1" x14ac:dyDescent="0.3">
      <c r="A1399" s="24" t="s">
        <v>23</v>
      </c>
      <c r="B1399" s="24" t="s">
        <v>1158</v>
      </c>
      <c r="C1399" s="12" t="s">
        <v>1159</v>
      </c>
      <c r="D1399" s="58"/>
      <c r="E1399" s="43" t="str">
        <f t="shared" si="88"/>
        <v>Еще фото</v>
      </c>
      <c r="F1399" s="34" t="s">
        <v>854</v>
      </c>
      <c r="G1399" s="24" t="s">
        <v>237</v>
      </c>
      <c r="H1399" s="24" t="s">
        <v>27</v>
      </c>
      <c r="I1399" s="24" t="s">
        <v>237</v>
      </c>
      <c r="J1399" s="15" t="s">
        <v>28</v>
      </c>
      <c r="K1399" s="16" t="s">
        <v>57</v>
      </c>
      <c r="L1399" s="61"/>
      <c r="M1399" s="15" t="s">
        <v>72</v>
      </c>
      <c r="N1399" s="15" t="s">
        <v>39</v>
      </c>
      <c r="O1399" s="15" t="s">
        <v>113</v>
      </c>
      <c r="P1399" s="16" t="s">
        <v>891</v>
      </c>
      <c r="Q1399" s="17">
        <v>15199</v>
      </c>
      <c r="R1399" s="18">
        <v>45</v>
      </c>
      <c r="S1399" s="19">
        <v>9613.3675000000003</v>
      </c>
      <c r="T1399" s="20" t="s">
        <v>75</v>
      </c>
      <c r="U1399" s="21" t="s">
        <v>143</v>
      </c>
      <c r="V1399" s="22">
        <v>46</v>
      </c>
      <c r="W1399" s="22">
        <v>14</v>
      </c>
      <c r="X1399" s="23"/>
    </row>
    <row r="1400" spans="1:24" s="1" customFormat="1" ht="11" customHeight="1" x14ac:dyDescent="0.3">
      <c r="A1400" s="24" t="s">
        <v>23</v>
      </c>
      <c r="B1400" s="24" t="s">
        <v>1158</v>
      </c>
      <c r="C1400" s="12" t="s">
        <v>1159</v>
      </c>
      <c r="D1400" s="58"/>
      <c r="E1400" s="43" t="str">
        <f t="shared" si="88"/>
        <v>Еще фото</v>
      </c>
      <c r="F1400" s="34" t="s">
        <v>854</v>
      </c>
      <c r="G1400" s="24" t="s">
        <v>237</v>
      </c>
      <c r="H1400" s="24" t="s">
        <v>27</v>
      </c>
      <c r="I1400" s="24" t="s">
        <v>237</v>
      </c>
      <c r="J1400" s="15" t="s">
        <v>28</v>
      </c>
      <c r="K1400" s="16" t="s">
        <v>57</v>
      </c>
      <c r="L1400" s="61"/>
      <c r="M1400" s="15" t="s">
        <v>72</v>
      </c>
      <c r="N1400" s="15" t="s">
        <v>39</v>
      </c>
      <c r="O1400" s="15" t="s">
        <v>113</v>
      </c>
      <c r="P1400" s="16" t="s">
        <v>891</v>
      </c>
      <c r="Q1400" s="17">
        <v>15199</v>
      </c>
      <c r="R1400" s="18">
        <v>45</v>
      </c>
      <c r="S1400" s="19">
        <v>9613.3675000000003</v>
      </c>
      <c r="T1400" s="20" t="s">
        <v>75</v>
      </c>
      <c r="U1400" s="21" t="s">
        <v>188</v>
      </c>
      <c r="V1400" s="25" t="s">
        <v>65</v>
      </c>
      <c r="W1400" s="22">
        <v>1</v>
      </c>
      <c r="X1400" s="23"/>
    </row>
    <row r="1401" spans="1:24" s="1" customFormat="1" ht="11" customHeight="1" x14ac:dyDescent="0.3">
      <c r="A1401" s="24" t="s">
        <v>23</v>
      </c>
      <c r="B1401" s="24" t="s">
        <v>1158</v>
      </c>
      <c r="C1401" s="12" t="s">
        <v>1159</v>
      </c>
      <c r="D1401" s="58"/>
      <c r="E1401" s="43" t="str">
        <f t="shared" si="88"/>
        <v>Еще фото</v>
      </c>
      <c r="F1401" s="34" t="s">
        <v>854</v>
      </c>
      <c r="G1401" s="24" t="s">
        <v>237</v>
      </c>
      <c r="H1401" s="24" t="s">
        <v>27</v>
      </c>
      <c r="I1401" s="24" t="s">
        <v>237</v>
      </c>
      <c r="J1401" s="15" t="s">
        <v>28</v>
      </c>
      <c r="K1401" s="16" t="s">
        <v>57</v>
      </c>
      <c r="L1401" s="61"/>
      <c r="M1401" s="15" t="s">
        <v>72</v>
      </c>
      <c r="N1401" s="15" t="s">
        <v>39</v>
      </c>
      <c r="O1401" s="15" t="s">
        <v>113</v>
      </c>
      <c r="P1401" s="16" t="s">
        <v>891</v>
      </c>
      <c r="Q1401" s="17">
        <v>15199</v>
      </c>
      <c r="R1401" s="18">
        <v>45</v>
      </c>
      <c r="S1401" s="19">
        <v>9613.3675000000003</v>
      </c>
      <c r="T1401" s="20" t="s">
        <v>75</v>
      </c>
      <c r="U1401" s="21" t="s">
        <v>109</v>
      </c>
      <c r="V1401" s="25" t="s">
        <v>65</v>
      </c>
      <c r="W1401" s="22">
        <v>11</v>
      </c>
      <c r="X1401" s="23"/>
    </row>
    <row r="1402" spans="1:24" s="1" customFormat="1" ht="11" customHeight="1" x14ac:dyDescent="0.3">
      <c r="A1402" s="24" t="s">
        <v>23</v>
      </c>
      <c r="B1402" s="24" t="s">
        <v>1158</v>
      </c>
      <c r="C1402" s="12" t="s">
        <v>1159</v>
      </c>
      <c r="D1402" s="58"/>
      <c r="E1402" s="43" t="str">
        <f t="shared" si="88"/>
        <v>Еще фото</v>
      </c>
      <c r="F1402" s="34" t="s">
        <v>854</v>
      </c>
      <c r="G1402" s="24" t="s">
        <v>237</v>
      </c>
      <c r="H1402" s="24" t="s">
        <v>27</v>
      </c>
      <c r="I1402" s="24" t="s">
        <v>237</v>
      </c>
      <c r="J1402" s="15" t="s">
        <v>28</v>
      </c>
      <c r="K1402" s="16" t="s">
        <v>57</v>
      </c>
      <c r="L1402" s="61"/>
      <c r="M1402" s="15" t="s">
        <v>72</v>
      </c>
      <c r="N1402" s="15" t="s">
        <v>39</v>
      </c>
      <c r="O1402" s="15" t="s">
        <v>113</v>
      </c>
      <c r="P1402" s="16" t="s">
        <v>891</v>
      </c>
      <c r="Q1402" s="17">
        <v>15199</v>
      </c>
      <c r="R1402" s="18">
        <v>45</v>
      </c>
      <c r="S1402" s="19">
        <v>9613.3675000000003</v>
      </c>
      <c r="T1402" s="20" t="s">
        <v>75</v>
      </c>
      <c r="U1402" s="21" t="s">
        <v>140</v>
      </c>
      <c r="V1402" s="25" t="s">
        <v>65</v>
      </c>
      <c r="W1402" s="22">
        <v>13</v>
      </c>
      <c r="X1402" s="23"/>
    </row>
    <row r="1403" spans="1:24" s="1" customFormat="1" ht="11" customHeight="1" x14ac:dyDescent="0.3">
      <c r="A1403" s="24" t="s">
        <v>23</v>
      </c>
      <c r="B1403" s="24" t="s">
        <v>1158</v>
      </c>
      <c r="C1403" s="12" t="s">
        <v>1159</v>
      </c>
      <c r="D1403" s="58"/>
      <c r="E1403" s="43" t="str">
        <f t="shared" si="88"/>
        <v>Еще фото</v>
      </c>
      <c r="F1403" s="34" t="s">
        <v>854</v>
      </c>
      <c r="G1403" s="24" t="s">
        <v>237</v>
      </c>
      <c r="H1403" s="24" t="s">
        <v>27</v>
      </c>
      <c r="I1403" s="24" t="s">
        <v>237</v>
      </c>
      <c r="J1403" s="15" t="s">
        <v>28</v>
      </c>
      <c r="K1403" s="16" t="s">
        <v>57</v>
      </c>
      <c r="L1403" s="61"/>
      <c r="M1403" s="15" t="s">
        <v>72</v>
      </c>
      <c r="N1403" s="15" t="s">
        <v>39</v>
      </c>
      <c r="O1403" s="15" t="s">
        <v>113</v>
      </c>
      <c r="P1403" s="16" t="s">
        <v>891</v>
      </c>
      <c r="Q1403" s="17">
        <v>15199</v>
      </c>
      <c r="R1403" s="18">
        <v>45</v>
      </c>
      <c r="S1403" s="19">
        <v>9613.3675000000003</v>
      </c>
      <c r="T1403" s="20" t="s">
        <v>75</v>
      </c>
      <c r="U1403" s="21" t="s">
        <v>104</v>
      </c>
      <c r="V1403" s="22">
        <v>48</v>
      </c>
      <c r="W1403" s="22">
        <v>5</v>
      </c>
      <c r="X1403" s="23"/>
    </row>
    <row r="1404" spans="1:24" s="1" customFormat="1" ht="11" customHeight="1" x14ac:dyDescent="0.3">
      <c r="A1404" s="24" t="s">
        <v>23</v>
      </c>
      <c r="B1404" s="24" t="s">
        <v>1158</v>
      </c>
      <c r="C1404" s="12" t="s">
        <v>1159</v>
      </c>
      <c r="D1404" s="58"/>
      <c r="E1404" s="43" t="str">
        <f t="shared" si="88"/>
        <v>Еще фото</v>
      </c>
      <c r="F1404" s="34" t="s">
        <v>854</v>
      </c>
      <c r="G1404" s="24" t="s">
        <v>237</v>
      </c>
      <c r="H1404" s="24" t="s">
        <v>27</v>
      </c>
      <c r="I1404" s="24" t="s">
        <v>237</v>
      </c>
      <c r="J1404" s="15" t="s">
        <v>28</v>
      </c>
      <c r="K1404" s="16" t="s">
        <v>57</v>
      </c>
      <c r="L1404" s="61"/>
      <c r="M1404" s="15" t="s">
        <v>72</v>
      </c>
      <c r="N1404" s="15" t="s">
        <v>39</v>
      </c>
      <c r="O1404" s="15" t="s">
        <v>113</v>
      </c>
      <c r="P1404" s="16" t="s">
        <v>891</v>
      </c>
      <c r="Q1404" s="17">
        <v>15199</v>
      </c>
      <c r="R1404" s="18">
        <v>45</v>
      </c>
      <c r="S1404" s="19">
        <v>9613.3675000000003</v>
      </c>
      <c r="T1404" s="20" t="s">
        <v>75</v>
      </c>
      <c r="U1404" s="21" t="s">
        <v>166</v>
      </c>
      <c r="V1404" s="25" t="s">
        <v>96</v>
      </c>
      <c r="W1404" s="22">
        <v>5</v>
      </c>
      <c r="X1404" s="23"/>
    </row>
    <row r="1405" spans="1:24" s="1" customFormat="1" ht="11" customHeight="1" x14ac:dyDescent="0.3">
      <c r="A1405" s="24" t="s">
        <v>23</v>
      </c>
      <c r="B1405" s="24" t="s">
        <v>1158</v>
      </c>
      <c r="C1405" s="12" t="s">
        <v>1159</v>
      </c>
      <c r="D1405" s="58"/>
      <c r="E1405" s="43" t="str">
        <f t="shared" si="88"/>
        <v>Еще фото</v>
      </c>
      <c r="F1405" s="34" t="s">
        <v>854</v>
      </c>
      <c r="G1405" s="24" t="s">
        <v>237</v>
      </c>
      <c r="H1405" s="24" t="s">
        <v>27</v>
      </c>
      <c r="I1405" s="24" t="s">
        <v>237</v>
      </c>
      <c r="J1405" s="15" t="s">
        <v>28</v>
      </c>
      <c r="K1405" s="16" t="s">
        <v>57</v>
      </c>
      <c r="L1405" s="61"/>
      <c r="M1405" s="15" t="s">
        <v>72</v>
      </c>
      <c r="N1405" s="15" t="s">
        <v>39</v>
      </c>
      <c r="O1405" s="15" t="s">
        <v>113</v>
      </c>
      <c r="P1405" s="16" t="s">
        <v>891</v>
      </c>
      <c r="Q1405" s="17">
        <v>15199</v>
      </c>
      <c r="R1405" s="18">
        <v>45</v>
      </c>
      <c r="S1405" s="19">
        <v>9613.3675000000003</v>
      </c>
      <c r="T1405" s="20" t="s">
        <v>75</v>
      </c>
      <c r="U1405" s="21" t="s">
        <v>89</v>
      </c>
      <c r="V1405" s="22">
        <v>50</v>
      </c>
      <c r="W1405" s="22">
        <v>7</v>
      </c>
      <c r="X1405" s="23"/>
    </row>
    <row r="1406" spans="1:24" s="1" customFormat="1" ht="11" customHeight="1" x14ac:dyDescent="0.3">
      <c r="A1406" s="15" t="s">
        <v>23</v>
      </c>
      <c r="B1406" s="15" t="s">
        <v>1158</v>
      </c>
      <c r="C1406" s="12" t="s">
        <v>1159</v>
      </c>
      <c r="D1406" s="59"/>
      <c r="E1406" s="43" t="str">
        <f t="shared" si="88"/>
        <v>Еще фото</v>
      </c>
      <c r="F1406" s="35" t="s">
        <v>854</v>
      </c>
      <c r="G1406" s="15" t="s">
        <v>237</v>
      </c>
      <c r="H1406" s="15" t="s">
        <v>27</v>
      </c>
      <c r="I1406" s="15" t="s">
        <v>237</v>
      </c>
      <c r="J1406" s="15" t="s">
        <v>28</v>
      </c>
      <c r="K1406" s="15" t="s">
        <v>57</v>
      </c>
      <c r="L1406" s="62"/>
      <c r="M1406" s="15" t="s">
        <v>72</v>
      </c>
      <c r="N1406" s="15" t="s">
        <v>39</v>
      </c>
      <c r="O1406" s="15" t="s">
        <v>113</v>
      </c>
      <c r="P1406" s="15" t="s">
        <v>891</v>
      </c>
      <c r="Q1406" s="27">
        <v>15199</v>
      </c>
      <c r="R1406" s="28">
        <v>45</v>
      </c>
      <c r="S1406" s="29">
        <v>9613.3675000000003</v>
      </c>
      <c r="T1406" s="20" t="s">
        <v>75</v>
      </c>
      <c r="U1406" s="21" t="s">
        <v>100</v>
      </c>
      <c r="V1406" s="22">
        <v>50</v>
      </c>
      <c r="W1406" s="22">
        <v>1</v>
      </c>
      <c r="X1406" s="23"/>
    </row>
    <row r="1407" spans="1:24" s="1" customFormat="1" ht="108" customHeight="1" x14ac:dyDescent="0.3">
      <c r="A1407" s="11" t="s">
        <v>23</v>
      </c>
      <c r="B1407" s="11" t="s">
        <v>1161</v>
      </c>
      <c r="C1407" s="12" t="s">
        <v>1162</v>
      </c>
      <c r="D1407" s="13"/>
      <c r="E1407" s="43" t="str">
        <f>HYPERLINK("https://www.google.ru/search?q=29507-0036&amp;newwindow=1&amp;tbm=isch","Еще фото")</f>
        <v>Еще фото</v>
      </c>
      <c r="F1407" s="14" t="s">
        <v>182</v>
      </c>
      <c r="G1407" s="11" t="s">
        <v>237</v>
      </c>
      <c r="H1407" s="11" t="s">
        <v>27</v>
      </c>
      <c r="I1407" s="15" t="s">
        <v>237</v>
      </c>
      <c r="J1407" s="15" t="s">
        <v>28</v>
      </c>
      <c r="K1407" s="16" t="s">
        <v>57</v>
      </c>
      <c r="L1407" s="15" t="s">
        <v>1163</v>
      </c>
      <c r="M1407" s="15" t="s">
        <v>72</v>
      </c>
      <c r="N1407" s="15" t="s">
        <v>249</v>
      </c>
      <c r="O1407" s="15" t="s">
        <v>121</v>
      </c>
      <c r="P1407" s="16" t="s">
        <v>1164</v>
      </c>
      <c r="Q1407" s="17">
        <v>8699</v>
      </c>
      <c r="R1407" s="18">
        <v>45</v>
      </c>
      <c r="S1407" s="19">
        <v>5502.1174999999994</v>
      </c>
      <c r="T1407" s="20" t="s">
        <v>75</v>
      </c>
      <c r="U1407" s="21" t="s">
        <v>200</v>
      </c>
      <c r="V1407" s="25" t="s">
        <v>96</v>
      </c>
      <c r="W1407" s="22">
        <v>1</v>
      </c>
      <c r="X1407" s="23"/>
    </row>
    <row r="1408" spans="1:24" s="1" customFormat="1" ht="108" customHeight="1" x14ac:dyDescent="0.3">
      <c r="A1408" s="11" t="s">
        <v>23</v>
      </c>
      <c r="B1408" s="11" t="s">
        <v>1165</v>
      </c>
      <c r="C1408" s="12" t="s">
        <v>1166</v>
      </c>
      <c r="D1408" s="13"/>
      <c r="E1408" s="43" t="str">
        <f>HYPERLINK("https://www.google.ru/search?q=29507-0053&amp;newwindow=1&amp;tbm=isch","Еще фото")</f>
        <v>Еще фото</v>
      </c>
      <c r="F1408" s="14" t="s">
        <v>182</v>
      </c>
      <c r="G1408" s="11" t="s">
        <v>237</v>
      </c>
      <c r="H1408" s="11" t="s">
        <v>27</v>
      </c>
      <c r="I1408" s="15" t="s">
        <v>237</v>
      </c>
      <c r="J1408" s="15" t="s">
        <v>37</v>
      </c>
      <c r="K1408" s="16" t="s">
        <v>57</v>
      </c>
      <c r="L1408" s="15" t="s">
        <v>1167</v>
      </c>
      <c r="M1408" s="15"/>
      <c r="N1408" s="15" t="s">
        <v>249</v>
      </c>
      <c r="O1408" s="15"/>
      <c r="P1408" s="16" t="s">
        <v>1168</v>
      </c>
      <c r="Q1408" s="17">
        <v>15799</v>
      </c>
      <c r="R1408" s="18">
        <v>45</v>
      </c>
      <c r="S1408" s="19">
        <v>9992.8675000000003</v>
      </c>
      <c r="T1408" s="20" t="s">
        <v>75</v>
      </c>
      <c r="U1408" s="21" t="s">
        <v>104</v>
      </c>
      <c r="V1408" s="22">
        <v>48</v>
      </c>
      <c r="W1408" s="22">
        <v>3</v>
      </c>
      <c r="X1408" s="23"/>
    </row>
    <row r="1409" spans="1:24" s="1" customFormat="1" ht="11" customHeight="1" x14ac:dyDescent="0.3">
      <c r="A1409" s="11" t="s">
        <v>23</v>
      </c>
      <c r="B1409" s="11" t="s">
        <v>1169</v>
      </c>
      <c r="C1409" s="12" t="s">
        <v>1170</v>
      </c>
      <c r="D1409" s="57"/>
      <c r="E1409" s="43" t="str">
        <f t="shared" ref="E1409:E1419" si="89">HYPERLINK("https://www.google.ru/search?q=29507-0280&amp;newwindow=1&amp;tbm=isch","Еще фото")</f>
        <v>Еще фото</v>
      </c>
      <c r="F1409" s="34" t="s">
        <v>854</v>
      </c>
      <c r="G1409" s="11" t="s">
        <v>237</v>
      </c>
      <c r="H1409" s="11" t="s">
        <v>27</v>
      </c>
      <c r="I1409" s="15" t="s">
        <v>237</v>
      </c>
      <c r="J1409" s="15" t="s">
        <v>28</v>
      </c>
      <c r="K1409" s="16" t="s">
        <v>57</v>
      </c>
      <c r="L1409" s="60" t="s">
        <v>1171</v>
      </c>
      <c r="M1409" s="15" t="s">
        <v>72</v>
      </c>
      <c r="N1409" s="15" t="s">
        <v>130</v>
      </c>
      <c r="O1409" s="15" t="s">
        <v>121</v>
      </c>
      <c r="P1409" s="16" t="s">
        <v>187</v>
      </c>
      <c r="Q1409" s="17">
        <v>16999</v>
      </c>
      <c r="R1409" s="18">
        <v>45</v>
      </c>
      <c r="S1409" s="19">
        <v>10751.8675</v>
      </c>
      <c r="T1409" s="20" t="s">
        <v>75</v>
      </c>
      <c r="U1409" s="21" t="s">
        <v>173</v>
      </c>
      <c r="V1409" s="25" t="s">
        <v>63</v>
      </c>
      <c r="W1409" s="22">
        <v>14</v>
      </c>
      <c r="X1409" s="23"/>
    </row>
    <row r="1410" spans="1:24" s="1" customFormat="1" ht="11" customHeight="1" x14ac:dyDescent="0.3">
      <c r="A1410" s="24" t="s">
        <v>23</v>
      </c>
      <c r="B1410" s="24" t="s">
        <v>1169</v>
      </c>
      <c r="C1410" s="12" t="s">
        <v>1170</v>
      </c>
      <c r="D1410" s="58"/>
      <c r="E1410" s="43" t="str">
        <f t="shared" si="89"/>
        <v>Еще фото</v>
      </c>
      <c r="F1410" s="34" t="s">
        <v>854</v>
      </c>
      <c r="G1410" s="24" t="s">
        <v>237</v>
      </c>
      <c r="H1410" s="24" t="s">
        <v>27</v>
      </c>
      <c r="I1410" s="24" t="s">
        <v>237</v>
      </c>
      <c r="J1410" s="15" t="s">
        <v>28</v>
      </c>
      <c r="K1410" s="16" t="s">
        <v>57</v>
      </c>
      <c r="L1410" s="61"/>
      <c r="M1410" s="15" t="s">
        <v>72</v>
      </c>
      <c r="N1410" s="15" t="s">
        <v>130</v>
      </c>
      <c r="O1410" s="15" t="s">
        <v>121</v>
      </c>
      <c r="P1410" s="16" t="s">
        <v>187</v>
      </c>
      <c r="Q1410" s="17">
        <v>16999</v>
      </c>
      <c r="R1410" s="18">
        <v>45</v>
      </c>
      <c r="S1410" s="19">
        <v>10751.8675</v>
      </c>
      <c r="T1410" s="20" t="s">
        <v>75</v>
      </c>
      <c r="U1410" s="21" t="s">
        <v>52</v>
      </c>
      <c r="V1410" s="22">
        <v>46</v>
      </c>
      <c r="W1410" s="22">
        <v>4</v>
      </c>
      <c r="X1410" s="23"/>
    </row>
    <row r="1411" spans="1:24" s="1" customFormat="1" ht="11" customHeight="1" x14ac:dyDescent="0.3">
      <c r="A1411" s="24" t="s">
        <v>23</v>
      </c>
      <c r="B1411" s="24" t="s">
        <v>1169</v>
      </c>
      <c r="C1411" s="12" t="s">
        <v>1170</v>
      </c>
      <c r="D1411" s="58"/>
      <c r="E1411" s="43" t="str">
        <f t="shared" si="89"/>
        <v>Еще фото</v>
      </c>
      <c r="F1411" s="34" t="s">
        <v>854</v>
      </c>
      <c r="G1411" s="24" t="s">
        <v>237</v>
      </c>
      <c r="H1411" s="24" t="s">
        <v>27</v>
      </c>
      <c r="I1411" s="24" t="s">
        <v>237</v>
      </c>
      <c r="J1411" s="15" t="s">
        <v>28</v>
      </c>
      <c r="K1411" s="16" t="s">
        <v>57</v>
      </c>
      <c r="L1411" s="61"/>
      <c r="M1411" s="15" t="s">
        <v>72</v>
      </c>
      <c r="N1411" s="15" t="s">
        <v>130</v>
      </c>
      <c r="O1411" s="15" t="s">
        <v>121</v>
      </c>
      <c r="P1411" s="16" t="s">
        <v>187</v>
      </c>
      <c r="Q1411" s="17">
        <v>16999</v>
      </c>
      <c r="R1411" s="18">
        <v>45</v>
      </c>
      <c r="S1411" s="19">
        <v>10751.8675</v>
      </c>
      <c r="T1411" s="20" t="s">
        <v>75</v>
      </c>
      <c r="U1411" s="21" t="s">
        <v>53</v>
      </c>
      <c r="V1411" s="22">
        <v>46</v>
      </c>
      <c r="W1411" s="22">
        <v>29</v>
      </c>
      <c r="X1411" s="23"/>
    </row>
    <row r="1412" spans="1:24" s="1" customFormat="1" ht="11" customHeight="1" x14ac:dyDescent="0.3">
      <c r="A1412" s="24" t="s">
        <v>23</v>
      </c>
      <c r="B1412" s="24" t="s">
        <v>1169</v>
      </c>
      <c r="C1412" s="12" t="s">
        <v>1170</v>
      </c>
      <c r="D1412" s="58"/>
      <c r="E1412" s="43" t="str">
        <f t="shared" si="89"/>
        <v>Еще фото</v>
      </c>
      <c r="F1412" s="34" t="s">
        <v>854</v>
      </c>
      <c r="G1412" s="24" t="s">
        <v>237</v>
      </c>
      <c r="H1412" s="24" t="s">
        <v>27</v>
      </c>
      <c r="I1412" s="24" t="s">
        <v>237</v>
      </c>
      <c r="J1412" s="15" t="s">
        <v>28</v>
      </c>
      <c r="K1412" s="16" t="s">
        <v>57</v>
      </c>
      <c r="L1412" s="61"/>
      <c r="M1412" s="15" t="s">
        <v>72</v>
      </c>
      <c r="N1412" s="15" t="s">
        <v>130</v>
      </c>
      <c r="O1412" s="15" t="s">
        <v>121</v>
      </c>
      <c r="P1412" s="16" t="s">
        <v>187</v>
      </c>
      <c r="Q1412" s="17">
        <v>16999</v>
      </c>
      <c r="R1412" s="18">
        <v>45</v>
      </c>
      <c r="S1412" s="19">
        <v>10751.8675</v>
      </c>
      <c r="T1412" s="20" t="s">
        <v>75</v>
      </c>
      <c r="U1412" s="21" t="s">
        <v>143</v>
      </c>
      <c r="V1412" s="22">
        <v>46</v>
      </c>
      <c r="W1412" s="22">
        <v>4</v>
      </c>
      <c r="X1412" s="23"/>
    </row>
    <row r="1413" spans="1:24" s="1" customFormat="1" ht="11" customHeight="1" x14ac:dyDescent="0.3">
      <c r="A1413" s="24" t="s">
        <v>23</v>
      </c>
      <c r="B1413" s="24" t="s">
        <v>1169</v>
      </c>
      <c r="C1413" s="12" t="s">
        <v>1170</v>
      </c>
      <c r="D1413" s="58"/>
      <c r="E1413" s="43" t="str">
        <f t="shared" si="89"/>
        <v>Еще фото</v>
      </c>
      <c r="F1413" s="34" t="s">
        <v>854</v>
      </c>
      <c r="G1413" s="24" t="s">
        <v>237</v>
      </c>
      <c r="H1413" s="24" t="s">
        <v>27</v>
      </c>
      <c r="I1413" s="24" t="s">
        <v>237</v>
      </c>
      <c r="J1413" s="15" t="s">
        <v>28</v>
      </c>
      <c r="K1413" s="16" t="s">
        <v>57</v>
      </c>
      <c r="L1413" s="61"/>
      <c r="M1413" s="15" t="s">
        <v>72</v>
      </c>
      <c r="N1413" s="15" t="s">
        <v>130</v>
      </c>
      <c r="O1413" s="15" t="s">
        <v>121</v>
      </c>
      <c r="P1413" s="16" t="s">
        <v>187</v>
      </c>
      <c r="Q1413" s="17">
        <v>16999</v>
      </c>
      <c r="R1413" s="18">
        <v>45</v>
      </c>
      <c r="S1413" s="19">
        <v>10751.8675</v>
      </c>
      <c r="T1413" s="20" t="s">
        <v>75</v>
      </c>
      <c r="U1413" s="21" t="s">
        <v>109</v>
      </c>
      <c r="V1413" s="25" t="s">
        <v>65</v>
      </c>
      <c r="W1413" s="22">
        <v>34</v>
      </c>
      <c r="X1413" s="23"/>
    </row>
    <row r="1414" spans="1:24" s="1" customFormat="1" ht="11" customHeight="1" x14ac:dyDescent="0.3">
      <c r="A1414" s="24" t="s">
        <v>23</v>
      </c>
      <c r="B1414" s="24" t="s">
        <v>1169</v>
      </c>
      <c r="C1414" s="12" t="s">
        <v>1170</v>
      </c>
      <c r="D1414" s="58"/>
      <c r="E1414" s="43" t="str">
        <f t="shared" si="89"/>
        <v>Еще фото</v>
      </c>
      <c r="F1414" s="34" t="s">
        <v>854</v>
      </c>
      <c r="G1414" s="24" t="s">
        <v>237</v>
      </c>
      <c r="H1414" s="24" t="s">
        <v>27</v>
      </c>
      <c r="I1414" s="24" t="s">
        <v>237</v>
      </c>
      <c r="J1414" s="15" t="s">
        <v>28</v>
      </c>
      <c r="K1414" s="16" t="s">
        <v>57</v>
      </c>
      <c r="L1414" s="61"/>
      <c r="M1414" s="15" t="s">
        <v>72</v>
      </c>
      <c r="N1414" s="15" t="s">
        <v>130</v>
      </c>
      <c r="O1414" s="15" t="s">
        <v>121</v>
      </c>
      <c r="P1414" s="16" t="s">
        <v>187</v>
      </c>
      <c r="Q1414" s="17">
        <v>16999</v>
      </c>
      <c r="R1414" s="18">
        <v>45</v>
      </c>
      <c r="S1414" s="19">
        <v>10751.8675</v>
      </c>
      <c r="T1414" s="20" t="s">
        <v>75</v>
      </c>
      <c r="U1414" s="21" t="s">
        <v>140</v>
      </c>
      <c r="V1414" s="25" t="s">
        <v>65</v>
      </c>
      <c r="W1414" s="22">
        <v>4</v>
      </c>
      <c r="X1414" s="23"/>
    </row>
    <row r="1415" spans="1:24" s="1" customFormat="1" ht="11" customHeight="1" x14ac:dyDescent="0.3">
      <c r="A1415" s="24" t="s">
        <v>23</v>
      </c>
      <c r="B1415" s="24" t="s">
        <v>1169</v>
      </c>
      <c r="C1415" s="12" t="s">
        <v>1170</v>
      </c>
      <c r="D1415" s="58"/>
      <c r="E1415" s="43" t="str">
        <f t="shared" si="89"/>
        <v>Еще фото</v>
      </c>
      <c r="F1415" s="34" t="s">
        <v>854</v>
      </c>
      <c r="G1415" s="24" t="s">
        <v>237</v>
      </c>
      <c r="H1415" s="24" t="s">
        <v>27</v>
      </c>
      <c r="I1415" s="24" t="s">
        <v>237</v>
      </c>
      <c r="J1415" s="15" t="s">
        <v>28</v>
      </c>
      <c r="K1415" s="16" t="s">
        <v>57</v>
      </c>
      <c r="L1415" s="61"/>
      <c r="M1415" s="15" t="s">
        <v>72</v>
      </c>
      <c r="N1415" s="15" t="s">
        <v>130</v>
      </c>
      <c r="O1415" s="15" t="s">
        <v>121</v>
      </c>
      <c r="P1415" s="16" t="s">
        <v>187</v>
      </c>
      <c r="Q1415" s="17">
        <v>16999</v>
      </c>
      <c r="R1415" s="18">
        <v>45</v>
      </c>
      <c r="S1415" s="19">
        <v>10751.8675</v>
      </c>
      <c r="T1415" s="20" t="s">
        <v>75</v>
      </c>
      <c r="U1415" s="21" t="s">
        <v>95</v>
      </c>
      <c r="V1415" s="22">
        <v>48</v>
      </c>
      <c r="W1415" s="22">
        <v>7</v>
      </c>
      <c r="X1415" s="23"/>
    </row>
    <row r="1416" spans="1:24" s="1" customFormat="1" ht="11" customHeight="1" x14ac:dyDescent="0.3">
      <c r="A1416" s="24" t="s">
        <v>23</v>
      </c>
      <c r="B1416" s="24" t="s">
        <v>1169</v>
      </c>
      <c r="C1416" s="12" t="s">
        <v>1170</v>
      </c>
      <c r="D1416" s="58"/>
      <c r="E1416" s="43" t="str">
        <f t="shared" si="89"/>
        <v>Еще фото</v>
      </c>
      <c r="F1416" s="34" t="s">
        <v>854</v>
      </c>
      <c r="G1416" s="24" t="s">
        <v>237</v>
      </c>
      <c r="H1416" s="24" t="s">
        <v>27</v>
      </c>
      <c r="I1416" s="24" t="s">
        <v>237</v>
      </c>
      <c r="J1416" s="15" t="s">
        <v>28</v>
      </c>
      <c r="K1416" s="16" t="s">
        <v>57</v>
      </c>
      <c r="L1416" s="61"/>
      <c r="M1416" s="15" t="s">
        <v>72</v>
      </c>
      <c r="N1416" s="15" t="s">
        <v>130</v>
      </c>
      <c r="O1416" s="15" t="s">
        <v>121</v>
      </c>
      <c r="P1416" s="16" t="s">
        <v>187</v>
      </c>
      <c r="Q1416" s="17">
        <v>16999</v>
      </c>
      <c r="R1416" s="18">
        <v>45</v>
      </c>
      <c r="S1416" s="19">
        <v>10751.8675</v>
      </c>
      <c r="T1416" s="20" t="s">
        <v>75</v>
      </c>
      <c r="U1416" s="21" t="s">
        <v>165</v>
      </c>
      <c r="V1416" s="22">
        <v>48</v>
      </c>
      <c r="W1416" s="22">
        <v>26</v>
      </c>
      <c r="X1416" s="23"/>
    </row>
    <row r="1417" spans="1:24" s="1" customFormat="1" ht="11" customHeight="1" x14ac:dyDescent="0.3">
      <c r="A1417" s="24" t="s">
        <v>23</v>
      </c>
      <c r="B1417" s="24" t="s">
        <v>1169</v>
      </c>
      <c r="C1417" s="12" t="s">
        <v>1170</v>
      </c>
      <c r="D1417" s="58"/>
      <c r="E1417" s="43" t="str">
        <f t="shared" si="89"/>
        <v>Еще фото</v>
      </c>
      <c r="F1417" s="34" t="s">
        <v>854</v>
      </c>
      <c r="G1417" s="24" t="s">
        <v>237</v>
      </c>
      <c r="H1417" s="24" t="s">
        <v>27</v>
      </c>
      <c r="I1417" s="24" t="s">
        <v>237</v>
      </c>
      <c r="J1417" s="15" t="s">
        <v>28</v>
      </c>
      <c r="K1417" s="16" t="s">
        <v>57</v>
      </c>
      <c r="L1417" s="61"/>
      <c r="M1417" s="15" t="s">
        <v>72</v>
      </c>
      <c r="N1417" s="15" t="s">
        <v>130</v>
      </c>
      <c r="O1417" s="15" t="s">
        <v>121</v>
      </c>
      <c r="P1417" s="16" t="s">
        <v>187</v>
      </c>
      <c r="Q1417" s="17">
        <v>16999</v>
      </c>
      <c r="R1417" s="18">
        <v>45</v>
      </c>
      <c r="S1417" s="19">
        <v>10751.8675</v>
      </c>
      <c r="T1417" s="20" t="s">
        <v>75</v>
      </c>
      <c r="U1417" s="21" t="s">
        <v>166</v>
      </c>
      <c r="V1417" s="25" t="s">
        <v>96</v>
      </c>
      <c r="W1417" s="22">
        <v>2</v>
      </c>
      <c r="X1417" s="23"/>
    </row>
    <row r="1418" spans="1:24" s="1" customFormat="1" ht="11" customHeight="1" x14ac:dyDescent="0.3">
      <c r="A1418" s="15" t="s">
        <v>23</v>
      </c>
      <c r="B1418" s="15" t="s">
        <v>1169</v>
      </c>
      <c r="C1418" s="12" t="s">
        <v>1170</v>
      </c>
      <c r="D1418" s="58"/>
      <c r="E1418" s="43" t="str">
        <f t="shared" si="89"/>
        <v>Еще фото</v>
      </c>
      <c r="F1418" s="35" t="s">
        <v>854</v>
      </c>
      <c r="G1418" s="15" t="s">
        <v>237</v>
      </c>
      <c r="H1418" s="15" t="s">
        <v>27</v>
      </c>
      <c r="I1418" s="15" t="s">
        <v>237</v>
      </c>
      <c r="J1418" s="15" t="s">
        <v>28</v>
      </c>
      <c r="K1418" s="15" t="s">
        <v>57</v>
      </c>
      <c r="L1418" s="61"/>
      <c r="M1418" s="15" t="s">
        <v>72</v>
      </c>
      <c r="N1418" s="15" t="s">
        <v>130</v>
      </c>
      <c r="O1418" s="15" t="s">
        <v>121</v>
      </c>
      <c r="P1418" s="15" t="s">
        <v>187</v>
      </c>
      <c r="Q1418" s="27">
        <v>16999</v>
      </c>
      <c r="R1418" s="28">
        <v>45</v>
      </c>
      <c r="S1418" s="29">
        <v>10751.8675</v>
      </c>
      <c r="T1418" s="20" t="s">
        <v>75</v>
      </c>
      <c r="U1418" s="21" t="s">
        <v>89</v>
      </c>
      <c r="V1418" s="22">
        <v>50</v>
      </c>
      <c r="W1418" s="22">
        <v>22</v>
      </c>
      <c r="X1418" s="23"/>
    </row>
    <row r="1419" spans="1:24" s="1" customFormat="1" ht="11" customHeight="1" x14ac:dyDescent="0.3">
      <c r="A1419" s="15" t="s">
        <v>23</v>
      </c>
      <c r="B1419" s="15" t="s">
        <v>1169</v>
      </c>
      <c r="C1419" s="12" t="s">
        <v>1170</v>
      </c>
      <c r="D1419" s="59"/>
      <c r="E1419" s="43" t="str">
        <f t="shared" si="89"/>
        <v>Еще фото</v>
      </c>
      <c r="F1419" s="35" t="s">
        <v>854</v>
      </c>
      <c r="G1419" s="15" t="s">
        <v>237</v>
      </c>
      <c r="H1419" s="15" t="s">
        <v>27</v>
      </c>
      <c r="I1419" s="15" t="s">
        <v>237</v>
      </c>
      <c r="J1419" s="15" t="s">
        <v>28</v>
      </c>
      <c r="K1419" s="15" t="s">
        <v>57</v>
      </c>
      <c r="L1419" s="62"/>
      <c r="M1419" s="15" t="s">
        <v>72</v>
      </c>
      <c r="N1419" s="15" t="s">
        <v>130</v>
      </c>
      <c r="O1419" s="15" t="s">
        <v>121</v>
      </c>
      <c r="P1419" s="15" t="s">
        <v>187</v>
      </c>
      <c r="Q1419" s="27">
        <v>16999</v>
      </c>
      <c r="R1419" s="28">
        <v>45</v>
      </c>
      <c r="S1419" s="29">
        <v>10751.8675</v>
      </c>
      <c r="T1419" s="20" t="s">
        <v>75</v>
      </c>
      <c r="U1419" s="21" t="s">
        <v>167</v>
      </c>
      <c r="V1419" s="22">
        <v>52</v>
      </c>
      <c r="W1419" s="22">
        <v>4</v>
      </c>
      <c r="X1419" s="23"/>
    </row>
    <row r="1420" spans="1:24" s="1" customFormat="1" ht="108" customHeight="1" x14ac:dyDescent="0.3">
      <c r="A1420" s="11" t="s">
        <v>23</v>
      </c>
      <c r="B1420" s="11" t="s">
        <v>1172</v>
      </c>
      <c r="C1420" s="12" t="s">
        <v>1173</v>
      </c>
      <c r="D1420" s="13"/>
      <c r="E1420" s="43" t="str">
        <f>HYPERLINK("https://www.google.ru/search?q=29507-0555&amp;newwindow=1&amp;tbm=isch","Еще фото")</f>
        <v>Еще фото</v>
      </c>
      <c r="F1420" s="14"/>
      <c r="G1420" s="11" t="s">
        <v>237</v>
      </c>
      <c r="H1420" s="11" t="s">
        <v>27</v>
      </c>
      <c r="I1420" s="15" t="s">
        <v>237</v>
      </c>
      <c r="J1420" s="15" t="s">
        <v>37</v>
      </c>
      <c r="K1420" s="16" t="s">
        <v>57</v>
      </c>
      <c r="L1420" s="15" t="s">
        <v>579</v>
      </c>
      <c r="M1420" s="15"/>
      <c r="N1420" s="15" t="s">
        <v>130</v>
      </c>
      <c r="O1420" s="15"/>
      <c r="P1420" s="16" t="s">
        <v>254</v>
      </c>
      <c r="Q1420" s="17">
        <v>17699</v>
      </c>
      <c r="R1420" s="18">
        <v>45</v>
      </c>
      <c r="S1420" s="19">
        <v>11194.6175</v>
      </c>
      <c r="T1420" s="20" t="s">
        <v>75</v>
      </c>
      <c r="U1420" s="21" t="s">
        <v>196</v>
      </c>
      <c r="V1420" s="22">
        <v>54</v>
      </c>
      <c r="W1420" s="22">
        <v>5</v>
      </c>
      <c r="X1420" s="23"/>
    </row>
    <row r="1421" spans="1:24" s="1" customFormat="1" ht="13.05" customHeight="1" x14ac:dyDescent="0.3">
      <c r="A1421" s="11" t="s">
        <v>23</v>
      </c>
      <c r="B1421" s="11" t="s">
        <v>1174</v>
      </c>
      <c r="C1421" s="12" t="s">
        <v>1175</v>
      </c>
      <c r="D1421" s="57"/>
      <c r="E1421" s="43" t="str">
        <f t="shared" ref="E1421:E1428" si="90">HYPERLINK("https://www.google.ru/search?q=29507-1317&amp;newwindow=1&amp;tbm=isch","Еще фото")</f>
        <v>Еще фото</v>
      </c>
      <c r="F1421" s="14" t="s">
        <v>854</v>
      </c>
      <c r="G1421" s="11" t="s">
        <v>237</v>
      </c>
      <c r="H1421" s="11" t="s">
        <v>27</v>
      </c>
      <c r="I1421" s="15" t="s">
        <v>237</v>
      </c>
      <c r="J1421" s="15" t="s">
        <v>37</v>
      </c>
      <c r="K1421" s="16" t="s">
        <v>57</v>
      </c>
      <c r="L1421" s="60" t="s">
        <v>579</v>
      </c>
      <c r="M1421" s="15"/>
      <c r="N1421" s="15" t="s">
        <v>130</v>
      </c>
      <c r="O1421" s="15"/>
      <c r="P1421" s="16" t="s">
        <v>891</v>
      </c>
      <c r="Q1421" s="17">
        <v>14199</v>
      </c>
      <c r="R1421" s="18">
        <v>45</v>
      </c>
      <c r="S1421" s="19">
        <v>8980.8674999999985</v>
      </c>
      <c r="T1421" s="20" t="s">
        <v>75</v>
      </c>
      <c r="U1421" s="33" t="s">
        <v>53</v>
      </c>
      <c r="V1421" s="22">
        <v>46</v>
      </c>
      <c r="W1421" s="22">
        <v>34</v>
      </c>
      <c r="X1421" s="23"/>
    </row>
    <row r="1422" spans="1:24" s="1" customFormat="1" ht="13.05" customHeight="1" x14ac:dyDescent="0.3">
      <c r="A1422" s="24" t="s">
        <v>23</v>
      </c>
      <c r="B1422" s="24" t="s">
        <v>1174</v>
      </c>
      <c r="C1422" s="12" t="s">
        <v>1175</v>
      </c>
      <c r="D1422" s="58"/>
      <c r="E1422" s="43" t="str">
        <f t="shared" si="90"/>
        <v>Еще фото</v>
      </c>
      <c r="F1422" s="14" t="s">
        <v>854</v>
      </c>
      <c r="G1422" s="24" t="s">
        <v>237</v>
      </c>
      <c r="H1422" s="24" t="s">
        <v>27</v>
      </c>
      <c r="I1422" s="24" t="s">
        <v>237</v>
      </c>
      <c r="J1422" s="15" t="s">
        <v>37</v>
      </c>
      <c r="K1422" s="16" t="s">
        <v>57</v>
      </c>
      <c r="L1422" s="61"/>
      <c r="M1422" s="15"/>
      <c r="N1422" s="15" t="s">
        <v>130</v>
      </c>
      <c r="O1422" s="15"/>
      <c r="P1422" s="16" t="s">
        <v>891</v>
      </c>
      <c r="Q1422" s="17">
        <v>14199</v>
      </c>
      <c r="R1422" s="18">
        <v>45</v>
      </c>
      <c r="S1422" s="19">
        <v>8980.8674999999985</v>
      </c>
      <c r="T1422" s="20" t="s">
        <v>75</v>
      </c>
      <c r="U1422" s="21" t="s">
        <v>143</v>
      </c>
      <c r="V1422" s="22">
        <v>46</v>
      </c>
      <c r="W1422" s="22">
        <v>2</v>
      </c>
      <c r="X1422" s="23"/>
    </row>
    <row r="1423" spans="1:24" s="1" customFormat="1" ht="13.05" customHeight="1" x14ac:dyDescent="0.3">
      <c r="A1423" s="24" t="s">
        <v>23</v>
      </c>
      <c r="B1423" s="24" t="s">
        <v>1174</v>
      </c>
      <c r="C1423" s="12" t="s">
        <v>1175</v>
      </c>
      <c r="D1423" s="58"/>
      <c r="E1423" s="43" t="str">
        <f t="shared" si="90"/>
        <v>Еще фото</v>
      </c>
      <c r="F1423" s="14" t="s">
        <v>854</v>
      </c>
      <c r="G1423" s="24" t="s">
        <v>237</v>
      </c>
      <c r="H1423" s="24" t="s">
        <v>27</v>
      </c>
      <c r="I1423" s="24" t="s">
        <v>237</v>
      </c>
      <c r="J1423" s="15" t="s">
        <v>37</v>
      </c>
      <c r="K1423" s="16" t="s">
        <v>57</v>
      </c>
      <c r="L1423" s="61"/>
      <c r="M1423" s="15"/>
      <c r="N1423" s="15" t="s">
        <v>130</v>
      </c>
      <c r="O1423" s="15"/>
      <c r="P1423" s="16" t="s">
        <v>891</v>
      </c>
      <c r="Q1423" s="17">
        <v>14199</v>
      </c>
      <c r="R1423" s="18">
        <v>45</v>
      </c>
      <c r="S1423" s="19">
        <v>8980.8674999999985</v>
      </c>
      <c r="T1423" s="20" t="s">
        <v>75</v>
      </c>
      <c r="U1423" s="21" t="s">
        <v>188</v>
      </c>
      <c r="V1423" s="25" t="s">
        <v>65</v>
      </c>
      <c r="W1423" s="22">
        <v>1</v>
      </c>
      <c r="X1423" s="23"/>
    </row>
    <row r="1424" spans="1:24" s="1" customFormat="1" ht="13.05" customHeight="1" x14ac:dyDescent="0.3">
      <c r="A1424" s="24" t="s">
        <v>23</v>
      </c>
      <c r="B1424" s="24" t="s">
        <v>1174</v>
      </c>
      <c r="C1424" s="12" t="s">
        <v>1175</v>
      </c>
      <c r="D1424" s="58"/>
      <c r="E1424" s="43" t="str">
        <f t="shared" si="90"/>
        <v>Еще фото</v>
      </c>
      <c r="F1424" s="14" t="s">
        <v>854</v>
      </c>
      <c r="G1424" s="24" t="s">
        <v>237</v>
      </c>
      <c r="H1424" s="24" t="s">
        <v>27</v>
      </c>
      <c r="I1424" s="24" t="s">
        <v>237</v>
      </c>
      <c r="J1424" s="15" t="s">
        <v>37</v>
      </c>
      <c r="K1424" s="16" t="s">
        <v>57</v>
      </c>
      <c r="L1424" s="61"/>
      <c r="M1424" s="15"/>
      <c r="N1424" s="15" t="s">
        <v>130</v>
      </c>
      <c r="O1424" s="15"/>
      <c r="P1424" s="16" t="s">
        <v>891</v>
      </c>
      <c r="Q1424" s="17">
        <v>14199</v>
      </c>
      <c r="R1424" s="18">
        <v>45</v>
      </c>
      <c r="S1424" s="19">
        <v>8980.8674999999985</v>
      </c>
      <c r="T1424" s="20" t="s">
        <v>75</v>
      </c>
      <c r="U1424" s="21" t="s">
        <v>109</v>
      </c>
      <c r="V1424" s="25" t="s">
        <v>65</v>
      </c>
      <c r="W1424" s="22">
        <v>8</v>
      </c>
      <c r="X1424" s="23"/>
    </row>
    <row r="1425" spans="1:24" s="1" customFormat="1" ht="13.05" customHeight="1" x14ac:dyDescent="0.3">
      <c r="A1425" s="24" t="s">
        <v>23</v>
      </c>
      <c r="B1425" s="24" t="s">
        <v>1174</v>
      </c>
      <c r="C1425" s="12" t="s">
        <v>1175</v>
      </c>
      <c r="D1425" s="58"/>
      <c r="E1425" s="43" t="str">
        <f t="shared" si="90"/>
        <v>Еще фото</v>
      </c>
      <c r="F1425" s="14" t="s">
        <v>854</v>
      </c>
      <c r="G1425" s="24" t="s">
        <v>237</v>
      </c>
      <c r="H1425" s="24" t="s">
        <v>27</v>
      </c>
      <c r="I1425" s="24" t="s">
        <v>237</v>
      </c>
      <c r="J1425" s="15" t="s">
        <v>37</v>
      </c>
      <c r="K1425" s="16" t="s">
        <v>57</v>
      </c>
      <c r="L1425" s="61"/>
      <c r="M1425" s="15"/>
      <c r="N1425" s="15" t="s">
        <v>130</v>
      </c>
      <c r="O1425" s="15"/>
      <c r="P1425" s="16" t="s">
        <v>891</v>
      </c>
      <c r="Q1425" s="17">
        <v>14199</v>
      </c>
      <c r="R1425" s="18">
        <v>45</v>
      </c>
      <c r="S1425" s="19">
        <v>8980.8674999999985</v>
      </c>
      <c r="T1425" s="20" t="s">
        <v>75</v>
      </c>
      <c r="U1425" s="21" t="s">
        <v>95</v>
      </c>
      <c r="V1425" s="22">
        <v>48</v>
      </c>
      <c r="W1425" s="22">
        <v>10</v>
      </c>
      <c r="X1425" s="23"/>
    </row>
    <row r="1426" spans="1:24" s="1" customFormat="1" ht="13.05" customHeight="1" x14ac:dyDescent="0.3">
      <c r="A1426" s="24" t="s">
        <v>23</v>
      </c>
      <c r="B1426" s="24" t="s">
        <v>1174</v>
      </c>
      <c r="C1426" s="12" t="s">
        <v>1175</v>
      </c>
      <c r="D1426" s="58"/>
      <c r="E1426" s="43" t="str">
        <f t="shared" si="90"/>
        <v>Еще фото</v>
      </c>
      <c r="F1426" s="14" t="s">
        <v>854</v>
      </c>
      <c r="G1426" s="24" t="s">
        <v>237</v>
      </c>
      <c r="H1426" s="24" t="s">
        <v>27</v>
      </c>
      <c r="I1426" s="24" t="s">
        <v>237</v>
      </c>
      <c r="J1426" s="15" t="s">
        <v>37</v>
      </c>
      <c r="K1426" s="16" t="s">
        <v>57</v>
      </c>
      <c r="L1426" s="61"/>
      <c r="M1426" s="15"/>
      <c r="N1426" s="15" t="s">
        <v>130</v>
      </c>
      <c r="O1426" s="15"/>
      <c r="P1426" s="16" t="s">
        <v>891</v>
      </c>
      <c r="Q1426" s="17">
        <v>14199</v>
      </c>
      <c r="R1426" s="18">
        <v>45</v>
      </c>
      <c r="S1426" s="19">
        <v>8980.8674999999985</v>
      </c>
      <c r="T1426" s="20" t="s">
        <v>75</v>
      </c>
      <c r="U1426" s="21" t="s">
        <v>165</v>
      </c>
      <c r="V1426" s="22">
        <v>48</v>
      </c>
      <c r="W1426" s="22">
        <v>6</v>
      </c>
      <c r="X1426" s="23"/>
    </row>
    <row r="1427" spans="1:24" s="1" customFormat="1" ht="13.05" customHeight="1" x14ac:dyDescent="0.3">
      <c r="A1427" s="24" t="s">
        <v>23</v>
      </c>
      <c r="B1427" s="24" t="s">
        <v>1174</v>
      </c>
      <c r="C1427" s="12" t="s">
        <v>1175</v>
      </c>
      <c r="D1427" s="58"/>
      <c r="E1427" s="43" t="str">
        <f t="shared" si="90"/>
        <v>Еще фото</v>
      </c>
      <c r="F1427" s="14" t="s">
        <v>854</v>
      </c>
      <c r="G1427" s="24" t="s">
        <v>237</v>
      </c>
      <c r="H1427" s="24" t="s">
        <v>27</v>
      </c>
      <c r="I1427" s="24" t="s">
        <v>237</v>
      </c>
      <c r="J1427" s="15" t="s">
        <v>37</v>
      </c>
      <c r="K1427" s="16" t="s">
        <v>57</v>
      </c>
      <c r="L1427" s="61"/>
      <c r="M1427" s="15"/>
      <c r="N1427" s="15" t="s">
        <v>130</v>
      </c>
      <c r="O1427" s="15"/>
      <c r="P1427" s="16" t="s">
        <v>891</v>
      </c>
      <c r="Q1427" s="17">
        <v>14199</v>
      </c>
      <c r="R1427" s="18">
        <v>45</v>
      </c>
      <c r="S1427" s="19">
        <v>8980.8674999999985</v>
      </c>
      <c r="T1427" s="20" t="s">
        <v>75</v>
      </c>
      <c r="U1427" s="21" t="s">
        <v>104</v>
      </c>
      <c r="V1427" s="22">
        <v>48</v>
      </c>
      <c r="W1427" s="22">
        <v>1</v>
      </c>
      <c r="X1427" s="23"/>
    </row>
    <row r="1428" spans="1:24" s="1" customFormat="1" ht="18" customHeight="1" x14ac:dyDescent="0.3">
      <c r="A1428" s="24" t="s">
        <v>23</v>
      </c>
      <c r="B1428" s="24" t="s">
        <v>1174</v>
      </c>
      <c r="C1428" s="12" t="s">
        <v>1175</v>
      </c>
      <c r="D1428" s="59"/>
      <c r="E1428" s="43" t="str">
        <f t="shared" si="90"/>
        <v>Еще фото</v>
      </c>
      <c r="F1428" s="14" t="s">
        <v>854</v>
      </c>
      <c r="G1428" s="24" t="s">
        <v>237</v>
      </c>
      <c r="H1428" s="24" t="s">
        <v>27</v>
      </c>
      <c r="I1428" s="24" t="s">
        <v>237</v>
      </c>
      <c r="J1428" s="15" t="s">
        <v>37</v>
      </c>
      <c r="K1428" s="16" t="s">
        <v>57</v>
      </c>
      <c r="L1428" s="62"/>
      <c r="M1428" s="15"/>
      <c r="N1428" s="15" t="s">
        <v>130</v>
      </c>
      <c r="O1428" s="15"/>
      <c r="P1428" s="16" t="s">
        <v>891</v>
      </c>
      <c r="Q1428" s="17">
        <v>14199</v>
      </c>
      <c r="R1428" s="18">
        <v>45</v>
      </c>
      <c r="S1428" s="19">
        <v>8980.8674999999985</v>
      </c>
      <c r="T1428" s="20" t="s">
        <v>75</v>
      </c>
      <c r="U1428" s="21" t="s">
        <v>166</v>
      </c>
      <c r="V1428" s="25" t="s">
        <v>96</v>
      </c>
      <c r="W1428" s="22">
        <v>1</v>
      </c>
      <c r="X1428" s="23"/>
    </row>
    <row r="1429" spans="1:24" s="1" customFormat="1" ht="21" customHeight="1" x14ac:dyDescent="0.3">
      <c r="A1429" s="11" t="s">
        <v>23</v>
      </c>
      <c r="B1429" s="11" t="s">
        <v>1174</v>
      </c>
      <c r="C1429" s="30" t="s">
        <v>1176</v>
      </c>
      <c r="D1429" s="57"/>
      <c r="E1429" s="43" t="str">
        <f>HYPERLINK("https://www.google.ru/search?q=29507-1364&amp;newwindow=1&amp;tbm=isch","Еще фото")</f>
        <v>Еще фото</v>
      </c>
      <c r="F1429" s="14" t="s">
        <v>854</v>
      </c>
      <c r="G1429" s="11" t="s">
        <v>237</v>
      </c>
      <c r="H1429" s="11" t="s">
        <v>27</v>
      </c>
      <c r="I1429" s="15" t="s">
        <v>237</v>
      </c>
      <c r="J1429" s="15" t="s">
        <v>37</v>
      </c>
      <c r="K1429" s="16" t="s">
        <v>57</v>
      </c>
      <c r="L1429" s="60" t="s">
        <v>579</v>
      </c>
      <c r="M1429" s="15"/>
      <c r="N1429" s="15" t="s">
        <v>138</v>
      </c>
      <c r="O1429" s="15"/>
      <c r="P1429" s="16" t="s">
        <v>254</v>
      </c>
      <c r="Q1429" s="17">
        <v>12499</v>
      </c>
      <c r="R1429" s="18">
        <v>45</v>
      </c>
      <c r="S1429" s="19">
        <v>7905.6174999999994</v>
      </c>
      <c r="T1429" s="20" t="s">
        <v>75</v>
      </c>
      <c r="U1429" s="21" t="s">
        <v>173</v>
      </c>
      <c r="V1429" s="25" t="s">
        <v>63</v>
      </c>
      <c r="W1429" s="22">
        <v>3</v>
      </c>
      <c r="X1429" s="23"/>
    </row>
    <row r="1430" spans="1:24" s="1" customFormat="1" ht="21" customHeight="1" x14ac:dyDescent="0.3">
      <c r="A1430" s="24" t="s">
        <v>23</v>
      </c>
      <c r="B1430" s="24" t="s">
        <v>1174</v>
      </c>
      <c r="C1430" s="31" t="s">
        <v>1176</v>
      </c>
      <c r="D1430" s="58"/>
      <c r="E1430" s="43" t="str">
        <f>HYPERLINK("https://www.google.ru/search?q=29507-1364&amp;newwindow=1&amp;tbm=isch","Еще фото")</f>
        <v>Еще фото</v>
      </c>
      <c r="F1430" s="14" t="s">
        <v>854</v>
      </c>
      <c r="G1430" s="24" t="s">
        <v>237</v>
      </c>
      <c r="H1430" s="24" t="s">
        <v>27</v>
      </c>
      <c r="I1430" s="24" t="s">
        <v>237</v>
      </c>
      <c r="J1430" s="15" t="s">
        <v>37</v>
      </c>
      <c r="K1430" s="16" t="s">
        <v>57</v>
      </c>
      <c r="L1430" s="61"/>
      <c r="M1430" s="15"/>
      <c r="N1430" s="15" t="s">
        <v>138</v>
      </c>
      <c r="O1430" s="15"/>
      <c r="P1430" s="16" t="s">
        <v>254</v>
      </c>
      <c r="Q1430" s="17">
        <v>12499</v>
      </c>
      <c r="R1430" s="18">
        <v>45</v>
      </c>
      <c r="S1430" s="19">
        <v>7905.6174999999994</v>
      </c>
      <c r="T1430" s="20" t="s">
        <v>75</v>
      </c>
      <c r="U1430" s="21" t="s">
        <v>53</v>
      </c>
      <c r="V1430" s="22">
        <v>46</v>
      </c>
      <c r="W1430" s="22">
        <v>6</v>
      </c>
      <c r="X1430" s="23"/>
    </row>
    <row r="1431" spans="1:24" s="1" customFormat="1" ht="21" customHeight="1" x14ac:dyDescent="0.3">
      <c r="A1431" s="24" t="s">
        <v>23</v>
      </c>
      <c r="B1431" s="24" t="s">
        <v>1174</v>
      </c>
      <c r="C1431" s="31" t="s">
        <v>1176</v>
      </c>
      <c r="D1431" s="58"/>
      <c r="E1431" s="43" t="str">
        <f>HYPERLINK("https://www.google.ru/search?q=29507-1364&amp;newwindow=1&amp;tbm=isch","Еще фото")</f>
        <v>Еще фото</v>
      </c>
      <c r="F1431" s="14" t="s">
        <v>854</v>
      </c>
      <c r="G1431" s="24" t="s">
        <v>237</v>
      </c>
      <c r="H1431" s="24" t="s">
        <v>27</v>
      </c>
      <c r="I1431" s="24" t="s">
        <v>237</v>
      </c>
      <c r="J1431" s="15" t="s">
        <v>37</v>
      </c>
      <c r="K1431" s="16" t="s">
        <v>57</v>
      </c>
      <c r="L1431" s="61"/>
      <c r="M1431" s="15"/>
      <c r="N1431" s="15" t="s">
        <v>138</v>
      </c>
      <c r="O1431" s="15"/>
      <c r="P1431" s="16" t="s">
        <v>254</v>
      </c>
      <c r="Q1431" s="17">
        <v>12499</v>
      </c>
      <c r="R1431" s="18">
        <v>45</v>
      </c>
      <c r="S1431" s="19">
        <v>7905.6174999999994</v>
      </c>
      <c r="T1431" s="20" t="s">
        <v>75</v>
      </c>
      <c r="U1431" s="21" t="s">
        <v>95</v>
      </c>
      <c r="V1431" s="22">
        <v>48</v>
      </c>
      <c r="W1431" s="22">
        <v>1</v>
      </c>
      <c r="X1431" s="23"/>
    </row>
    <row r="1432" spans="1:24" s="1" customFormat="1" ht="21" customHeight="1" x14ac:dyDescent="0.3">
      <c r="A1432" s="24" t="s">
        <v>23</v>
      </c>
      <c r="B1432" s="24" t="s">
        <v>1174</v>
      </c>
      <c r="C1432" s="31" t="s">
        <v>1176</v>
      </c>
      <c r="D1432" s="58"/>
      <c r="E1432" s="43" t="str">
        <f>HYPERLINK("https://www.google.ru/search?q=29507-1364&amp;newwindow=1&amp;tbm=isch","Еще фото")</f>
        <v>Еще фото</v>
      </c>
      <c r="F1432" s="14" t="s">
        <v>854</v>
      </c>
      <c r="G1432" s="24" t="s">
        <v>237</v>
      </c>
      <c r="H1432" s="24" t="s">
        <v>27</v>
      </c>
      <c r="I1432" s="24" t="s">
        <v>237</v>
      </c>
      <c r="J1432" s="15" t="s">
        <v>37</v>
      </c>
      <c r="K1432" s="16" t="s">
        <v>57</v>
      </c>
      <c r="L1432" s="61"/>
      <c r="M1432" s="15"/>
      <c r="N1432" s="15" t="s">
        <v>138</v>
      </c>
      <c r="O1432" s="15"/>
      <c r="P1432" s="16" t="s">
        <v>254</v>
      </c>
      <c r="Q1432" s="17">
        <v>12499</v>
      </c>
      <c r="R1432" s="18">
        <v>45</v>
      </c>
      <c r="S1432" s="19">
        <v>7905.6174999999994</v>
      </c>
      <c r="T1432" s="20" t="s">
        <v>75</v>
      </c>
      <c r="U1432" s="21" t="s">
        <v>166</v>
      </c>
      <c r="V1432" s="25" t="s">
        <v>96</v>
      </c>
      <c r="W1432" s="22">
        <v>1</v>
      </c>
      <c r="X1432" s="23"/>
    </row>
    <row r="1433" spans="1:24" s="1" customFormat="1" ht="32" customHeight="1" x14ac:dyDescent="0.3">
      <c r="A1433" s="24" t="s">
        <v>23</v>
      </c>
      <c r="B1433" s="24" t="s">
        <v>1174</v>
      </c>
      <c r="C1433" s="31" t="s">
        <v>1176</v>
      </c>
      <c r="D1433" s="59"/>
      <c r="E1433" s="43" t="str">
        <f>HYPERLINK("https://www.google.ru/search?q=29507-1364&amp;newwindow=1&amp;tbm=isch","Еще фото")</f>
        <v>Еще фото</v>
      </c>
      <c r="F1433" s="14" t="s">
        <v>854</v>
      </c>
      <c r="G1433" s="24" t="s">
        <v>237</v>
      </c>
      <c r="H1433" s="24" t="s">
        <v>27</v>
      </c>
      <c r="I1433" s="24" t="s">
        <v>237</v>
      </c>
      <c r="J1433" s="15" t="s">
        <v>37</v>
      </c>
      <c r="K1433" s="16" t="s">
        <v>57</v>
      </c>
      <c r="L1433" s="62"/>
      <c r="M1433" s="15"/>
      <c r="N1433" s="15" t="s">
        <v>138</v>
      </c>
      <c r="O1433" s="15"/>
      <c r="P1433" s="16" t="s">
        <v>254</v>
      </c>
      <c r="Q1433" s="17">
        <v>12499</v>
      </c>
      <c r="R1433" s="18">
        <v>45</v>
      </c>
      <c r="S1433" s="19">
        <v>7905.6174999999994</v>
      </c>
      <c r="T1433" s="20" t="s">
        <v>75</v>
      </c>
      <c r="U1433" s="21" t="s">
        <v>100</v>
      </c>
      <c r="V1433" s="22">
        <v>50</v>
      </c>
      <c r="W1433" s="22">
        <v>1</v>
      </c>
      <c r="X1433" s="23"/>
    </row>
    <row r="1434" spans="1:24" s="1" customFormat="1" ht="108" customHeight="1" x14ac:dyDescent="0.3">
      <c r="A1434" s="11" t="s">
        <v>23</v>
      </c>
      <c r="B1434" s="11" t="s">
        <v>197</v>
      </c>
      <c r="C1434" s="12" t="s">
        <v>1177</v>
      </c>
      <c r="D1434" s="13"/>
      <c r="E1434" s="43" t="str">
        <f>HYPERLINK("https://www.google.ru/search?q=29507-1417&amp;newwindow=1&amp;tbm=isch","Еще фото")</f>
        <v>Еще фото</v>
      </c>
      <c r="F1434" s="14" t="s">
        <v>182</v>
      </c>
      <c r="G1434" s="11" t="s">
        <v>237</v>
      </c>
      <c r="H1434" s="11" t="s">
        <v>27</v>
      </c>
      <c r="I1434" s="15" t="s">
        <v>237</v>
      </c>
      <c r="J1434" s="15" t="s">
        <v>37</v>
      </c>
      <c r="K1434" s="16" t="s">
        <v>57</v>
      </c>
      <c r="L1434" s="15" t="s">
        <v>1178</v>
      </c>
      <c r="M1434" s="15"/>
      <c r="N1434" s="15" t="s">
        <v>130</v>
      </c>
      <c r="O1434" s="15"/>
      <c r="P1434" s="16" t="s">
        <v>254</v>
      </c>
      <c r="Q1434" s="17">
        <v>15999</v>
      </c>
      <c r="R1434" s="18">
        <v>45</v>
      </c>
      <c r="S1434" s="19">
        <v>10119.3675</v>
      </c>
      <c r="T1434" s="20" t="s">
        <v>75</v>
      </c>
      <c r="U1434" s="21" t="s">
        <v>53</v>
      </c>
      <c r="V1434" s="22">
        <v>46</v>
      </c>
      <c r="W1434" s="22">
        <v>4</v>
      </c>
      <c r="X1434" s="23"/>
    </row>
    <row r="1435" spans="1:24" s="1" customFormat="1" ht="11" customHeight="1" x14ac:dyDescent="0.3">
      <c r="A1435" s="11" t="s">
        <v>23</v>
      </c>
      <c r="B1435" s="11" t="s">
        <v>682</v>
      </c>
      <c r="C1435" s="12" t="s">
        <v>1179</v>
      </c>
      <c r="D1435" s="57"/>
      <c r="E1435" s="43" t="str">
        <f t="shared" ref="E1435:E1451" si="91">HYPERLINK("https://www.google.ru/search?q=29507-1420&amp;newwindow=1&amp;tbm=isch","Еще фото")</f>
        <v>Еще фото</v>
      </c>
      <c r="F1435" s="14" t="s">
        <v>854</v>
      </c>
      <c r="G1435" s="11" t="s">
        <v>237</v>
      </c>
      <c r="H1435" s="11" t="s">
        <v>27</v>
      </c>
      <c r="I1435" s="15" t="s">
        <v>237</v>
      </c>
      <c r="J1435" s="15" t="s">
        <v>37</v>
      </c>
      <c r="K1435" s="16" t="s">
        <v>57</v>
      </c>
      <c r="L1435" s="60" t="s">
        <v>596</v>
      </c>
      <c r="M1435" s="15"/>
      <c r="N1435" s="15" t="s">
        <v>87</v>
      </c>
      <c r="O1435" s="15"/>
      <c r="P1435" s="16" t="s">
        <v>1180</v>
      </c>
      <c r="Q1435" s="17">
        <v>15999</v>
      </c>
      <c r="R1435" s="18">
        <v>45</v>
      </c>
      <c r="S1435" s="19">
        <v>10119.3675</v>
      </c>
      <c r="T1435" s="20" t="s">
        <v>75</v>
      </c>
      <c r="U1435" s="21" t="s">
        <v>173</v>
      </c>
      <c r="V1435" s="25" t="s">
        <v>63</v>
      </c>
      <c r="W1435" s="22">
        <v>18</v>
      </c>
      <c r="X1435" s="23"/>
    </row>
    <row r="1436" spans="1:24" s="1" customFormat="1" ht="11" customHeight="1" x14ac:dyDescent="0.3">
      <c r="A1436" s="24" t="s">
        <v>23</v>
      </c>
      <c r="B1436" s="24" t="s">
        <v>682</v>
      </c>
      <c r="C1436" s="12" t="s">
        <v>1179</v>
      </c>
      <c r="D1436" s="58"/>
      <c r="E1436" s="43" t="str">
        <f t="shared" si="91"/>
        <v>Еще фото</v>
      </c>
      <c r="F1436" s="14" t="s">
        <v>854</v>
      </c>
      <c r="G1436" s="24" t="s">
        <v>237</v>
      </c>
      <c r="H1436" s="24" t="s">
        <v>27</v>
      </c>
      <c r="I1436" s="24" t="s">
        <v>237</v>
      </c>
      <c r="J1436" s="15" t="s">
        <v>37</v>
      </c>
      <c r="K1436" s="16" t="s">
        <v>57</v>
      </c>
      <c r="L1436" s="61"/>
      <c r="M1436" s="15"/>
      <c r="N1436" s="15" t="s">
        <v>87</v>
      </c>
      <c r="O1436" s="15"/>
      <c r="P1436" s="16" t="s">
        <v>1180</v>
      </c>
      <c r="Q1436" s="17">
        <v>15999</v>
      </c>
      <c r="R1436" s="18">
        <v>45</v>
      </c>
      <c r="S1436" s="19">
        <v>10119.3675</v>
      </c>
      <c r="T1436" s="20" t="s">
        <v>75</v>
      </c>
      <c r="U1436" s="21" t="s">
        <v>52</v>
      </c>
      <c r="V1436" s="22">
        <v>46</v>
      </c>
      <c r="W1436" s="22">
        <v>4</v>
      </c>
      <c r="X1436" s="23"/>
    </row>
    <row r="1437" spans="1:24" s="1" customFormat="1" ht="11" customHeight="1" x14ac:dyDescent="0.3">
      <c r="A1437" s="24" t="s">
        <v>23</v>
      </c>
      <c r="B1437" s="24" t="s">
        <v>682</v>
      </c>
      <c r="C1437" s="12" t="s">
        <v>1179</v>
      </c>
      <c r="D1437" s="58"/>
      <c r="E1437" s="43" t="str">
        <f t="shared" si="91"/>
        <v>Еще фото</v>
      </c>
      <c r="F1437" s="14" t="s">
        <v>854</v>
      </c>
      <c r="G1437" s="24" t="s">
        <v>237</v>
      </c>
      <c r="H1437" s="24" t="s">
        <v>27</v>
      </c>
      <c r="I1437" s="24" t="s">
        <v>237</v>
      </c>
      <c r="J1437" s="15" t="s">
        <v>37</v>
      </c>
      <c r="K1437" s="16" t="s">
        <v>57</v>
      </c>
      <c r="L1437" s="61"/>
      <c r="M1437" s="15"/>
      <c r="N1437" s="15" t="s">
        <v>87</v>
      </c>
      <c r="O1437" s="15"/>
      <c r="P1437" s="16" t="s">
        <v>1180</v>
      </c>
      <c r="Q1437" s="17">
        <v>15999</v>
      </c>
      <c r="R1437" s="18">
        <v>45</v>
      </c>
      <c r="S1437" s="19">
        <v>10119.3675</v>
      </c>
      <c r="T1437" s="20" t="s">
        <v>75</v>
      </c>
      <c r="U1437" s="21" t="s">
        <v>53</v>
      </c>
      <c r="V1437" s="22">
        <v>46</v>
      </c>
      <c r="W1437" s="22">
        <v>20</v>
      </c>
      <c r="X1437" s="23"/>
    </row>
    <row r="1438" spans="1:24" s="1" customFormat="1" ht="11" customHeight="1" x14ac:dyDescent="0.3">
      <c r="A1438" s="24" t="s">
        <v>23</v>
      </c>
      <c r="B1438" s="24" t="s">
        <v>682</v>
      </c>
      <c r="C1438" s="12" t="s">
        <v>1179</v>
      </c>
      <c r="D1438" s="58"/>
      <c r="E1438" s="43" t="str">
        <f t="shared" si="91"/>
        <v>Еще фото</v>
      </c>
      <c r="F1438" s="14" t="s">
        <v>854</v>
      </c>
      <c r="G1438" s="24" t="s">
        <v>237</v>
      </c>
      <c r="H1438" s="24" t="s">
        <v>27</v>
      </c>
      <c r="I1438" s="24" t="s">
        <v>237</v>
      </c>
      <c r="J1438" s="15" t="s">
        <v>37</v>
      </c>
      <c r="K1438" s="16" t="s">
        <v>57</v>
      </c>
      <c r="L1438" s="61"/>
      <c r="M1438" s="15"/>
      <c r="N1438" s="15" t="s">
        <v>87</v>
      </c>
      <c r="O1438" s="15"/>
      <c r="P1438" s="16" t="s">
        <v>1180</v>
      </c>
      <c r="Q1438" s="17">
        <v>15999</v>
      </c>
      <c r="R1438" s="18">
        <v>45</v>
      </c>
      <c r="S1438" s="19">
        <v>10119.3675</v>
      </c>
      <c r="T1438" s="20" t="s">
        <v>75</v>
      </c>
      <c r="U1438" s="21" t="s">
        <v>143</v>
      </c>
      <c r="V1438" s="22">
        <v>46</v>
      </c>
      <c r="W1438" s="22">
        <v>5</v>
      </c>
      <c r="X1438" s="23"/>
    </row>
    <row r="1439" spans="1:24" s="1" customFormat="1" ht="11" customHeight="1" x14ac:dyDescent="0.3">
      <c r="A1439" s="24" t="s">
        <v>23</v>
      </c>
      <c r="B1439" s="24" t="s">
        <v>682</v>
      </c>
      <c r="C1439" s="12" t="s">
        <v>1179</v>
      </c>
      <c r="D1439" s="58"/>
      <c r="E1439" s="43" t="str">
        <f t="shared" si="91"/>
        <v>Еще фото</v>
      </c>
      <c r="F1439" s="14" t="s">
        <v>854</v>
      </c>
      <c r="G1439" s="24" t="s">
        <v>237</v>
      </c>
      <c r="H1439" s="24" t="s">
        <v>27</v>
      </c>
      <c r="I1439" s="24" t="s">
        <v>237</v>
      </c>
      <c r="J1439" s="15" t="s">
        <v>37</v>
      </c>
      <c r="K1439" s="16" t="s">
        <v>57</v>
      </c>
      <c r="L1439" s="61"/>
      <c r="M1439" s="15"/>
      <c r="N1439" s="15" t="s">
        <v>87</v>
      </c>
      <c r="O1439" s="15"/>
      <c r="P1439" s="16" t="s">
        <v>1180</v>
      </c>
      <c r="Q1439" s="17">
        <v>15999</v>
      </c>
      <c r="R1439" s="18">
        <v>45</v>
      </c>
      <c r="S1439" s="19">
        <v>10119.3675</v>
      </c>
      <c r="T1439" s="20" t="s">
        <v>75</v>
      </c>
      <c r="U1439" s="21" t="s">
        <v>188</v>
      </c>
      <c r="V1439" s="25" t="s">
        <v>65</v>
      </c>
      <c r="W1439" s="22">
        <v>3</v>
      </c>
      <c r="X1439" s="23"/>
    </row>
    <row r="1440" spans="1:24" s="1" customFormat="1" ht="11" customHeight="1" x14ac:dyDescent="0.3">
      <c r="A1440" s="24" t="s">
        <v>23</v>
      </c>
      <c r="B1440" s="24" t="s">
        <v>682</v>
      </c>
      <c r="C1440" s="12" t="s">
        <v>1179</v>
      </c>
      <c r="D1440" s="58"/>
      <c r="E1440" s="43" t="str">
        <f t="shared" si="91"/>
        <v>Еще фото</v>
      </c>
      <c r="F1440" s="14" t="s">
        <v>854</v>
      </c>
      <c r="G1440" s="24" t="s">
        <v>237</v>
      </c>
      <c r="H1440" s="24" t="s">
        <v>27</v>
      </c>
      <c r="I1440" s="24" t="s">
        <v>237</v>
      </c>
      <c r="J1440" s="15" t="s">
        <v>37</v>
      </c>
      <c r="K1440" s="16" t="s">
        <v>57</v>
      </c>
      <c r="L1440" s="61"/>
      <c r="M1440" s="15"/>
      <c r="N1440" s="15" t="s">
        <v>87</v>
      </c>
      <c r="O1440" s="15"/>
      <c r="P1440" s="16" t="s">
        <v>1180</v>
      </c>
      <c r="Q1440" s="17">
        <v>15999</v>
      </c>
      <c r="R1440" s="18">
        <v>45</v>
      </c>
      <c r="S1440" s="19">
        <v>10119.3675</v>
      </c>
      <c r="T1440" s="20" t="s">
        <v>75</v>
      </c>
      <c r="U1440" s="21" t="s">
        <v>109</v>
      </c>
      <c r="V1440" s="25" t="s">
        <v>65</v>
      </c>
      <c r="W1440" s="22">
        <v>17</v>
      </c>
      <c r="X1440" s="23"/>
    </row>
    <row r="1441" spans="1:24" s="1" customFormat="1" ht="11" customHeight="1" x14ac:dyDescent="0.3">
      <c r="A1441" s="24" t="s">
        <v>23</v>
      </c>
      <c r="B1441" s="24" t="s">
        <v>682</v>
      </c>
      <c r="C1441" s="12" t="s">
        <v>1179</v>
      </c>
      <c r="D1441" s="58"/>
      <c r="E1441" s="43" t="str">
        <f t="shared" si="91"/>
        <v>Еще фото</v>
      </c>
      <c r="F1441" s="14" t="s">
        <v>854</v>
      </c>
      <c r="G1441" s="24" t="s">
        <v>237</v>
      </c>
      <c r="H1441" s="24" t="s">
        <v>27</v>
      </c>
      <c r="I1441" s="24" t="s">
        <v>237</v>
      </c>
      <c r="J1441" s="15" t="s">
        <v>37</v>
      </c>
      <c r="K1441" s="16" t="s">
        <v>57</v>
      </c>
      <c r="L1441" s="61"/>
      <c r="M1441" s="15"/>
      <c r="N1441" s="15" t="s">
        <v>87</v>
      </c>
      <c r="O1441" s="15"/>
      <c r="P1441" s="16" t="s">
        <v>1180</v>
      </c>
      <c r="Q1441" s="17">
        <v>15999</v>
      </c>
      <c r="R1441" s="18">
        <v>45</v>
      </c>
      <c r="S1441" s="19">
        <v>10119.3675</v>
      </c>
      <c r="T1441" s="20" t="s">
        <v>75</v>
      </c>
      <c r="U1441" s="21" t="s">
        <v>140</v>
      </c>
      <c r="V1441" s="25" t="s">
        <v>65</v>
      </c>
      <c r="W1441" s="22">
        <v>7</v>
      </c>
      <c r="X1441" s="23"/>
    </row>
    <row r="1442" spans="1:24" s="1" customFormat="1" ht="11" customHeight="1" x14ac:dyDescent="0.3">
      <c r="A1442" s="24" t="s">
        <v>23</v>
      </c>
      <c r="B1442" s="24" t="s">
        <v>682</v>
      </c>
      <c r="C1442" s="12" t="s">
        <v>1179</v>
      </c>
      <c r="D1442" s="58"/>
      <c r="E1442" s="43" t="str">
        <f t="shared" si="91"/>
        <v>Еще фото</v>
      </c>
      <c r="F1442" s="14" t="s">
        <v>854</v>
      </c>
      <c r="G1442" s="24" t="s">
        <v>237</v>
      </c>
      <c r="H1442" s="24" t="s">
        <v>27</v>
      </c>
      <c r="I1442" s="24" t="s">
        <v>237</v>
      </c>
      <c r="J1442" s="15" t="s">
        <v>37</v>
      </c>
      <c r="K1442" s="16" t="s">
        <v>57</v>
      </c>
      <c r="L1442" s="61"/>
      <c r="M1442" s="15"/>
      <c r="N1442" s="15" t="s">
        <v>87</v>
      </c>
      <c r="O1442" s="15"/>
      <c r="P1442" s="16" t="s">
        <v>1180</v>
      </c>
      <c r="Q1442" s="17">
        <v>15999</v>
      </c>
      <c r="R1442" s="18">
        <v>45</v>
      </c>
      <c r="S1442" s="19">
        <v>10119.3675</v>
      </c>
      <c r="T1442" s="20" t="s">
        <v>75</v>
      </c>
      <c r="U1442" s="21" t="s">
        <v>95</v>
      </c>
      <c r="V1442" s="22">
        <v>48</v>
      </c>
      <c r="W1442" s="22">
        <v>5</v>
      </c>
      <c r="X1442" s="23"/>
    </row>
    <row r="1443" spans="1:24" s="1" customFormat="1" ht="11" customHeight="1" x14ac:dyDescent="0.3">
      <c r="A1443" s="24" t="s">
        <v>23</v>
      </c>
      <c r="B1443" s="24" t="s">
        <v>682</v>
      </c>
      <c r="C1443" s="12" t="s">
        <v>1179</v>
      </c>
      <c r="D1443" s="58"/>
      <c r="E1443" s="43" t="str">
        <f t="shared" si="91"/>
        <v>Еще фото</v>
      </c>
      <c r="F1443" s="14" t="s">
        <v>854</v>
      </c>
      <c r="G1443" s="24" t="s">
        <v>237</v>
      </c>
      <c r="H1443" s="24" t="s">
        <v>27</v>
      </c>
      <c r="I1443" s="24" t="s">
        <v>237</v>
      </c>
      <c r="J1443" s="15" t="s">
        <v>37</v>
      </c>
      <c r="K1443" s="16" t="s">
        <v>57</v>
      </c>
      <c r="L1443" s="61"/>
      <c r="M1443" s="15"/>
      <c r="N1443" s="15" t="s">
        <v>87</v>
      </c>
      <c r="O1443" s="15"/>
      <c r="P1443" s="16" t="s">
        <v>1180</v>
      </c>
      <c r="Q1443" s="17">
        <v>15999</v>
      </c>
      <c r="R1443" s="18">
        <v>45</v>
      </c>
      <c r="S1443" s="19">
        <v>10119.3675</v>
      </c>
      <c r="T1443" s="20" t="s">
        <v>75</v>
      </c>
      <c r="U1443" s="21" t="s">
        <v>165</v>
      </c>
      <c r="V1443" s="22">
        <v>48</v>
      </c>
      <c r="W1443" s="22">
        <v>31</v>
      </c>
      <c r="X1443" s="23"/>
    </row>
    <row r="1444" spans="1:24" s="1" customFormat="1" ht="11" customHeight="1" x14ac:dyDescent="0.3">
      <c r="A1444" s="15" t="s">
        <v>23</v>
      </c>
      <c r="B1444" s="15" t="s">
        <v>682</v>
      </c>
      <c r="C1444" s="12" t="s">
        <v>1179</v>
      </c>
      <c r="D1444" s="58"/>
      <c r="E1444" s="43" t="str">
        <f t="shared" si="91"/>
        <v>Еще фото</v>
      </c>
      <c r="F1444" s="26" t="s">
        <v>854</v>
      </c>
      <c r="G1444" s="15" t="s">
        <v>237</v>
      </c>
      <c r="H1444" s="15" t="s">
        <v>27</v>
      </c>
      <c r="I1444" s="15" t="s">
        <v>237</v>
      </c>
      <c r="J1444" s="15" t="s">
        <v>37</v>
      </c>
      <c r="K1444" s="15" t="s">
        <v>57</v>
      </c>
      <c r="L1444" s="61"/>
      <c r="M1444" s="15"/>
      <c r="N1444" s="15" t="s">
        <v>87</v>
      </c>
      <c r="O1444" s="15"/>
      <c r="P1444" s="15" t="s">
        <v>1180</v>
      </c>
      <c r="Q1444" s="27">
        <v>15999</v>
      </c>
      <c r="R1444" s="28">
        <v>45</v>
      </c>
      <c r="S1444" s="29">
        <v>10119.3675</v>
      </c>
      <c r="T1444" s="20" t="s">
        <v>75</v>
      </c>
      <c r="U1444" s="21" t="s">
        <v>104</v>
      </c>
      <c r="V1444" s="22">
        <v>48</v>
      </c>
      <c r="W1444" s="22">
        <v>2</v>
      </c>
      <c r="X1444" s="23"/>
    </row>
    <row r="1445" spans="1:24" s="1" customFormat="1" ht="11" customHeight="1" x14ac:dyDescent="0.3">
      <c r="A1445" s="15" t="s">
        <v>23</v>
      </c>
      <c r="B1445" s="15" t="s">
        <v>682</v>
      </c>
      <c r="C1445" s="12" t="s">
        <v>1179</v>
      </c>
      <c r="D1445" s="58"/>
      <c r="E1445" s="43" t="str">
        <f t="shared" si="91"/>
        <v>Еще фото</v>
      </c>
      <c r="F1445" s="26" t="s">
        <v>854</v>
      </c>
      <c r="G1445" s="15" t="s">
        <v>237</v>
      </c>
      <c r="H1445" s="15" t="s">
        <v>27</v>
      </c>
      <c r="I1445" s="15" t="s">
        <v>237</v>
      </c>
      <c r="J1445" s="15" t="s">
        <v>37</v>
      </c>
      <c r="K1445" s="15" t="s">
        <v>57</v>
      </c>
      <c r="L1445" s="61"/>
      <c r="M1445" s="15"/>
      <c r="N1445" s="15" t="s">
        <v>87</v>
      </c>
      <c r="O1445" s="15"/>
      <c r="P1445" s="15" t="s">
        <v>1180</v>
      </c>
      <c r="Q1445" s="27">
        <v>15999</v>
      </c>
      <c r="R1445" s="28">
        <v>45</v>
      </c>
      <c r="S1445" s="29">
        <v>10119.3675</v>
      </c>
      <c r="T1445" s="20" t="s">
        <v>75</v>
      </c>
      <c r="U1445" s="21" t="s">
        <v>166</v>
      </c>
      <c r="V1445" s="25" t="s">
        <v>96</v>
      </c>
      <c r="W1445" s="22">
        <v>8</v>
      </c>
      <c r="X1445" s="23"/>
    </row>
    <row r="1446" spans="1:24" s="1" customFormat="1" ht="11" customHeight="1" x14ac:dyDescent="0.3">
      <c r="A1446" s="15" t="s">
        <v>23</v>
      </c>
      <c r="B1446" s="15" t="s">
        <v>682</v>
      </c>
      <c r="C1446" s="12" t="s">
        <v>1179</v>
      </c>
      <c r="D1446" s="58"/>
      <c r="E1446" s="43" t="str">
        <f t="shared" si="91"/>
        <v>Еще фото</v>
      </c>
      <c r="F1446" s="26" t="s">
        <v>854</v>
      </c>
      <c r="G1446" s="15" t="s">
        <v>237</v>
      </c>
      <c r="H1446" s="15" t="s">
        <v>27</v>
      </c>
      <c r="I1446" s="15" t="s">
        <v>237</v>
      </c>
      <c r="J1446" s="15" t="s">
        <v>37</v>
      </c>
      <c r="K1446" s="15" t="s">
        <v>57</v>
      </c>
      <c r="L1446" s="61"/>
      <c r="M1446" s="15"/>
      <c r="N1446" s="15" t="s">
        <v>87</v>
      </c>
      <c r="O1446" s="15"/>
      <c r="P1446" s="15" t="s">
        <v>1180</v>
      </c>
      <c r="Q1446" s="27">
        <v>15999</v>
      </c>
      <c r="R1446" s="28">
        <v>45</v>
      </c>
      <c r="S1446" s="29">
        <v>10119.3675</v>
      </c>
      <c r="T1446" s="20" t="s">
        <v>75</v>
      </c>
      <c r="U1446" s="21" t="s">
        <v>359</v>
      </c>
      <c r="V1446" s="25" t="s">
        <v>96</v>
      </c>
      <c r="W1446" s="22">
        <v>2</v>
      </c>
      <c r="X1446" s="23"/>
    </row>
    <row r="1447" spans="1:24" s="1" customFormat="1" ht="11" customHeight="1" x14ac:dyDescent="0.3">
      <c r="A1447" s="15" t="s">
        <v>23</v>
      </c>
      <c r="B1447" s="15" t="s">
        <v>682</v>
      </c>
      <c r="C1447" s="12" t="s">
        <v>1179</v>
      </c>
      <c r="D1447" s="58"/>
      <c r="E1447" s="43" t="str">
        <f t="shared" si="91"/>
        <v>Еще фото</v>
      </c>
      <c r="F1447" s="26" t="s">
        <v>854</v>
      </c>
      <c r="G1447" s="15" t="s">
        <v>237</v>
      </c>
      <c r="H1447" s="15" t="s">
        <v>27</v>
      </c>
      <c r="I1447" s="15" t="s">
        <v>237</v>
      </c>
      <c r="J1447" s="15" t="s">
        <v>37</v>
      </c>
      <c r="K1447" s="15" t="s">
        <v>57</v>
      </c>
      <c r="L1447" s="61"/>
      <c r="M1447" s="15"/>
      <c r="N1447" s="15" t="s">
        <v>87</v>
      </c>
      <c r="O1447" s="15"/>
      <c r="P1447" s="15" t="s">
        <v>1180</v>
      </c>
      <c r="Q1447" s="27">
        <v>15999</v>
      </c>
      <c r="R1447" s="28">
        <v>45</v>
      </c>
      <c r="S1447" s="29">
        <v>10119.3675</v>
      </c>
      <c r="T1447" s="20" t="s">
        <v>75</v>
      </c>
      <c r="U1447" s="21" t="s">
        <v>203</v>
      </c>
      <c r="V1447" s="22">
        <v>50</v>
      </c>
      <c r="W1447" s="22">
        <v>1</v>
      </c>
      <c r="X1447" s="23"/>
    </row>
    <row r="1448" spans="1:24" s="1" customFormat="1" ht="11" customHeight="1" x14ac:dyDescent="0.3">
      <c r="A1448" s="15" t="s">
        <v>23</v>
      </c>
      <c r="B1448" s="15" t="s">
        <v>682</v>
      </c>
      <c r="C1448" s="12" t="s">
        <v>1179</v>
      </c>
      <c r="D1448" s="58"/>
      <c r="E1448" s="43" t="str">
        <f t="shared" si="91"/>
        <v>Еще фото</v>
      </c>
      <c r="F1448" s="26" t="s">
        <v>854</v>
      </c>
      <c r="G1448" s="15" t="s">
        <v>237</v>
      </c>
      <c r="H1448" s="15" t="s">
        <v>27</v>
      </c>
      <c r="I1448" s="15" t="s">
        <v>237</v>
      </c>
      <c r="J1448" s="15" t="s">
        <v>37</v>
      </c>
      <c r="K1448" s="15" t="s">
        <v>57</v>
      </c>
      <c r="L1448" s="61"/>
      <c r="M1448" s="15"/>
      <c r="N1448" s="15" t="s">
        <v>87</v>
      </c>
      <c r="O1448" s="15"/>
      <c r="P1448" s="15" t="s">
        <v>1180</v>
      </c>
      <c r="Q1448" s="27">
        <v>15999</v>
      </c>
      <c r="R1448" s="28">
        <v>45</v>
      </c>
      <c r="S1448" s="29">
        <v>10119.3675</v>
      </c>
      <c r="T1448" s="20" t="s">
        <v>75</v>
      </c>
      <c r="U1448" s="21" t="s">
        <v>89</v>
      </c>
      <c r="V1448" s="22">
        <v>50</v>
      </c>
      <c r="W1448" s="22">
        <v>16</v>
      </c>
      <c r="X1448" s="23"/>
    </row>
    <row r="1449" spans="1:24" s="1" customFormat="1" ht="11" customHeight="1" x14ac:dyDescent="0.3">
      <c r="A1449" s="15" t="s">
        <v>23</v>
      </c>
      <c r="B1449" s="15" t="s">
        <v>682</v>
      </c>
      <c r="C1449" s="12" t="s">
        <v>1179</v>
      </c>
      <c r="D1449" s="58"/>
      <c r="E1449" s="43" t="str">
        <f t="shared" si="91"/>
        <v>Еще фото</v>
      </c>
      <c r="F1449" s="26" t="s">
        <v>854</v>
      </c>
      <c r="G1449" s="15" t="s">
        <v>237</v>
      </c>
      <c r="H1449" s="15" t="s">
        <v>27</v>
      </c>
      <c r="I1449" s="15" t="s">
        <v>237</v>
      </c>
      <c r="J1449" s="15" t="s">
        <v>37</v>
      </c>
      <c r="K1449" s="15" t="s">
        <v>57</v>
      </c>
      <c r="L1449" s="61"/>
      <c r="M1449" s="15"/>
      <c r="N1449" s="15" t="s">
        <v>87</v>
      </c>
      <c r="O1449" s="15"/>
      <c r="P1449" s="15" t="s">
        <v>1180</v>
      </c>
      <c r="Q1449" s="27">
        <v>15999</v>
      </c>
      <c r="R1449" s="28">
        <v>45</v>
      </c>
      <c r="S1449" s="29">
        <v>10119.3675</v>
      </c>
      <c r="T1449" s="20" t="s">
        <v>75</v>
      </c>
      <c r="U1449" s="21" t="s">
        <v>100</v>
      </c>
      <c r="V1449" s="22">
        <v>50</v>
      </c>
      <c r="W1449" s="22">
        <v>8</v>
      </c>
      <c r="X1449" s="23"/>
    </row>
    <row r="1450" spans="1:24" s="1" customFormat="1" ht="11" customHeight="1" x14ac:dyDescent="0.3">
      <c r="A1450" s="15" t="s">
        <v>23</v>
      </c>
      <c r="B1450" s="15" t="s">
        <v>682</v>
      </c>
      <c r="C1450" s="12" t="s">
        <v>1179</v>
      </c>
      <c r="D1450" s="58"/>
      <c r="E1450" s="43" t="str">
        <f t="shared" si="91"/>
        <v>Еще фото</v>
      </c>
      <c r="F1450" s="26" t="s">
        <v>854</v>
      </c>
      <c r="G1450" s="15" t="s">
        <v>237</v>
      </c>
      <c r="H1450" s="15" t="s">
        <v>27</v>
      </c>
      <c r="I1450" s="15" t="s">
        <v>237</v>
      </c>
      <c r="J1450" s="15" t="s">
        <v>37</v>
      </c>
      <c r="K1450" s="15" t="s">
        <v>57</v>
      </c>
      <c r="L1450" s="61"/>
      <c r="M1450" s="15"/>
      <c r="N1450" s="15" t="s">
        <v>87</v>
      </c>
      <c r="O1450" s="15"/>
      <c r="P1450" s="15" t="s">
        <v>1180</v>
      </c>
      <c r="Q1450" s="27">
        <v>15999</v>
      </c>
      <c r="R1450" s="28">
        <v>45</v>
      </c>
      <c r="S1450" s="29">
        <v>10119.3675</v>
      </c>
      <c r="T1450" s="20" t="s">
        <v>75</v>
      </c>
      <c r="U1450" s="21" t="s">
        <v>167</v>
      </c>
      <c r="V1450" s="22">
        <v>52</v>
      </c>
      <c r="W1450" s="22">
        <v>8</v>
      </c>
      <c r="X1450" s="23"/>
    </row>
    <row r="1451" spans="1:24" s="1" customFormat="1" ht="11" customHeight="1" x14ac:dyDescent="0.3">
      <c r="A1451" s="15" t="s">
        <v>23</v>
      </c>
      <c r="B1451" s="15" t="s">
        <v>682</v>
      </c>
      <c r="C1451" s="12" t="s">
        <v>1179</v>
      </c>
      <c r="D1451" s="59"/>
      <c r="E1451" s="43" t="str">
        <f t="shared" si="91"/>
        <v>Еще фото</v>
      </c>
      <c r="F1451" s="26" t="s">
        <v>854</v>
      </c>
      <c r="G1451" s="15" t="s">
        <v>237</v>
      </c>
      <c r="H1451" s="15" t="s">
        <v>27</v>
      </c>
      <c r="I1451" s="15" t="s">
        <v>237</v>
      </c>
      <c r="J1451" s="15" t="s">
        <v>37</v>
      </c>
      <c r="K1451" s="15" t="s">
        <v>57</v>
      </c>
      <c r="L1451" s="62"/>
      <c r="M1451" s="15"/>
      <c r="N1451" s="15" t="s">
        <v>87</v>
      </c>
      <c r="O1451" s="15"/>
      <c r="P1451" s="15" t="s">
        <v>1180</v>
      </c>
      <c r="Q1451" s="27">
        <v>15999</v>
      </c>
      <c r="R1451" s="28">
        <v>45</v>
      </c>
      <c r="S1451" s="29">
        <v>10119.3675</v>
      </c>
      <c r="T1451" s="20" t="s">
        <v>75</v>
      </c>
      <c r="U1451" s="21" t="s">
        <v>168</v>
      </c>
      <c r="V1451" s="22">
        <v>52</v>
      </c>
      <c r="W1451" s="22">
        <v>3</v>
      </c>
      <c r="X1451" s="23"/>
    </row>
    <row r="1452" spans="1:24" s="1" customFormat="1" ht="108" customHeight="1" x14ac:dyDescent="0.3">
      <c r="A1452" s="11" t="s">
        <v>23</v>
      </c>
      <c r="B1452" s="11" t="s">
        <v>1181</v>
      </c>
      <c r="C1452" s="12" t="s">
        <v>1182</v>
      </c>
      <c r="D1452" s="13"/>
      <c r="E1452" s="43" t="str">
        <f>HYPERLINK("https://www.google.ru/search?q=29507-1440&amp;newwindow=1&amp;tbm=isch","Еще фото")</f>
        <v>Еще фото</v>
      </c>
      <c r="F1452" s="14"/>
      <c r="G1452" s="11" t="s">
        <v>237</v>
      </c>
      <c r="H1452" s="11" t="s">
        <v>27</v>
      </c>
      <c r="I1452" s="15" t="s">
        <v>237</v>
      </c>
      <c r="J1452" s="15" t="s">
        <v>37</v>
      </c>
      <c r="K1452" s="16" t="s">
        <v>57</v>
      </c>
      <c r="L1452" s="15" t="s">
        <v>1183</v>
      </c>
      <c r="M1452" s="15"/>
      <c r="N1452" s="15" t="s">
        <v>138</v>
      </c>
      <c r="O1452" s="15"/>
      <c r="P1452" s="16" t="s">
        <v>589</v>
      </c>
      <c r="Q1452" s="17">
        <v>8699</v>
      </c>
      <c r="R1452" s="18">
        <v>45</v>
      </c>
      <c r="S1452" s="19">
        <v>5502.1174999999994</v>
      </c>
      <c r="T1452" s="20" t="s">
        <v>75</v>
      </c>
      <c r="U1452" s="21" t="s">
        <v>166</v>
      </c>
      <c r="V1452" s="25" t="s">
        <v>96</v>
      </c>
      <c r="W1452" s="22">
        <v>1</v>
      </c>
      <c r="X1452" s="23"/>
    </row>
    <row r="1453" spans="1:24" s="1" customFormat="1" ht="26" customHeight="1" x14ac:dyDescent="0.3">
      <c r="A1453" s="11" t="s">
        <v>23</v>
      </c>
      <c r="B1453" s="11" t="s">
        <v>1184</v>
      </c>
      <c r="C1453" s="12" t="s">
        <v>1185</v>
      </c>
      <c r="D1453" s="57"/>
      <c r="E1453" s="43" t="str">
        <f>HYPERLINK("https://www.google.ru/search?q=29507-1458&amp;newwindow=1&amp;tbm=isch","Еще фото")</f>
        <v>Еще фото</v>
      </c>
      <c r="F1453" s="14" t="s">
        <v>182</v>
      </c>
      <c r="G1453" s="11" t="s">
        <v>237</v>
      </c>
      <c r="H1453" s="11" t="s">
        <v>27</v>
      </c>
      <c r="I1453" s="15" t="s">
        <v>237</v>
      </c>
      <c r="J1453" s="15" t="s">
        <v>37</v>
      </c>
      <c r="K1453" s="16" t="s">
        <v>57</v>
      </c>
      <c r="L1453" s="60" t="s">
        <v>1186</v>
      </c>
      <c r="M1453" s="15"/>
      <c r="N1453" s="15" t="s">
        <v>130</v>
      </c>
      <c r="O1453" s="15"/>
      <c r="P1453" s="16" t="s">
        <v>802</v>
      </c>
      <c r="Q1453" s="17">
        <v>21199</v>
      </c>
      <c r="R1453" s="18">
        <v>45</v>
      </c>
      <c r="S1453" s="19">
        <v>13408.3675</v>
      </c>
      <c r="T1453" s="20" t="s">
        <v>75</v>
      </c>
      <c r="U1453" s="21" t="s">
        <v>173</v>
      </c>
      <c r="V1453" s="25" t="s">
        <v>63</v>
      </c>
      <c r="W1453" s="22">
        <v>1</v>
      </c>
      <c r="X1453" s="23"/>
    </row>
    <row r="1454" spans="1:24" s="1" customFormat="1" ht="26" customHeight="1" x14ac:dyDescent="0.3">
      <c r="A1454" s="24" t="s">
        <v>23</v>
      </c>
      <c r="B1454" s="24" t="s">
        <v>1184</v>
      </c>
      <c r="C1454" s="12" t="s">
        <v>1185</v>
      </c>
      <c r="D1454" s="58"/>
      <c r="E1454" s="43" t="str">
        <f>HYPERLINK("https://www.google.ru/search?q=29507-1458&amp;newwindow=1&amp;tbm=isch","Еще фото")</f>
        <v>Еще фото</v>
      </c>
      <c r="F1454" s="14" t="s">
        <v>182</v>
      </c>
      <c r="G1454" s="24" t="s">
        <v>237</v>
      </c>
      <c r="H1454" s="24" t="s">
        <v>27</v>
      </c>
      <c r="I1454" s="24" t="s">
        <v>237</v>
      </c>
      <c r="J1454" s="15" t="s">
        <v>37</v>
      </c>
      <c r="K1454" s="16" t="s">
        <v>57</v>
      </c>
      <c r="L1454" s="61"/>
      <c r="M1454" s="15"/>
      <c r="N1454" s="15" t="s">
        <v>130</v>
      </c>
      <c r="O1454" s="15"/>
      <c r="P1454" s="16" t="s">
        <v>802</v>
      </c>
      <c r="Q1454" s="17">
        <v>21199</v>
      </c>
      <c r="R1454" s="18">
        <v>45</v>
      </c>
      <c r="S1454" s="19">
        <v>13408.3675</v>
      </c>
      <c r="T1454" s="20" t="s">
        <v>75</v>
      </c>
      <c r="U1454" s="21" t="s">
        <v>165</v>
      </c>
      <c r="V1454" s="22">
        <v>48</v>
      </c>
      <c r="W1454" s="22">
        <v>1</v>
      </c>
      <c r="X1454" s="23"/>
    </row>
    <row r="1455" spans="1:24" s="1" customFormat="1" ht="26" customHeight="1" x14ac:dyDescent="0.3">
      <c r="A1455" s="24" t="s">
        <v>23</v>
      </c>
      <c r="B1455" s="24" t="s">
        <v>1184</v>
      </c>
      <c r="C1455" s="12" t="s">
        <v>1185</v>
      </c>
      <c r="D1455" s="58"/>
      <c r="E1455" s="43" t="str">
        <f>HYPERLINK("https://www.google.ru/search?q=29507-1458&amp;newwindow=1&amp;tbm=isch","Еще фото")</f>
        <v>Еще фото</v>
      </c>
      <c r="F1455" s="14" t="s">
        <v>182</v>
      </c>
      <c r="G1455" s="24" t="s">
        <v>237</v>
      </c>
      <c r="H1455" s="24" t="s">
        <v>27</v>
      </c>
      <c r="I1455" s="24" t="s">
        <v>237</v>
      </c>
      <c r="J1455" s="15" t="s">
        <v>37</v>
      </c>
      <c r="K1455" s="16" t="s">
        <v>57</v>
      </c>
      <c r="L1455" s="61"/>
      <c r="M1455" s="15"/>
      <c r="N1455" s="15" t="s">
        <v>130</v>
      </c>
      <c r="O1455" s="15"/>
      <c r="P1455" s="16" t="s">
        <v>802</v>
      </c>
      <c r="Q1455" s="17">
        <v>21199</v>
      </c>
      <c r="R1455" s="18">
        <v>45</v>
      </c>
      <c r="S1455" s="19">
        <v>13408.3675</v>
      </c>
      <c r="T1455" s="20" t="s">
        <v>75</v>
      </c>
      <c r="U1455" s="21" t="s">
        <v>104</v>
      </c>
      <c r="V1455" s="22">
        <v>48</v>
      </c>
      <c r="W1455" s="22">
        <v>1</v>
      </c>
      <c r="X1455" s="23"/>
    </row>
    <row r="1456" spans="1:24" s="1" customFormat="1" ht="26" customHeight="1" x14ac:dyDescent="0.3">
      <c r="A1456" s="24" t="s">
        <v>23</v>
      </c>
      <c r="B1456" s="24" t="s">
        <v>1184</v>
      </c>
      <c r="C1456" s="12" t="s">
        <v>1185</v>
      </c>
      <c r="D1456" s="59"/>
      <c r="E1456" s="43" t="str">
        <f>HYPERLINK("https://www.google.ru/search?q=29507-1458&amp;newwindow=1&amp;tbm=isch","Еще фото")</f>
        <v>Еще фото</v>
      </c>
      <c r="F1456" s="14" t="s">
        <v>182</v>
      </c>
      <c r="G1456" s="24" t="s">
        <v>237</v>
      </c>
      <c r="H1456" s="24" t="s">
        <v>27</v>
      </c>
      <c r="I1456" s="24" t="s">
        <v>237</v>
      </c>
      <c r="J1456" s="15" t="s">
        <v>37</v>
      </c>
      <c r="K1456" s="16" t="s">
        <v>57</v>
      </c>
      <c r="L1456" s="62"/>
      <c r="M1456" s="15"/>
      <c r="N1456" s="15" t="s">
        <v>130</v>
      </c>
      <c r="O1456" s="15"/>
      <c r="P1456" s="16" t="s">
        <v>802</v>
      </c>
      <c r="Q1456" s="17">
        <v>21199</v>
      </c>
      <c r="R1456" s="18">
        <v>45</v>
      </c>
      <c r="S1456" s="19">
        <v>13408.3675</v>
      </c>
      <c r="T1456" s="20" t="s">
        <v>75</v>
      </c>
      <c r="U1456" s="21" t="s">
        <v>166</v>
      </c>
      <c r="V1456" s="25" t="s">
        <v>96</v>
      </c>
      <c r="W1456" s="22">
        <v>1</v>
      </c>
      <c r="X1456" s="23"/>
    </row>
    <row r="1457" spans="1:24" s="1" customFormat="1" ht="35" customHeight="1" x14ac:dyDescent="0.3">
      <c r="A1457" s="11" t="s">
        <v>23</v>
      </c>
      <c r="B1457" s="11" t="s">
        <v>1187</v>
      </c>
      <c r="C1457" s="12" t="s">
        <v>1188</v>
      </c>
      <c r="D1457" s="57"/>
      <c r="E1457" s="43" t="str">
        <f>HYPERLINK("https://www.google.ru/search?q=29507-1460&amp;newwindow=1&amp;tbm=isch","Еще фото")</f>
        <v>Еще фото</v>
      </c>
      <c r="F1457" s="14" t="s">
        <v>182</v>
      </c>
      <c r="G1457" s="11" t="s">
        <v>237</v>
      </c>
      <c r="H1457" s="11" t="s">
        <v>27</v>
      </c>
      <c r="I1457" s="15" t="s">
        <v>237</v>
      </c>
      <c r="J1457" s="15" t="s">
        <v>37</v>
      </c>
      <c r="K1457" s="16" t="s">
        <v>57</v>
      </c>
      <c r="L1457" s="60" t="s">
        <v>596</v>
      </c>
      <c r="M1457" s="15"/>
      <c r="N1457" s="15" t="s">
        <v>130</v>
      </c>
      <c r="O1457" s="15"/>
      <c r="P1457" s="16" t="s">
        <v>802</v>
      </c>
      <c r="Q1457" s="17">
        <v>16399</v>
      </c>
      <c r="R1457" s="18">
        <v>45</v>
      </c>
      <c r="S1457" s="19">
        <v>10372.3675</v>
      </c>
      <c r="T1457" s="20" t="s">
        <v>75</v>
      </c>
      <c r="U1457" s="21" t="s">
        <v>53</v>
      </c>
      <c r="V1457" s="22">
        <v>46</v>
      </c>
      <c r="W1457" s="22">
        <v>1</v>
      </c>
      <c r="X1457" s="23"/>
    </row>
    <row r="1458" spans="1:24" s="1" customFormat="1" ht="35" customHeight="1" x14ac:dyDescent="0.3">
      <c r="A1458" s="24" t="s">
        <v>23</v>
      </c>
      <c r="B1458" s="24" t="s">
        <v>1187</v>
      </c>
      <c r="C1458" s="12" t="s">
        <v>1188</v>
      </c>
      <c r="D1458" s="58"/>
      <c r="E1458" s="43" t="str">
        <f>HYPERLINK("https://www.google.ru/search?q=29507-1460&amp;newwindow=1&amp;tbm=isch","Еще фото")</f>
        <v>Еще фото</v>
      </c>
      <c r="F1458" s="14" t="s">
        <v>182</v>
      </c>
      <c r="G1458" s="24" t="s">
        <v>237</v>
      </c>
      <c r="H1458" s="24" t="s">
        <v>27</v>
      </c>
      <c r="I1458" s="24" t="s">
        <v>237</v>
      </c>
      <c r="J1458" s="15" t="s">
        <v>37</v>
      </c>
      <c r="K1458" s="16" t="s">
        <v>57</v>
      </c>
      <c r="L1458" s="61"/>
      <c r="M1458" s="15"/>
      <c r="N1458" s="15" t="s">
        <v>130</v>
      </c>
      <c r="O1458" s="15"/>
      <c r="P1458" s="16" t="s">
        <v>802</v>
      </c>
      <c r="Q1458" s="17">
        <v>16399</v>
      </c>
      <c r="R1458" s="18">
        <v>45</v>
      </c>
      <c r="S1458" s="19">
        <v>10372.3675</v>
      </c>
      <c r="T1458" s="20" t="s">
        <v>75</v>
      </c>
      <c r="U1458" s="21" t="s">
        <v>166</v>
      </c>
      <c r="V1458" s="25" t="s">
        <v>96</v>
      </c>
      <c r="W1458" s="22">
        <v>1</v>
      </c>
      <c r="X1458" s="23"/>
    </row>
    <row r="1459" spans="1:24" s="1" customFormat="1" ht="37.049999999999997" customHeight="1" x14ac:dyDescent="0.3">
      <c r="A1459" s="24" t="s">
        <v>23</v>
      </c>
      <c r="B1459" s="24" t="s">
        <v>1187</v>
      </c>
      <c r="C1459" s="12" t="s">
        <v>1188</v>
      </c>
      <c r="D1459" s="59"/>
      <c r="E1459" s="43" t="str">
        <f>HYPERLINK("https://www.google.ru/search?q=29507-1460&amp;newwindow=1&amp;tbm=isch","Еще фото")</f>
        <v>Еще фото</v>
      </c>
      <c r="F1459" s="14" t="s">
        <v>182</v>
      </c>
      <c r="G1459" s="24" t="s">
        <v>237</v>
      </c>
      <c r="H1459" s="24" t="s">
        <v>27</v>
      </c>
      <c r="I1459" s="24" t="s">
        <v>237</v>
      </c>
      <c r="J1459" s="15" t="s">
        <v>37</v>
      </c>
      <c r="K1459" s="16" t="s">
        <v>57</v>
      </c>
      <c r="L1459" s="62"/>
      <c r="M1459" s="15"/>
      <c r="N1459" s="15" t="s">
        <v>130</v>
      </c>
      <c r="O1459" s="15"/>
      <c r="P1459" s="16" t="s">
        <v>802</v>
      </c>
      <c r="Q1459" s="17">
        <v>16399</v>
      </c>
      <c r="R1459" s="18">
        <v>45</v>
      </c>
      <c r="S1459" s="19">
        <v>10372.3675</v>
      </c>
      <c r="T1459" s="20" t="s">
        <v>75</v>
      </c>
      <c r="U1459" s="21" t="s">
        <v>89</v>
      </c>
      <c r="V1459" s="22">
        <v>50</v>
      </c>
      <c r="W1459" s="22">
        <v>13</v>
      </c>
      <c r="X1459" s="23"/>
    </row>
    <row r="1460" spans="1:24" s="1" customFormat="1" ht="108" customHeight="1" x14ac:dyDescent="0.3">
      <c r="A1460" s="11" t="s">
        <v>23</v>
      </c>
      <c r="B1460" s="11" t="s">
        <v>197</v>
      </c>
      <c r="C1460" s="12" t="s">
        <v>1189</v>
      </c>
      <c r="D1460" s="13"/>
      <c r="E1460" s="43" t="str">
        <f>HYPERLINK("https://www.google.ru/search?q=29507-1572&amp;newwindow=1&amp;tbm=isch","Еще фото")</f>
        <v>Еще фото</v>
      </c>
      <c r="F1460" s="14"/>
      <c r="G1460" s="11" t="s">
        <v>237</v>
      </c>
      <c r="H1460" s="11" t="s">
        <v>27</v>
      </c>
      <c r="I1460" s="15" t="s">
        <v>237</v>
      </c>
      <c r="J1460" s="15" t="s">
        <v>37</v>
      </c>
      <c r="K1460" s="16" t="s">
        <v>57</v>
      </c>
      <c r="L1460" s="15" t="s">
        <v>684</v>
      </c>
      <c r="M1460" s="15"/>
      <c r="N1460" s="15" t="s">
        <v>39</v>
      </c>
      <c r="O1460" s="15"/>
      <c r="P1460" s="16" t="s">
        <v>831</v>
      </c>
      <c r="Q1460" s="17">
        <v>19199</v>
      </c>
      <c r="R1460" s="18">
        <v>45</v>
      </c>
      <c r="S1460" s="19">
        <v>12143.3675</v>
      </c>
      <c r="T1460" s="20" t="s">
        <v>75</v>
      </c>
      <c r="U1460" s="21" t="s">
        <v>109</v>
      </c>
      <c r="V1460" s="25" t="s">
        <v>65</v>
      </c>
      <c r="W1460" s="22">
        <v>1</v>
      </c>
      <c r="X1460" s="23"/>
    </row>
    <row r="1461" spans="1:24" s="1" customFormat="1" ht="35" customHeight="1" x14ac:dyDescent="0.3">
      <c r="A1461" s="11" t="s">
        <v>23</v>
      </c>
      <c r="B1461" s="11" t="s">
        <v>197</v>
      </c>
      <c r="C1461" s="12" t="s">
        <v>1190</v>
      </c>
      <c r="D1461" s="57"/>
      <c r="E1461" s="43" t="str">
        <f>HYPERLINK("https://www.google.ru/search?q=29507-1636&amp;newwindow=1&amp;tbm=isch","Еще фото")</f>
        <v>Еще фото</v>
      </c>
      <c r="F1461" s="14"/>
      <c r="G1461" s="11" t="s">
        <v>237</v>
      </c>
      <c r="H1461" s="11" t="s">
        <v>27</v>
      </c>
      <c r="I1461" s="15" t="s">
        <v>237</v>
      </c>
      <c r="J1461" s="15" t="s">
        <v>37</v>
      </c>
      <c r="K1461" s="16" t="s">
        <v>57</v>
      </c>
      <c r="L1461" s="60" t="s">
        <v>1191</v>
      </c>
      <c r="M1461" s="15"/>
      <c r="N1461" s="15" t="s">
        <v>130</v>
      </c>
      <c r="O1461" s="15"/>
      <c r="P1461" s="16" t="s">
        <v>1192</v>
      </c>
      <c r="Q1461" s="17">
        <v>18999</v>
      </c>
      <c r="R1461" s="18">
        <v>45</v>
      </c>
      <c r="S1461" s="19">
        <v>12016.8675</v>
      </c>
      <c r="T1461" s="20" t="s">
        <v>75</v>
      </c>
      <c r="U1461" s="21" t="s">
        <v>173</v>
      </c>
      <c r="V1461" s="25" t="s">
        <v>63</v>
      </c>
      <c r="W1461" s="22">
        <v>1</v>
      </c>
      <c r="X1461" s="23"/>
    </row>
    <row r="1462" spans="1:24" s="1" customFormat="1" ht="35" customHeight="1" x14ac:dyDescent="0.3">
      <c r="A1462" s="24" t="s">
        <v>23</v>
      </c>
      <c r="B1462" s="24" t="s">
        <v>197</v>
      </c>
      <c r="C1462" s="12" t="s">
        <v>1190</v>
      </c>
      <c r="D1462" s="58"/>
      <c r="E1462" s="43" t="str">
        <f>HYPERLINK("https://www.google.ru/search?q=29507-1636&amp;newwindow=1&amp;tbm=isch","Еще фото")</f>
        <v>Еще фото</v>
      </c>
      <c r="F1462" s="14"/>
      <c r="G1462" s="24" t="s">
        <v>237</v>
      </c>
      <c r="H1462" s="24" t="s">
        <v>27</v>
      </c>
      <c r="I1462" s="24" t="s">
        <v>237</v>
      </c>
      <c r="J1462" s="15" t="s">
        <v>37</v>
      </c>
      <c r="K1462" s="16" t="s">
        <v>57</v>
      </c>
      <c r="L1462" s="61"/>
      <c r="M1462" s="15"/>
      <c r="N1462" s="15" t="s">
        <v>130</v>
      </c>
      <c r="O1462" s="15"/>
      <c r="P1462" s="16" t="s">
        <v>1192</v>
      </c>
      <c r="Q1462" s="17">
        <v>18999</v>
      </c>
      <c r="R1462" s="18">
        <v>45</v>
      </c>
      <c r="S1462" s="19">
        <v>12016.8675</v>
      </c>
      <c r="T1462" s="20" t="s">
        <v>75</v>
      </c>
      <c r="U1462" s="21" t="s">
        <v>53</v>
      </c>
      <c r="V1462" s="22">
        <v>46</v>
      </c>
      <c r="W1462" s="22">
        <v>4</v>
      </c>
      <c r="X1462" s="23"/>
    </row>
    <row r="1463" spans="1:24" s="1" customFormat="1" ht="37.049999999999997" customHeight="1" x14ac:dyDescent="0.3">
      <c r="A1463" s="24" t="s">
        <v>23</v>
      </c>
      <c r="B1463" s="24" t="s">
        <v>197</v>
      </c>
      <c r="C1463" s="12" t="s">
        <v>1190</v>
      </c>
      <c r="D1463" s="59"/>
      <c r="E1463" s="43" t="str">
        <f>HYPERLINK("https://www.google.ru/search?q=29507-1636&amp;newwindow=1&amp;tbm=isch","Еще фото")</f>
        <v>Еще фото</v>
      </c>
      <c r="F1463" s="14"/>
      <c r="G1463" s="24" t="s">
        <v>237</v>
      </c>
      <c r="H1463" s="24" t="s">
        <v>27</v>
      </c>
      <c r="I1463" s="24" t="s">
        <v>237</v>
      </c>
      <c r="J1463" s="15" t="s">
        <v>37</v>
      </c>
      <c r="K1463" s="16" t="s">
        <v>57</v>
      </c>
      <c r="L1463" s="62"/>
      <c r="M1463" s="15"/>
      <c r="N1463" s="15" t="s">
        <v>130</v>
      </c>
      <c r="O1463" s="15"/>
      <c r="P1463" s="16" t="s">
        <v>1192</v>
      </c>
      <c r="Q1463" s="17">
        <v>18999</v>
      </c>
      <c r="R1463" s="18">
        <v>45</v>
      </c>
      <c r="S1463" s="19">
        <v>12016.8675</v>
      </c>
      <c r="T1463" s="20" t="s">
        <v>75</v>
      </c>
      <c r="U1463" s="21" t="s">
        <v>167</v>
      </c>
      <c r="V1463" s="22">
        <v>52</v>
      </c>
      <c r="W1463" s="22">
        <v>1</v>
      </c>
      <c r="X1463" s="23"/>
    </row>
    <row r="1464" spans="1:24" s="1" customFormat="1" ht="11" customHeight="1" x14ac:dyDescent="0.3">
      <c r="A1464" s="11" t="s">
        <v>23</v>
      </c>
      <c r="B1464" s="11" t="s">
        <v>197</v>
      </c>
      <c r="C1464" s="12" t="s">
        <v>1193</v>
      </c>
      <c r="D1464" s="57"/>
      <c r="E1464" s="43" t="str">
        <f t="shared" ref="E1464:E1475" si="92">HYPERLINK("https://www.google.ru/search?q=29507-1637&amp;newwindow=1&amp;tbm=isch","Еще фото")</f>
        <v>Еще фото</v>
      </c>
      <c r="F1464" s="14" t="s">
        <v>854</v>
      </c>
      <c r="G1464" s="11" t="s">
        <v>237</v>
      </c>
      <c r="H1464" s="11" t="s">
        <v>27</v>
      </c>
      <c r="I1464" s="15" t="s">
        <v>237</v>
      </c>
      <c r="J1464" s="15" t="s">
        <v>37</v>
      </c>
      <c r="K1464" s="16" t="s">
        <v>57</v>
      </c>
      <c r="L1464" s="60" t="s">
        <v>1191</v>
      </c>
      <c r="M1464" s="15"/>
      <c r="N1464" s="15" t="s">
        <v>130</v>
      </c>
      <c r="O1464" s="15"/>
      <c r="P1464" s="16" t="s">
        <v>685</v>
      </c>
      <c r="Q1464" s="17">
        <v>18499</v>
      </c>
      <c r="R1464" s="18">
        <v>45</v>
      </c>
      <c r="S1464" s="19">
        <v>11700.6175</v>
      </c>
      <c r="T1464" s="20" t="s">
        <v>75</v>
      </c>
      <c r="U1464" s="21" t="s">
        <v>173</v>
      </c>
      <c r="V1464" s="25" t="s">
        <v>63</v>
      </c>
      <c r="W1464" s="22">
        <v>9</v>
      </c>
      <c r="X1464" s="23"/>
    </row>
    <row r="1465" spans="1:24" s="1" customFormat="1" ht="11" customHeight="1" x14ac:dyDescent="0.3">
      <c r="A1465" s="24" t="s">
        <v>23</v>
      </c>
      <c r="B1465" s="24" t="s">
        <v>197</v>
      </c>
      <c r="C1465" s="12" t="s">
        <v>1193</v>
      </c>
      <c r="D1465" s="58"/>
      <c r="E1465" s="43" t="str">
        <f t="shared" si="92"/>
        <v>Еще фото</v>
      </c>
      <c r="F1465" s="14" t="s">
        <v>854</v>
      </c>
      <c r="G1465" s="24" t="s">
        <v>237</v>
      </c>
      <c r="H1465" s="24" t="s">
        <v>27</v>
      </c>
      <c r="I1465" s="24" t="s">
        <v>237</v>
      </c>
      <c r="J1465" s="15" t="s">
        <v>37</v>
      </c>
      <c r="K1465" s="16" t="s">
        <v>57</v>
      </c>
      <c r="L1465" s="61"/>
      <c r="M1465" s="15"/>
      <c r="N1465" s="15" t="s">
        <v>130</v>
      </c>
      <c r="O1465" s="15"/>
      <c r="P1465" s="16" t="s">
        <v>685</v>
      </c>
      <c r="Q1465" s="17">
        <v>18499</v>
      </c>
      <c r="R1465" s="18">
        <v>45</v>
      </c>
      <c r="S1465" s="19">
        <v>11700.6175</v>
      </c>
      <c r="T1465" s="20" t="s">
        <v>75</v>
      </c>
      <c r="U1465" s="21" t="s">
        <v>53</v>
      </c>
      <c r="V1465" s="22">
        <v>46</v>
      </c>
      <c r="W1465" s="22">
        <v>20</v>
      </c>
      <c r="X1465" s="23"/>
    </row>
    <row r="1466" spans="1:24" s="1" customFormat="1" ht="11" customHeight="1" x14ac:dyDescent="0.3">
      <c r="A1466" s="24" t="s">
        <v>23</v>
      </c>
      <c r="B1466" s="24" t="s">
        <v>197</v>
      </c>
      <c r="C1466" s="12" t="s">
        <v>1193</v>
      </c>
      <c r="D1466" s="58"/>
      <c r="E1466" s="43" t="str">
        <f t="shared" si="92"/>
        <v>Еще фото</v>
      </c>
      <c r="F1466" s="14" t="s">
        <v>854</v>
      </c>
      <c r="G1466" s="24" t="s">
        <v>237</v>
      </c>
      <c r="H1466" s="24" t="s">
        <v>27</v>
      </c>
      <c r="I1466" s="24" t="s">
        <v>237</v>
      </c>
      <c r="J1466" s="15" t="s">
        <v>37</v>
      </c>
      <c r="K1466" s="16" t="s">
        <v>57</v>
      </c>
      <c r="L1466" s="61"/>
      <c r="M1466" s="15"/>
      <c r="N1466" s="15" t="s">
        <v>130</v>
      </c>
      <c r="O1466" s="15"/>
      <c r="P1466" s="16" t="s">
        <v>685</v>
      </c>
      <c r="Q1466" s="17">
        <v>18499</v>
      </c>
      <c r="R1466" s="18">
        <v>45</v>
      </c>
      <c r="S1466" s="19">
        <v>11700.6175</v>
      </c>
      <c r="T1466" s="20" t="s">
        <v>75</v>
      </c>
      <c r="U1466" s="21" t="s">
        <v>188</v>
      </c>
      <c r="V1466" s="25" t="s">
        <v>65</v>
      </c>
      <c r="W1466" s="22">
        <v>3</v>
      </c>
      <c r="X1466" s="23"/>
    </row>
    <row r="1467" spans="1:24" s="1" customFormat="1" ht="11" customHeight="1" x14ac:dyDescent="0.3">
      <c r="A1467" s="24" t="s">
        <v>23</v>
      </c>
      <c r="B1467" s="24" t="s">
        <v>197</v>
      </c>
      <c r="C1467" s="12" t="s">
        <v>1193</v>
      </c>
      <c r="D1467" s="58"/>
      <c r="E1467" s="43" t="str">
        <f t="shared" si="92"/>
        <v>Еще фото</v>
      </c>
      <c r="F1467" s="14" t="s">
        <v>854</v>
      </c>
      <c r="G1467" s="24" t="s">
        <v>237</v>
      </c>
      <c r="H1467" s="24" t="s">
        <v>27</v>
      </c>
      <c r="I1467" s="24" t="s">
        <v>237</v>
      </c>
      <c r="J1467" s="15" t="s">
        <v>37</v>
      </c>
      <c r="K1467" s="16" t="s">
        <v>57</v>
      </c>
      <c r="L1467" s="61"/>
      <c r="M1467" s="15"/>
      <c r="N1467" s="15" t="s">
        <v>130</v>
      </c>
      <c r="O1467" s="15"/>
      <c r="P1467" s="16" t="s">
        <v>685</v>
      </c>
      <c r="Q1467" s="17">
        <v>18499</v>
      </c>
      <c r="R1467" s="18">
        <v>45</v>
      </c>
      <c r="S1467" s="19">
        <v>11700.6175</v>
      </c>
      <c r="T1467" s="20" t="s">
        <v>75</v>
      </c>
      <c r="U1467" s="21" t="s">
        <v>109</v>
      </c>
      <c r="V1467" s="25" t="s">
        <v>65</v>
      </c>
      <c r="W1467" s="22">
        <v>14</v>
      </c>
      <c r="X1467" s="23"/>
    </row>
    <row r="1468" spans="1:24" s="1" customFormat="1" ht="11" customHeight="1" x14ac:dyDescent="0.3">
      <c r="A1468" s="24" t="s">
        <v>23</v>
      </c>
      <c r="B1468" s="24" t="s">
        <v>197</v>
      </c>
      <c r="C1468" s="12" t="s">
        <v>1193</v>
      </c>
      <c r="D1468" s="58"/>
      <c r="E1468" s="43" t="str">
        <f t="shared" si="92"/>
        <v>Еще фото</v>
      </c>
      <c r="F1468" s="14" t="s">
        <v>854</v>
      </c>
      <c r="G1468" s="24" t="s">
        <v>237</v>
      </c>
      <c r="H1468" s="24" t="s">
        <v>27</v>
      </c>
      <c r="I1468" s="24" t="s">
        <v>237</v>
      </c>
      <c r="J1468" s="15" t="s">
        <v>37</v>
      </c>
      <c r="K1468" s="16" t="s">
        <v>57</v>
      </c>
      <c r="L1468" s="61"/>
      <c r="M1468" s="15"/>
      <c r="N1468" s="15" t="s">
        <v>130</v>
      </c>
      <c r="O1468" s="15"/>
      <c r="P1468" s="16" t="s">
        <v>685</v>
      </c>
      <c r="Q1468" s="17">
        <v>18499</v>
      </c>
      <c r="R1468" s="18">
        <v>45</v>
      </c>
      <c r="S1468" s="19">
        <v>11700.6175</v>
      </c>
      <c r="T1468" s="20" t="s">
        <v>75</v>
      </c>
      <c r="U1468" s="21" t="s">
        <v>140</v>
      </c>
      <c r="V1468" s="25" t="s">
        <v>65</v>
      </c>
      <c r="W1468" s="22">
        <v>6</v>
      </c>
      <c r="X1468" s="23"/>
    </row>
    <row r="1469" spans="1:24" s="1" customFormat="1" ht="11" customHeight="1" x14ac:dyDescent="0.3">
      <c r="A1469" s="24" t="s">
        <v>23</v>
      </c>
      <c r="B1469" s="24" t="s">
        <v>197</v>
      </c>
      <c r="C1469" s="12" t="s">
        <v>1193</v>
      </c>
      <c r="D1469" s="58"/>
      <c r="E1469" s="43" t="str">
        <f t="shared" si="92"/>
        <v>Еще фото</v>
      </c>
      <c r="F1469" s="14" t="s">
        <v>854</v>
      </c>
      <c r="G1469" s="24" t="s">
        <v>237</v>
      </c>
      <c r="H1469" s="24" t="s">
        <v>27</v>
      </c>
      <c r="I1469" s="24" t="s">
        <v>237</v>
      </c>
      <c r="J1469" s="15" t="s">
        <v>37</v>
      </c>
      <c r="K1469" s="16" t="s">
        <v>57</v>
      </c>
      <c r="L1469" s="61"/>
      <c r="M1469" s="15"/>
      <c r="N1469" s="15" t="s">
        <v>130</v>
      </c>
      <c r="O1469" s="15"/>
      <c r="P1469" s="16" t="s">
        <v>685</v>
      </c>
      <c r="Q1469" s="17">
        <v>18499</v>
      </c>
      <c r="R1469" s="18">
        <v>45</v>
      </c>
      <c r="S1469" s="19">
        <v>11700.6175</v>
      </c>
      <c r="T1469" s="20" t="s">
        <v>75</v>
      </c>
      <c r="U1469" s="21" t="s">
        <v>95</v>
      </c>
      <c r="V1469" s="22">
        <v>48</v>
      </c>
      <c r="W1469" s="22">
        <v>11</v>
      </c>
      <c r="X1469" s="23"/>
    </row>
    <row r="1470" spans="1:24" s="1" customFormat="1" ht="11" customHeight="1" x14ac:dyDescent="0.3">
      <c r="A1470" s="24" t="s">
        <v>23</v>
      </c>
      <c r="B1470" s="24" t="s">
        <v>197</v>
      </c>
      <c r="C1470" s="12" t="s">
        <v>1193</v>
      </c>
      <c r="D1470" s="58"/>
      <c r="E1470" s="43" t="str">
        <f t="shared" si="92"/>
        <v>Еще фото</v>
      </c>
      <c r="F1470" s="14" t="s">
        <v>854</v>
      </c>
      <c r="G1470" s="24" t="s">
        <v>237</v>
      </c>
      <c r="H1470" s="24" t="s">
        <v>27</v>
      </c>
      <c r="I1470" s="24" t="s">
        <v>237</v>
      </c>
      <c r="J1470" s="15" t="s">
        <v>37</v>
      </c>
      <c r="K1470" s="16" t="s">
        <v>57</v>
      </c>
      <c r="L1470" s="61"/>
      <c r="M1470" s="15"/>
      <c r="N1470" s="15" t="s">
        <v>130</v>
      </c>
      <c r="O1470" s="15"/>
      <c r="P1470" s="16" t="s">
        <v>685</v>
      </c>
      <c r="Q1470" s="17">
        <v>18499</v>
      </c>
      <c r="R1470" s="18">
        <v>45</v>
      </c>
      <c r="S1470" s="19">
        <v>11700.6175</v>
      </c>
      <c r="T1470" s="20" t="s">
        <v>75</v>
      </c>
      <c r="U1470" s="21" t="s">
        <v>165</v>
      </c>
      <c r="V1470" s="22">
        <v>48</v>
      </c>
      <c r="W1470" s="22">
        <v>20</v>
      </c>
      <c r="X1470" s="23"/>
    </row>
    <row r="1471" spans="1:24" s="1" customFormat="1" ht="11" customHeight="1" x14ac:dyDescent="0.3">
      <c r="A1471" s="24" t="s">
        <v>23</v>
      </c>
      <c r="B1471" s="24" t="s">
        <v>197</v>
      </c>
      <c r="C1471" s="12" t="s">
        <v>1193</v>
      </c>
      <c r="D1471" s="58"/>
      <c r="E1471" s="43" t="str">
        <f t="shared" si="92"/>
        <v>Еще фото</v>
      </c>
      <c r="F1471" s="14" t="s">
        <v>854</v>
      </c>
      <c r="G1471" s="24" t="s">
        <v>237</v>
      </c>
      <c r="H1471" s="24" t="s">
        <v>27</v>
      </c>
      <c r="I1471" s="24" t="s">
        <v>237</v>
      </c>
      <c r="J1471" s="15" t="s">
        <v>37</v>
      </c>
      <c r="K1471" s="16" t="s">
        <v>57</v>
      </c>
      <c r="L1471" s="61"/>
      <c r="M1471" s="15"/>
      <c r="N1471" s="15" t="s">
        <v>130</v>
      </c>
      <c r="O1471" s="15"/>
      <c r="P1471" s="16" t="s">
        <v>685</v>
      </c>
      <c r="Q1471" s="17">
        <v>18499</v>
      </c>
      <c r="R1471" s="18">
        <v>45</v>
      </c>
      <c r="S1471" s="19">
        <v>11700.6175</v>
      </c>
      <c r="T1471" s="20" t="s">
        <v>75</v>
      </c>
      <c r="U1471" s="21" t="s">
        <v>104</v>
      </c>
      <c r="V1471" s="22">
        <v>48</v>
      </c>
      <c r="W1471" s="22">
        <v>3</v>
      </c>
      <c r="X1471" s="23"/>
    </row>
    <row r="1472" spans="1:24" s="1" customFormat="1" ht="11" customHeight="1" x14ac:dyDescent="0.3">
      <c r="A1472" s="24" t="s">
        <v>23</v>
      </c>
      <c r="B1472" s="24" t="s">
        <v>197</v>
      </c>
      <c r="C1472" s="12" t="s">
        <v>1193</v>
      </c>
      <c r="D1472" s="58"/>
      <c r="E1472" s="43" t="str">
        <f t="shared" si="92"/>
        <v>Еще фото</v>
      </c>
      <c r="F1472" s="14" t="s">
        <v>854</v>
      </c>
      <c r="G1472" s="24" t="s">
        <v>237</v>
      </c>
      <c r="H1472" s="24" t="s">
        <v>27</v>
      </c>
      <c r="I1472" s="24" t="s">
        <v>237</v>
      </c>
      <c r="J1472" s="15" t="s">
        <v>37</v>
      </c>
      <c r="K1472" s="16" t="s">
        <v>57</v>
      </c>
      <c r="L1472" s="61"/>
      <c r="M1472" s="15"/>
      <c r="N1472" s="15" t="s">
        <v>130</v>
      </c>
      <c r="O1472" s="15"/>
      <c r="P1472" s="16" t="s">
        <v>685</v>
      </c>
      <c r="Q1472" s="17">
        <v>18499</v>
      </c>
      <c r="R1472" s="18">
        <v>45</v>
      </c>
      <c r="S1472" s="19">
        <v>11700.6175</v>
      </c>
      <c r="T1472" s="20" t="s">
        <v>75</v>
      </c>
      <c r="U1472" s="21" t="s">
        <v>166</v>
      </c>
      <c r="V1472" s="25" t="s">
        <v>96</v>
      </c>
      <c r="W1472" s="22">
        <v>13</v>
      </c>
      <c r="X1472" s="23"/>
    </row>
    <row r="1473" spans="1:24" s="1" customFormat="1" ht="11" customHeight="1" x14ac:dyDescent="0.3">
      <c r="A1473" s="15" t="s">
        <v>23</v>
      </c>
      <c r="B1473" s="15" t="s">
        <v>197</v>
      </c>
      <c r="C1473" s="12" t="s">
        <v>1193</v>
      </c>
      <c r="D1473" s="58"/>
      <c r="E1473" s="43" t="str">
        <f t="shared" si="92"/>
        <v>Еще фото</v>
      </c>
      <c r="F1473" s="26" t="s">
        <v>854</v>
      </c>
      <c r="G1473" s="15" t="s">
        <v>237</v>
      </c>
      <c r="H1473" s="15" t="s">
        <v>27</v>
      </c>
      <c r="I1473" s="15" t="s">
        <v>237</v>
      </c>
      <c r="J1473" s="15" t="s">
        <v>37</v>
      </c>
      <c r="K1473" s="15" t="s">
        <v>57</v>
      </c>
      <c r="L1473" s="61"/>
      <c r="M1473" s="15"/>
      <c r="N1473" s="15" t="s">
        <v>130</v>
      </c>
      <c r="O1473" s="15"/>
      <c r="P1473" s="15" t="s">
        <v>685</v>
      </c>
      <c r="Q1473" s="27">
        <v>18499</v>
      </c>
      <c r="R1473" s="28">
        <v>45</v>
      </c>
      <c r="S1473" s="29">
        <v>11700.6175</v>
      </c>
      <c r="T1473" s="20" t="s">
        <v>75</v>
      </c>
      <c r="U1473" s="21" t="s">
        <v>359</v>
      </c>
      <c r="V1473" s="25" t="s">
        <v>96</v>
      </c>
      <c r="W1473" s="22">
        <v>4</v>
      </c>
      <c r="X1473" s="23"/>
    </row>
    <row r="1474" spans="1:24" s="1" customFormat="1" ht="11" customHeight="1" x14ac:dyDescent="0.3">
      <c r="A1474" s="15" t="s">
        <v>23</v>
      </c>
      <c r="B1474" s="15" t="s">
        <v>197</v>
      </c>
      <c r="C1474" s="12" t="s">
        <v>1193</v>
      </c>
      <c r="D1474" s="58"/>
      <c r="E1474" s="43" t="str">
        <f t="shared" si="92"/>
        <v>Еще фото</v>
      </c>
      <c r="F1474" s="26" t="s">
        <v>854</v>
      </c>
      <c r="G1474" s="15" t="s">
        <v>237</v>
      </c>
      <c r="H1474" s="15" t="s">
        <v>27</v>
      </c>
      <c r="I1474" s="15" t="s">
        <v>237</v>
      </c>
      <c r="J1474" s="15" t="s">
        <v>37</v>
      </c>
      <c r="K1474" s="15" t="s">
        <v>57</v>
      </c>
      <c r="L1474" s="61"/>
      <c r="M1474" s="15"/>
      <c r="N1474" s="15" t="s">
        <v>130</v>
      </c>
      <c r="O1474" s="15"/>
      <c r="P1474" s="15" t="s">
        <v>685</v>
      </c>
      <c r="Q1474" s="27">
        <v>18499</v>
      </c>
      <c r="R1474" s="28">
        <v>45</v>
      </c>
      <c r="S1474" s="29">
        <v>11700.6175</v>
      </c>
      <c r="T1474" s="20" t="s">
        <v>75</v>
      </c>
      <c r="U1474" s="21" t="s">
        <v>89</v>
      </c>
      <c r="V1474" s="22">
        <v>50</v>
      </c>
      <c r="W1474" s="22">
        <v>16</v>
      </c>
      <c r="X1474" s="23"/>
    </row>
    <row r="1475" spans="1:24" s="1" customFormat="1" ht="11" customHeight="1" x14ac:dyDescent="0.3">
      <c r="A1475" s="15" t="s">
        <v>23</v>
      </c>
      <c r="B1475" s="15" t="s">
        <v>197</v>
      </c>
      <c r="C1475" s="12" t="s">
        <v>1193</v>
      </c>
      <c r="D1475" s="59"/>
      <c r="E1475" s="43" t="str">
        <f t="shared" si="92"/>
        <v>Еще фото</v>
      </c>
      <c r="F1475" s="26" t="s">
        <v>854</v>
      </c>
      <c r="G1475" s="15" t="s">
        <v>237</v>
      </c>
      <c r="H1475" s="15" t="s">
        <v>27</v>
      </c>
      <c r="I1475" s="15" t="s">
        <v>237</v>
      </c>
      <c r="J1475" s="15" t="s">
        <v>37</v>
      </c>
      <c r="K1475" s="15" t="s">
        <v>57</v>
      </c>
      <c r="L1475" s="62"/>
      <c r="M1475" s="15"/>
      <c r="N1475" s="15" t="s">
        <v>130</v>
      </c>
      <c r="O1475" s="15"/>
      <c r="P1475" s="15" t="s">
        <v>685</v>
      </c>
      <c r="Q1475" s="27">
        <v>18499</v>
      </c>
      <c r="R1475" s="28">
        <v>45</v>
      </c>
      <c r="S1475" s="29">
        <v>11700.6175</v>
      </c>
      <c r="T1475" s="20" t="s">
        <v>75</v>
      </c>
      <c r="U1475" s="21" t="s">
        <v>100</v>
      </c>
      <c r="V1475" s="22">
        <v>50</v>
      </c>
      <c r="W1475" s="22">
        <v>7</v>
      </c>
      <c r="X1475" s="23"/>
    </row>
    <row r="1476" spans="1:24" s="1" customFormat="1" ht="108" customHeight="1" x14ac:dyDescent="0.3">
      <c r="A1476" s="11" t="s">
        <v>23</v>
      </c>
      <c r="B1476" s="11" t="s">
        <v>197</v>
      </c>
      <c r="C1476" s="12" t="s">
        <v>1194</v>
      </c>
      <c r="D1476" s="13"/>
      <c r="E1476" s="43" t="str">
        <f>HYPERLINK("https://www.google.ru/search?q=29507-1638&amp;newwindow=1&amp;tbm=isch","Еще фото")</f>
        <v>Еще фото</v>
      </c>
      <c r="F1476" s="14"/>
      <c r="G1476" s="11" t="s">
        <v>237</v>
      </c>
      <c r="H1476" s="11" t="s">
        <v>27</v>
      </c>
      <c r="I1476" s="15" t="s">
        <v>237</v>
      </c>
      <c r="J1476" s="15" t="s">
        <v>37</v>
      </c>
      <c r="K1476" s="16" t="s">
        <v>57</v>
      </c>
      <c r="L1476" s="15" t="s">
        <v>684</v>
      </c>
      <c r="M1476" s="15"/>
      <c r="N1476" s="15" t="s">
        <v>130</v>
      </c>
      <c r="O1476" s="15"/>
      <c r="P1476" s="16" t="s">
        <v>32</v>
      </c>
      <c r="Q1476" s="17">
        <v>16799</v>
      </c>
      <c r="R1476" s="18">
        <v>45</v>
      </c>
      <c r="S1476" s="19">
        <v>10625.3675</v>
      </c>
      <c r="T1476" s="20" t="s">
        <v>75</v>
      </c>
      <c r="U1476" s="21" t="s">
        <v>168</v>
      </c>
      <c r="V1476" s="22">
        <v>52</v>
      </c>
      <c r="W1476" s="22">
        <v>1</v>
      </c>
      <c r="X1476" s="23"/>
    </row>
    <row r="1477" spans="1:24" s="1" customFormat="1" ht="108" customHeight="1" x14ac:dyDescent="0.3">
      <c r="A1477" s="11" t="s">
        <v>23</v>
      </c>
      <c r="B1477" s="11" t="s">
        <v>1195</v>
      </c>
      <c r="C1477" s="12" t="s">
        <v>1196</v>
      </c>
      <c r="D1477" s="13"/>
      <c r="E1477" s="43" t="str">
        <f>HYPERLINK("https://www.google.ru/search?q=29507-1651&amp;newwindow=1&amp;tbm=isch","Еще фото")</f>
        <v>Еще фото</v>
      </c>
      <c r="F1477" s="14"/>
      <c r="G1477" s="11" t="s">
        <v>237</v>
      </c>
      <c r="H1477" s="11" t="s">
        <v>27</v>
      </c>
      <c r="I1477" s="15" t="s">
        <v>237</v>
      </c>
      <c r="J1477" s="15" t="s">
        <v>28</v>
      </c>
      <c r="K1477" s="16" t="s">
        <v>57</v>
      </c>
      <c r="L1477" s="15" t="s">
        <v>684</v>
      </c>
      <c r="M1477" s="15"/>
      <c r="N1477" s="15" t="s">
        <v>130</v>
      </c>
      <c r="O1477" s="15"/>
      <c r="P1477" s="16" t="s">
        <v>358</v>
      </c>
      <c r="Q1477" s="17">
        <v>19199</v>
      </c>
      <c r="R1477" s="18">
        <v>45</v>
      </c>
      <c r="S1477" s="19">
        <v>12143.3675</v>
      </c>
      <c r="T1477" s="20" t="s">
        <v>75</v>
      </c>
      <c r="U1477" s="21" t="s">
        <v>166</v>
      </c>
      <c r="V1477" s="25" t="s">
        <v>96</v>
      </c>
      <c r="W1477" s="22">
        <v>1</v>
      </c>
      <c r="X1477" s="23"/>
    </row>
    <row r="1478" spans="1:24" s="1" customFormat="1" ht="26" customHeight="1" x14ac:dyDescent="0.3">
      <c r="A1478" s="11" t="s">
        <v>23</v>
      </c>
      <c r="B1478" s="11" t="s">
        <v>197</v>
      </c>
      <c r="C1478" s="12" t="s">
        <v>1197</v>
      </c>
      <c r="D1478" s="57"/>
      <c r="E1478" s="43" t="str">
        <f>HYPERLINK("https://www.google.ru/search?q=29507-1711&amp;newwindow=1&amp;tbm=isch","Еще фото")</f>
        <v>Еще фото</v>
      </c>
      <c r="F1478" s="14" t="s">
        <v>854</v>
      </c>
      <c r="G1478" s="11" t="s">
        <v>237</v>
      </c>
      <c r="H1478" s="11" t="s">
        <v>27</v>
      </c>
      <c r="I1478" s="15" t="s">
        <v>237</v>
      </c>
      <c r="J1478" s="15" t="s">
        <v>37</v>
      </c>
      <c r="K1478" s="16" t="s">
        <v>57</v>
      </c>
      <c r="L1478" s="60" t="s">
        <v>596</v>
      </c>
      <c r="M1478" s="15"/>
      <c r="N1478" s="15" t="s">
        <v>138</v>
      </c>
      <c r="O1478" s="15"/>
      <c r="P1478" s="16" t="s">
        <v>254</v>
      </c>
      <c r="Q1478" s="17">
        <v>23199</v>
      </c>
      <c r="R1478" s="18">
        <v>45</v>
      </c>
      <c r="S1478" s="19">
        <v>14673.3675</v>
      </c>
      <c r="T1478" s="20" t="s">
        <v>75</v>
      </c>
      <c r="U1478" s="21" t="s">
        <v>173</v>
      </c>
      <c r="V1478" s="25" t="s">
        <v>63</v>
      </c>
      <c r="W1478" s="22">
        <v>5</v>
      </c>
      <c r="X1478" s="23"/>
    </row>
    <row r="1479" spans="1:24" s="1" customFormat="1" ht="26" customHeight="1" x14ac:dyDescent="0.3">
      <c r="A1479" s="24" t="s">
        <v>23</v>
      </c>
      <c r="B1479" s="24" t="s">
        <v>197</v>
      </c>
      <c r="C1479" s="12" t="s">
        <v>1197</v>
      </c>
      <c r="D1479" s="58"/>
      <c r="E1479" s="43" t="str">
        <f>HYPERLINK("https://www.google.ru/search?q=29507-1711&amp;newwindow=1&amp;tbm=isch","Еще фото")</f>
        <v>Еще фото</v>
      </c>
      <c r="F1479" s="14" t="s">
        <v>854</v>
      </c>
      <c r="G1479" s="24" t="s">
        <v>237</v>
      </c>
      <c r="H1479" s="24" t="s">
        <v>27</v>
      </c>
      <c r="I1479" s="24" t="s">
        <v>237</v>
      </c>
      <c r="J1479" s="15" t="s">
        <v>37</v>
      </c>
      <c r="K1479" s="16" t="s">
        <v>57</v>
      </c>
      <c r="L1479" s="61"/>
      <c r="M1479" s="15"/>
      <c r="N1479" s="15" t="s">
        <v>138</v>
      </c>
      <c r="O1479" s="15"/>
      <c r="P1479" s="16" t="s">
        <v>254</v>
      </c>
      <c r="Q1479" s="17">
        <v>23199</v>
      </c>
      <c r="R1479" s="18">
        <v>45</v>
      </c>
      <c r="S1479" s="19">
        <v>14673.3675</v>
      </c>
      <c r="T1479" s="20" t="s">
        <v>75</v>
      </c>
      <c r="U1479" s="21" t="s">
        <v>53</v>
      </c>
      <c r="V1479" s="22">
        <v>46</v>
      </c>
      <c r="W1479" s="22">
        <v>12</v>
      </c>
      <c r="X1479" s="23"/>
    </row>
    <row r="1480" spans="1:24" s="1" customFormat="1" ht="26" customHeight="1" x14ac:dyDescent="0.3">
      <c r="A1480" s="24" t="s">
        <v>23</v>
      </c>
      <c r="B1480" s="24" t="s">
        <v>197</v>
      </c>
      <c r="C1480" s="12" t="s">
        <v>1197</v>
      </c>
      <c r="D1480" s="58"/>
      <c r="E1480" s="43" t="str">
        <f>HYPERLINK("https://www.google.ru/search?q=29507-1711&amp;newwindow=1&amp;tbm=isch","Еще фото")</f>
        <v>Еще фото</v>
      </c>
      <c r="F1480" s="14" t="s">
        <v>854</v>
      </c>
      <c r="G1480" s="24" t="s">
        <v>237</v>
      </c>
      <c r="H1480" s="24" t="s">
        <v>27</v>
      </c>
      <c r="I1480" s="24" t="s">
        <v>237</v>
      </c>
      <c r="J1480" s="15" t="s">
        <v>37</v>
      </c>
      <c r="K1480" s="16" t="s">
        <v>57</v>
      </c>
      <c r="L1480" s="61"/>
      <c r="M1480" s="15"/>
      <c r="N1480" s="15" t="s">
        <v>138</v>
      </c>
      <c r="O1480" s="15"/>
      <c r="P1480" s="16" t="s">
        <v>254</v>
      </c>
      <c r="Q1480" s="17">
        <v>23199</v>
      </c>
      <c r="R1480" s="18">
        <v>45</v>
      </c>
      <c r="S1480" s="19">
        <v>14673.3675</v>
      </c>
      <c r="T1480" s="20" t="s">
        <v>75</v>
      </c>
      <c r="U1480" s="21" t="s">
        <v>109</v>
      </c>
      <c r="V1480" s="25" t="s">
        <v>65</v>
      </c>
      <c r="W1480" s="22">
        <v>1</v>
      </c>
      <c r="X1480" s="23"/>
    </row>
    <row r="1481" spans="1:24" s="1" customFormat="1" ht="26" customHeight="1" x14ac:dyDescent="0.3">
      <c r="A1481" s="24" t="s">
        <v>23</v>
      </c>
      <c r="B1481" s="24" t="s">
        <v>197</v>
      </c>
      <c r="C1481" s="12" t="s">
        <v>1197</v>
      </c>
      <c r="D1481" s="59"/>
      <c r="E1481" s="43" t="str">
        <f>HYPERLINK("https://www.google.ru/search?q=29507-1711&amp;newwindow=1&amp;tbm=isch","Еще фото")</f>
        <v>Еще фото</v>
      </c>
      <c r="F1481" s="14" t="s">
        <v>854</v>
      </c>
      <c r="G1481" s="24" t="s">
        <v>237</v>
      </c>
      <c r="H1481" s="24" t="s">
        <v>27</v>
      </c>
      <c r="I1481" s="24" t="s">
        <v>237</v>
      </c>
      <c r="J1481" s="15" t="s">
        <v>37</v>
      </c>
      <c r="K1481" s="16" t="s">
        <v>57</v>
      </c>
      <c r="L1481" s="62"/>
      <c r="M1481" s="15"/>
      <c r="N1481" s="15" t="s">
        <v>138</v>
      </c>
      <c r="O1481" s="15"/>
      <c r="P1481" s="16" t="s">
        <v>254</v>
      </c>
      <c r="Q1481" s="17">
        <v>23199</v>
      </c>
      <c r="R1481" s="18">
        <v>45</v>
      </c>
      <c r="S1481" s="19">
        <v>14673.3675</v>
      </c>
      <c r="T1481" s="20" t="s">
        <v>75</v>
      </c>
      <c r="U1481" s="21" t="s">
        <v>89</v>
      </c>
      <c r="V1481" s="22">
        <v>50</v>
      </c>
      <c r="W1481" s="22">
        <v>1</v>
      </c>
      <c r="X1481" s="23"/>
    </row>
    <row r="1482" spans="1:24" s="1" customFormat="1" ht="17" customHeight="1" x14ac:dyDescent="0.3">
      <c r="A1482" s="11" t="s">
        <v>23</v>
      </c>
      <c r="B1482" s="11" t="s">
        <v>197</v>
      </c>
      <c r="C1482" s="12" t="s">
        <v>1198</v>
      </c>
      <c r="D1482" s="57"/>
      <c r="E1482" s="43" t="str">
        <f t="shared" ref="E1482:E1487" si="93">HYPERLINK("https://www.google.ru/search?q=29507-1772&amp;newwindow=1&amp;tbm=isch","Еще фото")</f>
        <v>Еще фото</v>
      </c>
      <c r="F1482" s="14"/>
      <c r="G1482" s="11" t="s">
        <v>237</v>
      </c>
      <c r="H1482" s="11" t="s">
        <v>27</v>
      </c>
      <c r="I1482" s="15" t="s">
        <v>237</v>
      </c>
      <c r="J1482" s="15" t="s">
        <v>37</v>
      </c>
      <c r="K1482" s="16" t="s">
        <v>57</v>
      </c>
      <c r="L1482" s="60" t="s">
        <v>684</v>
      </c>
      <c r="M1482" s="15"/>
      <c r="N1482" s="15" t="s">
        <v>156</v>
      </c>
      <c r="O1482" s="15"/>
      <c r="P1482" s="16" t="s">
        <v>358</v>
      </c>
      <c r="Q1482" s="17">
        <v>16199</v>
      </c>
      <c r="R1482" s="18">
        <v>45</v>
      </c>
      <c r="S1482" s="19">
        <v>10245.8675</v>
      </c>
      <c r="T1482" s="20" t="s">
        <v>75</v>
      </c>
      <c r="U1482" s="21" t="s">
        <v>53</v>
      </c>
      <c r="V1482" s="22">
        <v>46</v>
      </c>
      <c r="W1482" s="22">
        <v>8</v>
      </c>
      <c r="X1482" s="23"/>
    </row>
    <row r="1483" spans="1:24" s="1" customFormat="1" ht="17" customHeight="1" x14ac:dyDescent="0.3">
      <c r="A1483" s="24" t="s">
        <v>23</v>
      </c>
      <c r="B1483" s="24" t="s">
        <v>197</v>
      </c>
      <c r="C1483" s="12" t="s">
        <v>1198</v>
      </c>
      <c r="D1483" s="58"/>
      <c r="E1483" s="43" t="str">
        <f t="shared" si="93"/>
        <v>Еще фото</v>
      </c>
      <c r="F1483" s="14"/>
      <c r="G1483" s="24" t="s">
        <v>237</v>
      </c>
      <c r="H1483" s="24" t="s">
        <v>27</v>
      </c>
      <c r="I1483" s="24" t="s">
        <v>237</v>
      </c>
      <c r="J1483" s="15" t="s">
        <v>37</v>
      </c>
      <c r="K1483" s="16" t="s">
        <v>57</v>
      </c>
      <c r="L1483" s="61"/>
      <c r="M1483" s="15"/>
      <c r="N1483" s="15" t="s">
        <v>156</v>
      </c>
      <c r="O1483" s="15"/>
      <c r="P1483" s="16" t="s">
        <v>358</v>
      </c>
      <c r="Q1483" s="17">
        <v>16199</v>
      </c>
      <c r="R1483" s="18">
        <v>45</v>
      </c>
      <c r="S1483" s="19">
        <v>10245.8675</v>
      </c>
      <c r="T1483" s="20" t="s">
        <v>75</v>
      </c>
      <c r="U1483" s="21" t="s">
        <v>109</v>
      </c>
      <c r="V1483" s="25" t="s">
        <v>65</v>
      </c>
      <c r="W1483" s="22">
        <v>10</v>
      </c>
      <c r="X1483" s="23"/>
    </row>
    <row r="1484" spans="1:24" s="1" customFormat="1" ht="17" customHeight="1" x14ac:dyDescent="0.3">
      <c r="A1484" s="24" t="s">
        <v>23</v>
      </c>
      <c r="B1484" s="24" t="s">
        <v>197</v>
      </c>
      <c r="C1484" s="12" t="s">
        <v>1198</v>
      </c>
      <c r="D1484" s="58"/>
      <c r="E1484" s="43" t="str">
        <f t="shared" si="93"/>
        <v>Еще фото</v>
      </c>
      <c r="F1484" s="14"/>
      <c r="G1484" s="24" t="s">
        <v>237</v>
      </c>
      <c r="H1484" s="24" t="s">
        <v>27</v>
      </c>
      <c r="I1484" s="24" t="s">
        <v>237</v>
      </c>
      <c r="J1484" s="15" t="s">
        <v>37</v>
      </c>
      <c r="K1484" s="16" t="s">
        <v>57</v>
      </c>
      <c r="L1484" s="61"/>
      <c r="M1484" s="15"/>
      <c r="N1484" s="15" t="s">
        <v>156</v>
      </c>
      <c r="O1484" s="15"/>
      <c r="P1484" s="16" t="s">
        <v>358</v>
      </c>
      <c r="Q1484" s="17">
        <v>16199</v>
      </c>
      <c r="R1484" s="18">
        <v>45</v>
      </c>
      <c r="S1484" s="19">
        <v>10245.8675</v>
      </c>
      <c r="T1484" s="20" t="s">
        <v>75</v>
      </c>
      <c r="U1484" s="21" t="s">
        <v>165</v>
      </c>
      <c r="V1484" s="22">
        <v>48</v>
      </c>
      <c r="W1484" s="22">
        <v>6</v>
      </c>
      <c r="X1484" s="23"/>
    </row>
    <row r="1485" spans="1:24" s="1" customFormat="1" ht="17" customHeight="1" x14ac:dyDescent="0.3">
      <c r="A1485" s="24" t="s">
        <v>23</v>
      </c>
      <c r="B1485" s="24" t="s">
        <v>197</v>
      </c>
      <c r="C1485" s="12" t="s">
        <v>1198</v>
      </c>
      <c r="D1485" s="58"/>
      <c r="E1485" s="43" t="str">
        <f t="shared" si="93"/>
        <v>Еще фото</v>
      </c>
      <c r="F1485" s="14"/>
      <c r="G1485" s="24" t="s">
        <v>237</v>
      </c>
      <c r="H1485" s="24" t="s">
        <v>27</v>
      </c>
      <c r="I1485" s="24" t="s">
        <v>237</v>
      </c>
      <c r="J1485" s="15" t="s">
        <v>37</v>
      </c>
      <c r="K1485" s="16" t="s">
        <v>57</v>
      </c>
      <c r="L1485" s="61"/>
      <c r="M1485" s="15"/>
      <c r="N1485" s="15" t="s">
        <v>156</v>
      </c>
      <c r="O1485" s="15"/>
      <c r="P1485" s="16" t="s">
        <v>358</v>
      </c>
      <c r="Q1485" s="17">
        <v>16199</v>
      </c>
      <c r="R1485" s="18">
        <v>45</v>
      </c>
      <c r="S1485" s="19">
        <v>10245.8675</v>
      </c>
      <c r="T1485" s="20" t="s">
        <v>75</v>
      </c>
      <c r="U1485" s="21" t="s">
        <v>166</v>
      </c>
      <c r="V1485" s="25" t="s">
        <v>96</v>
      </c>
      <c r="W1485" s="22">
        <v>8</v>
      </c>
      <c r="X1485" s="23"/>
    </row>
    <row r="1486" spans="1:24" s="1" customFormat="1" ht="17" customHeight="1" x14ac:dyDescent="0.3">
      <c r="A1486" s="24" t="s">
        <v>23</v>
      </c>
      <c r="B1486" s="24" t="s">
        <v>197</v>
      </c>
      <c r="C1486" s="12" t="s">
        <v>1198</v>
      </c>
      <c r="D1486" s="58"/>
      <c r="E1486" s="43" t="str">
        <f t="shared" si="93"/>
        <v>Еще фото</v>
      </c>
      <c r="F1486" s="14"/>
      <c r="G1486" s="24" t="s">
        <v>237</v>
      </c>
      <c r="H1486" s="24" t="s">
        <v>27</v>
      </c>
      <c r="I1486" s="24" t="s">
        <v>237</v>
      </c>
      <c r="J1486" s="15" t="s">
        <v>37</v>
      </c>
      <c r="K1486" s="16" t="s">
        <v>57</v>
      </c>
      <c r="L1486" s="61"/>
      <c r="M1486" s="15"/>
      <c r="N1486" s="15" t="s">
        <v>156</v>
      </c>
      <c r="O1486" s="15"/>
      <c r="P1486" s="16" t="s">
        <v>358</v>
      </c>
      <c r="Q1486" s="17">
        <v>16199</v>
      </c>
      <c r="R1486" s="18">
        <v>45</v>
      </c>
      <c r="S1486" s="19">
        <v>10245.8675</v>
      </c>
      <c r="T1486" s="20" t="s">
        <v>75</v>
      </c>
      <c r="U1486" s="21" t="s">
        <v>89</v>
      </c>
      <c r="V1486" s="22">
        <v>50</v>
      </c>
      <c r="W1486" s="22">
        <v>4</v>
      </c>
      <c r="X1486" s="23"/>
    </row>
    <row r="1487" spans="1:24" s="1" customFormat="1" ht="22.05" customHeight="1" x14ac:dyDescent="0.3">
      <c r="A1487" s="24" t="s">
        <v>23</v>
      </c>
      <c r="B1487" s="24" t="s">
        <v>197</v>
      </c>
      <c r="C1487" s="12" t="s">
        <v>1198</v>
      </c>
      <c r="D1487" s="59"/>
      <c r="E1487" s="43" t="str">
        <f t="shared" si="93"/>
        <v>Еще фото</v>
      </c>
      <c r="F1487" s="14"/>
      <c r="G1487" s="24" t="s">
        <v>237</v>
      </c>
      <c r="H1487" s="24" t="s">
        <v>27</v>
      </c>
      <c r="I1487" s="24" t="s">
        <v>237</v>
      </c>
      <c r="J1487" s="15" t="s">
        <v>37</v>
      </c>
      <c r="K1487" s="16" t="s">
        <v>57</v>
      </c>
      <c r="L1487" s="62"/>
      <c r="M1487" s="15"/>
      <c r="N1487" s="15" t="s">
        <v>156</v>
      </c>
      <c r="O1487" s="15"/>
      <c r="P1487" s="16" t="s">
        <v>358</v>
      </c>
      <c r="Q1487" s="17">
        <v>16199</v>
      </c>
      <c r="R1487" s="18">
        <v>45</v>
      </c>
      <c r="S1487" s="19">
        <v>10245.8675</v>
      </c>
      <c r="T1487" s="20" t="s">
        <v>75</v>
      </c>
      <c r="U1487" s="21" t="s">
        <v>167</v>
      </c>
      <c r="V1487" s="22">
        <v>52</v>
      </c>
      <c r="W1487" s="22">
        <v>2</v>
      </c>
      <c r="X1487" s="23"/>
    </row>
    <row r="1488" spans="1:24" s="1" customFormat="1" ht="35" customHeight="1" x14ac:dyDescent="0.3">
      <c r="A1488" s="11" t="s">
        <v>23</v>
      </c>
      <c r="B1488" s="11" t="s">
        <v>1199</v>
      </c>
      <c r="C1488" s="12" t="s">
        <v>1200</v>
      </c>
      <c r="D1488" s="57"/>
      <c r="E1488" s="43" t="str">
        <f>HYPERLINK("https://www.google.ru/search?q=29507-1775&amp;newwindow=1&amp;tbm=isch","Еще фото")</f>
        <v>Еще фото</v>
      </c>
      <c r="F1488" s="14" t="s">
        <v>182</v>
      </c>
      <c r="G1488" s="11" t="s">
        <v>237</v>
      </c>
      <c r="H1488" s="11" t="s">
        <v>27</v>
      </c>
      <c r="I1488" s="15" t="s">
        <v>237</v>
      </c>
      <c r="J1488" s="15" t="s">
        <v>37</v>
      </c>
      <c r="K1488" s="16" t="s">
        <v>57</v>
      </c>
      <c r="L1488" s="60" t="s">
        <v>684</v>
      </c>
      <c r="M1488" s="15"/>
      <c r="N1488" s="15" t="s">
        <v>130</v>
      </c>
      <c r="O1488" s="15"/>
      <c r="P1488" s="16" t="s">
        <v>891</v>
      </c>
      <c r="Q1488" s="17">
        <v>13799</v>
      </c>
      <c r="R1488" s="18">
        <v>45</v>
      </c>
      <c r="S1488" s="19">
        <v>8727.8674999999985</v>
      </c>
      <c r="T1488" s="20" t="s">
        <v>75</v>
      </c>
      <c r="U1488" s="21" t="s">
        <v>165</v>
      </c>
      <c r="V1488" s="22">
        <v>48</v>
      </c>
      <c r="W1488" s="22">
        <v>1</v>
      </c>
      <c r="X1488" s="23"/>
    </row>
    <row r="1489" spans="1:24" s="1" customFormat="1" ht="35" customHeight="1" x14ac:dyDescent="0.3">
      <c r="A1489" s="24" t="s">
        <v>23</v>
      </c>
      <c r="B1489" s="24" t="s">
        <v>1199</v>
      </c>
      <c r="C1489" s="12" t="s">
        <v>1200</v>
      </c>
      <c r="D1489" s="58"/>
      <c r="E1489" s="43" t="str">
        <f>HYPERLINK("https://www.google.ru/search?q=29507-1775&amp;newwindow=1&amp;tbm=isch","Еще фото")</f>
        <v>Еще фото</v>
      </c>
      <c r="F1489" s="14" t="s">
        <v>182</v>
      </c>
      <c r="G1489" s="24" t="s">
        <v>237</v>
      </c>
      <c r="H1489" s="24" t="s">
        <v>27</v>
      </c>
      <c r="I1489" s="24" t="s">
        <v>237</v>
      </c>
      <c r="J1489" s="15" t="s">
        <v>37</v>
      </c>
      <c r="K1489" s="16" t="s">
        <v>57</v>
      </c>
      <c r="L1489" s="61"/>
      <c r="M1489" s="15"/>
      <c r="N1489" s="15" t="s">
        <v>130</v>
      </c>
      <c r="O1489" s="15"/>
      <c r="P1489" s="16" t="s">
        <v>891</v>
      </c>
      <c r="Q1489" s="17">
        <v>13799</v>
      </c>
      <c r="R1489" s="18">
        <v>45</v>
      </c>
      <c r="S1489" s="19">
        <v>8727.8674999999985</v>
      </c>
      <c r="T1489" s="20" t="s">
        <v>75</v>
      </c>
      <c r="U1489" s="21" t="s">
        <v>167</v>
      </c>
      <c r="V1489" s="22">
        <v>52</v>
      </c>
      <c r="W1489" s="22">
        <v>1</v>
      </c>
      <c r="X1489" s="23"/>
    </row>
    <row r="1490" spans="1:24" s="1" customFormat="1" ht="37.049999999999997" customHeight="1" x14ac:dyDescent="0.3">
      <c r="A1490" s="24" t="s">
        <v>23</v>
      </c>
      <c r="B1490" s="24" t="s">
        <v>1199</v>
      </c>
      <c r="C1490" s="12" t="s">
        <v>1200</v>
      </c>
      <c r="D1490" s="59"/>
      <c r="E1490" s="43" t="str">
        <f>HYPERLINK("https://www.google.ru/search?q=29507-1775&amp;newwindow=1&amp;tbm=isch","Еще фото")</f>
        <v>Еще фото</v>
      </c>
      <c r="F1490" s="14" t="s">
        <v>182</v>
      </c>
      <c r="G1490" s="24" t="s">
        <v>237</v>
      </c>
      <c r="H1490" s="24" t="s">
        <v>27</v>
      </c>
      <c r="I1490" s="24" t="s">
        <v>237</v>
      </c>
      <c r="J1490" s="15" t="s">
        <v>37</v>
      </c>
      <c r="K1490" s="16" t="s">
        <v>57</v>
      </c>
      <c r="L1490" s="62"/>
      <c r="M1490" s="15"/>
      <c r="N1490" s="15" t="s">
        <v>130</v>
      </c>
      <c r="O1490" s="15"/>
      <c r="P1490" s="16" t="s">
        <v>891</v>
      </c>
      <c r="Q1490" s="17">
        <v>13799</v>
      </c>
      <c r="R1490" s="18">
        <v>45</v>
      </c>
      <c r="S1490" s="19">
        <v>8727.8674999999985</v>
      </c>
      <c r="T1490" s="20" t="s">
        <v>75</v>
      </c>
      <c r="U1490" s="21" t="s">
        <v>196</v>
      </c>
      <c r="V1490" s="22">
        <v>54</v>
      </c>
      <c r="W1490" s="22">
        <v>1</v>
      </c>
      <c r="X1490" s="23"/>
    </row>
    <row r="1491" spans="1:24" s="1" customFormat="1" ht="26" customHeight="1" x14ac:dyDescent="0.3">
      <c r="A1491" s="11" t="s">
        <v>23</v>
      </c>
      <c r="B1491" s="11" t="s">
        <v>1195</v>
      </c>
      <c r="C1491" s="12" t="s">
        <v>1201</v>
      </c>
      <c r="D1491" s="57"/>
      <c r="E1491" s="43" t="str">
        <f>HYPERLINK("https://www.google.ru/search?q=29507-1777&amp;newwindow=1&amp;tbm=isch","Еще фото")</f>
        <v>Еще фото</v>
      </c>
      <c r="F1491" s="14" t="s">
        <v>182</v>
      </c>
      <c r="G1491" s="11" t="s">
        <v>237</v>
      </c>
      <c r="H1491" s="11" t="s">
        <v>27</v>
      </c>
      <c r="I1491" s="15" t="s">
        <v>237</v>
      </c>
      <c r="J1491" s="15" t="s">
        <v>37</v>
      </c>
      <c r="K1491" s="16" t="s">
        <v>57</v>
      </c>
      <c r="L1491" s="60" t="s">
        <v>596</v>
      </c>
      <c r="M1491" s="15"/>
      <c r="N1491" s="15" t="s">
        <v>130</v>
      </c>
      <c r="O1491" s="15"/>
      <c r="P1491" s="16" t="s">
        <v>254</v>
      </c>
      <c r="Q1491" s="17">
        <v>9499</v>
      </c>
      <c r="R1491" s="18">
        <v>45</v>
      </c>
      <c r="S1491" s="19">
        <v>6008.1174999999994</v>
      </c>
      <c r="T1491" s="20" t="s">
        <v>75</v>
      </c>
      <c r="U1491" s="21" t="s">
        <v>53</v>
      </c>
      <c r="V1491" s="22">
        <v>46</v>
      </c>
      <c r="W1491" s="22">
        <v>3</v>
      </c>
      <c r="X1491" s="23"/>
    </row>
    <row r="1492" spans="1:24" s="1" customFormat="1" ht="26" customHeight="1" x14ac:dyDescent="0.3">
      <c r="A1492" s="24" t="s">
        <v>23</v>
      </c>
      <c r="B1492" s="24" t="s">
        <v>1195</v>
      </c>
      <c r="C1492" s="12" t="s">
        <v>1201</v>
      </c>
      <c r="D1492" s="58"/>
      <c r="E1492" s="43" t="str">
        <f>HYPERLINK("https://www.google.ru/search?q=29507-1777&amp;newwindow=1&amp;tbm=isch","Еще фото")</f>
        <v>Еще фото</v>
      </c>
      <c r="F1492" s="14" t="s">
        <v>182</v>
      </c>
      <c r="G1492" s="24" t="s">
        <v>237</v>
      </c>
      <c r="H1492" s="24" t="s">
        <v>27</v>
      </c>
      <c r="I1492" s="24" t="s">
        <v>237</v>
      </c>
      <c r="J1492" s="15" t="s">
        <v>37</v>
      </c>
      <c r="K1492" s="16" t="s">
        <v>57</v>
      </c>
      <c r="L1492" s="61"/>
      <c r="M1492" s="15"/>
      <c r="N1492" s="15" t="s">
        <v>130</v>
      </c>
      <c r="O1492" s="15"/>
      <c r="P1492" s="16" t="s">
        <v>254</v>
      </c>
      <c r="Q1492" s="17">
        <v>9499</v>
      </c>
      <c r="R1492" s="18">
        <v>45</v>
      </c>
      <c r="S1492" s="19">
        <v>6008.1174999999994</v>
      </c>
      <c r="T1492" s="20" t="s">
        <v>75</v>
      </c>
      <c r="U1492" s="21" t="s">
        <v>165</v>
      </c>
      <c r="V1492" s="22">
        <v>48</v>
      </c>
      <c r="W1492" s="22">
        <v>2</v>
      </c>
      <c r="X1492" s="23"/>
    </row>
    <row r="1493" spans="1:24" s="1" customFormat="1" ht="26" customHeight="1" x14ac:dyDescent="0.3">
      <c r="A1493" s="24" t="s">
        <v>23</v>
      </c>
      <c r="B1493" s="24" t="s">
        <v>1195</v>
      </c>
      <c r="C1493" s="12" t="s">
        <v>1201</v>
      </c>
      <c r="D1493" s="58"/>
      <c r="E1493" s="43" t="str">
        <f>HYPERLINK("https://www.google.ru/search?q=29507-1777&amp;newwindow=1&amp;tbm=isch","Еще фото")</f>
        <v>Еще фото</v>
      </c>
      <c r="F1493" s="14" t="s">
        <v>182</v>
      </c>
      <c r="G1493" s="24" t="s">
        <v>237</v>
      </c>
      <c r="H1493" s="24" t="s">
        <v>27</v>
      </c>
      <c r="I1493" s="24" t="s">
        <v>237</v>
      </c>
      <c r="J1493" s="15" t="s">
        <v>37</v>
      </c>
      <c r="K1493" s="16" t="s">
        <v>57</v>
      </c>
      <c r="L1493" s="61"/>
      <c r="M1493" s="15"/>
      <c r="N1493" s="15" t="s">
        <v>130</v>
      </c>
      <c r="O1493" s="15"/>
      <c r="P1493" s="16" t="s">
        <v>254</v>
      </c>
      <c r="Q1493" s="17">
        <v>9499</v>
      </c>
      <c r="R1493" s="18">
        <v>45</v>
      </c>
      <c r="S1493" s="19">
        <v>6008.1174999999994</v>
      </c>
      <c r="T1493" s="20" t="s">
        <v>75</v>
      </c>
      <c r="U1493" s="21" t="s">
        <v>167</v>
      </c>
      <c r="V1493" s="22">
        <v>52</v>
      </c>
      <c r="W1493" s="22">
        <v>1</v>
      </c>
      <c r="X1493" s="23"/>
    </row>
    <row r="1494" spans="1:24" s="1" customFormat="1" ht="26" customHeight="1" x14ac:dyDescent="0.3">
      <c r="A1494" s="24" t="s">
        <v>23</v>
      </c>
      <c r="B1494" s="24" t="s">
        <v>1195</v>
      </c>
      <c r="C1494" s="12" t="s">
        <v>1201</v>
      </c>
      <c r="D1494" s="59"/>
      <c r="E1494" s="43" t="str">
        <f>HYPERLINK("https://www.google.ru/search?q=29507-1777&amp;newwindow=1&amp;tbm=isch","Еще фото")</f>
        <v>Еще фото</v>
      </c>
      <c r="F1494" s="14" t="s">
        <v>182</v>
      </c>
      <c r="G1494" s="24" t="s">
        <v>237</v>
      </c>
      <c r="H1494" s="24" t="s">
        <v>27</v>
      </c>
      <c r="I1494" s="24" t="s">
        <v>237</v>
      </c>
      <c r="J1494" s="15" t="s">
        <v>37</v>
      </c>
      <c r="K1494" s="16" t="s">
        <v>57</v>
      </c>
      <c r="L1494" s="62"/>
      <c r="M1494" s="15"/>
      <c r="N1494" s="15" t="s">
        <v>130</v>
      </c>
      <c r="O1494" s="15"/>
      <c r="P1494" s="16" t="s">
        <v>254</v>
      </c>
      <c r="Q1494" s="17">
        <v>9499</v>
      </c>
      <c r="R1494" s="18">
        <v>45</v>
      </c>
      <c r="S1494" s="19">
        <v>6008.1174999999994</v>
      </c>
      <c r="T1494" s="20" t="s">
        <v>75</v>
      </c>
      <c r="U1494" s="21" t="s">
        <v>169</v>
      </c>
      <c r="V1494" s="22">
        <v>54</v>
      </c>
      <c r="W1494" s="22">
        <v>1</v>
      </c>
      <c r="X1494" s="23"/>
    </row>
    <row r="1495" spans="1:24" s="1" customFormat="1" ht="52.05" customHeight="1" x14ac:dyDescent="0.3">
      <c r="A1495" s="11" t="s">
        <v>23</v>
      </c>
      <c r="B1495" s="11" t="s">
        <v>1181</v>
      </c>
      <c r="C1495" s="12" t="s">
        <v>1202</v>
      </c>
      <c r="D1495" s="63"/>
      <c r="E1495" s="43" t="str">
        <f>HYPERLINK("https://www.google.ru/search?q=29507-1778&amp;newwindow=1&amp;tbm=isch","Еще фото")</f>
        <v>Еще фото</v>
      </c>
      <c r="F1495" s="14"/>
      <c r="G1495" s="11" t="s">
        <v>237</v>
      </c>
      <c r="H1495" s="11" t="s">
        <v>27</v>
      </c>
      <c r="I1495" s="15" t="s">
        <v>237</v>
      </c>
      <c r="J1495" s="15" t="s">
        <v>37</v>
      </c>
      <c r="K1495" s="16" t="s">
        <v>57</v>
      </c>
      <c r="L1495" s="60" t="s">
        <v>596</v>
      </c>
      <c r="M1495" s="15"/>
      <c r="N1495" s="15" t="s">
        <v>138</v>
      </c>
      <c r="O1495" s="15"/>
      <c r="P1495" s="16" t="s">
        <v>254</v>
      </c>
      <c r="Q1495" s="17">
        <v>9499</v>
      </c>
      <c r="R1495" s="18">
        <v>45</v>
      </c>
      <c r="S1495" s="19">
        <v>6008.1174999999994</v>
      </c>
      <c r="T1495" s="20" t="s">
        <v>75</v>
      </c>
      <c r="U1495" s="21" t="s">
        <v>109</v>
      </c>
      <c r="V1495" s="25" t="s">
        <v>65</v>
      </c>
      <c r="W1495" s="22">
        <v>1</v>
      </c>
      <c r="X1495" s="23"/>
    </row>
    <row r="1496" spans="1:24" s="1" customFormat="1" ht="61.05" customHeight="1" x14ac:dyDescent="0.3">
      <c r="A1496" s="24" t="s">
        <v>23</v>
      </c>
      <c r="B1496" s="24" t="s">
        <v>1181</v>
      </c>
      <c r="C1496" s="12" t="s">
        <v>1202</v>
      </c>
      <c r="D1496" s="64"/>
      <c r="E1496" s="43" t="str">
        <f>HYPERLINK("https://www.google.ru/search?q=29507-1778&amp;newwindow=1&amp;tbm=isch","Еще фото")</f>
        <v>Еще фото</v>
      </c>
      <c r="F1496" s="14"/>
      <c r="G1496" s="24" t="s">
        <v>237</v>
      </c>
      <c r="H1496" s="24" t="s">
        <v>27</v>
      </c>
      <c r="I1496" s="24" t="s">
        <v>237</v>
      </c>
      <c r="J1496" s="15" t="s">
        <v>37</v>
      </c>
      <c r="K1496" s="16" t="s">
        <v>57</v>
      </c>
      <c r="L1496" s="62"/>
      <c r="M1496" s="15"/>
      <c r="N1496" s="15" t="s">
        <v>138</v>
      </c>
      <c r="O1496" s="15"/>
      <c r="P1496" s="16" t="s">
        <v>254</v>
      </c>
      <c r="Q1496" s="17">
        <v>9499</v>
      </c>
      <c r="R1496" s="18">
        <v>45</v>
      </c>
      <c r="S1496" s="19">
        <v>6008.1174999999994</v>
      </c>
      <c r="T1496" s="20" t="s">
        <v>75</v>
      </c>
      <c r="U1496" s="21" t="s">
        <v>165</v>
      </c>
      <c r="V1496" s="22">
        <v>48</v>
      </c>
      <c r="W1496" s="22">
        <v>1</v>
      </c>
      <c r="X1496" s="23"/>
    </row>
    <row r="1497" spans="1:24" s="1" customFormat="1" ht="108" customHeight="1" x14ac:dyDescent="0.3">
      <c r="A1497" s="11" t="s">
        <v>23</v>
      </c>
      <c r="B1497" s="11" t="s">
        <v>197</v>
      </c>
      <c r="C1497" s="12" t="s">
        <v>1203</v>
      </c>
      <c r="D1497" s="13"/>
      <c r="E1497" s="43" t="str">
        <f>HYPERLINK("https://www.google.ru/search?q=29507-1800&amp;newwindow=1&amp;tbm=isch","Еще фото")</f>
        <v>Еще фото</v>
      </c>
      <c r="F1497" s="14" t="s">
        <v>182</v>
      </c>
      <c r="G1497" s="11" t="s">
        <v>237</v>
      </c>
      <c r="H1497" s="11" t="s">
        <v>27</v>
      </c>
      <c r="I1497" s="15" t="s">
        <v>237</v>
      </c>
      <c r="J1497" s="15" t="s">
        <v>37</v>
      </c>
      <c r="K1497" s="16" t="s">
        <v>57</v>
      </c>
      <c r="L1497" s="15" t="s">
        <v>684</v>
      </c>
      <c r="M1497" s="15"/>
      <c r="N1497" s="15" t="s">
        <v>39</v>
      </c>
      <c r="O1497" s="15"/>
      <c r="P1497" s="16" t="s">
        <v>254</v>
      </c>
      <c r="Q1497" s="17">
        <v>16799</v>
      </c>
      <c r="R1497" s="18">
        <v>45</v>
      </c>
      <c r="S1497" s="19">
        <v>10625.3675</v>
      </c>
      <c r="T1497" s="20" t="s">
        <v>75</v>
      </c>
      <c r="U1497" s="21" t="s">
        <v>168</v>
      </c>
      <c r="V1497" s="22">
        <v>52</v>
      </c>
      <c r="W1497" s="22">
        <v>1</v>
      </c>
      <c r="X1497" s="23"/>
    </row>
    <row r="1498" spans="1:24" s="1" customFormat="1" ht="17" customHeight="1" x14ac:dyDescent="0.3">
      <c r="A1498" s="11" t="s">
        <v>23</v>
      </c>
      <c r="B1498" s="11" t="s">
        <v>197</v>
      </c>
      <c r="C1498" s="12" t="s">
        <v>1204</v>
      </c>
      <c r="D1498" s="57"/>
      <c r="E1498" s="43" t="str">
        <f t="shared" ref="E1498:E1503" si="94">HYPERLINK("https://www.google.ru/search?q=29507-1801&amp;newwindow=1&amp;tbm=isch","Еще фото")</f>
        <v>Еще фото</v>
      </c>
      <c r="F1498" s="14"/>
      <c r="G1498" s="11" t="s">
        <v>237</v>
      </c>
      <c r="H1498" s="11" t="s">
        <v>27</v>
      </c>
      <c r="I1498" s="15" t="s">
        <v>237</v>
      </c>
      <c r="J1498" s="15" t="s">
        <v>37</v>
      </c>
      <c r="K1498" s="16" t="s">
        <v>57</v>
      </c>
      <c r="L1498" s="60" t="s">
        <v>684</v>
      </c>
      <c r="M1498" s="15"/>
      <c r="N1498" s="15" t="s">
        <v>39</v>
      </c>
      <c r="O1498" s="15"/>
      <c r="P1498" s="16" t="s">
        <v>254</v>
      </c>
      <c r="Q1498" s="17">
        <v>17699</v>
      </c>
      <c r="R1498" s="18">
        <v>45</v>
      </c>
      <c r="S1498" s="19">
        <v>11194.6175</v>
      </c>
      <c r="T1498" s="20" t="s">
        <v>75</v>
      </c>
      <c r="U1498" s="21" t="s">
        <v>173</v>
      </c>
      <c r="V1498" s="25" t="s">
        <v>63</v>
      </c>
      <c r="W1498" s="22">
        <v>1</v>
      </c>
      <c r="X1498" s="23"/>
    </row>
    <row r="1499" spans="1:24" s="1" customFormat="1" ht="17" customHeight="1" x14ac:dyDescent="0.3">
      <c r="A1499" s="24" t="s">
        <v>23</v>
      </c>
      <c r="B1499" s="24" t="s">
        <v>197</v>
      </c>
      <c r="C1499" s="12" t="s">
        <v>1204</v>
      </c>
      <c r="D1499" s="58"/>
      <c r="E1499" s="43" t="str">
        <f t="shared" si="94"/>
        <v>Еще фото</v>
      </c>
      <c r="F1499" s="14"/>
      <c r="G1499" s="24" t="s">
        <v>237</v>
      </c>
      <c r="H1499" s="24" t="s">
        <v>27</v>
      </c>
      <c r="I1499" s="24" t="s">
        <v>237</v>
      </c>
      <c r="J1499" s="15" t="s">
        <v>37</v>
      </c>
      <c r="K1499" s="16" t="s">
        <v>57</v>
      </c>
      <c r="L1499" s="61"/>
      <c r="M1499" s="15"/>
      <c r="N1499" s="15" t="s">
        <v>39</v>
      </c>
      <c r="O1499" s="15"/>
      <c r="P1499" s="16" t="s">
        <v>254</v>
      </c>
      <c r="Q1499" s="17">
        <v>17699</v>
      </c>
      <c r="R1499" s="18">
        <v>45</v>
      </c>
      <c r="S1499" s="19">
        <v>11194.6175</v>
      </c>
      <c r="T1499" s="20" t="s">
        <v>75</v>
      </c>
      <c r="U1499" s="21" t="s">
        <v>53</v>
      </c>
      <c r="V1499" s="22">
        <v>46</v>
      </c>
      <c r="W1499" s="22">
        <v>5</v>
      </c>
      <c r="X1499" s="23"/>
    </row>
    <row r="1500" spans="1:24" s="1" customFormat="1" ht="17" customHeight="1" x14ac:dyDescent="0.3">
      <c r="A1500" s="24" t="s">
        <v>23</v>
      </c>
      <c r="B1500" s="24" t="s">
        <v>197</v>
      </c>
      <c r="C1500" s="12" t="s">
        <v>1204</v>
      </c>
      <c r="D1500" s="58"/>
      <c r="E1500" s="43" t="str">
        <f t="shared" si="94"/>
        <v>Еще фото</v>
      </c>
      <c r="F1500" s="14"/>
      <c r="G1500" s="24" t="s">
        <v>237</v>
      </c>
      <c r="H1500" s="24" t="s">
        <v>27</v>
      </c>
      <c r="I1500" s="24" t="s">
        <v>237</v>
      </c>
      <c r="J1500" s="15" t="s">
        <v>37</v>
      </c>
      <c r="K1500" s="16" t="s">
        <v>57</v>
      </c>
      <c r="L1500" s="61"/>
      <c r="M1500" s="15"/>
      <c r="N1500" s="15" t="s">
        <v>39</v>
      </c>
      <c r="O1500" s="15"/>
      <c r="P1500" s="16" t="s">
        <v>254</v>
      </c>
      <c r="Q1500" s="17">
        <v>17699</v>
      </c>
      <c r="R1500" s="18">
        <v>45</v>
      </c>
      <c r="S1500" s="19">
        <v>11194.6175</v>
      </c>
      <c r="T1500" s="20" t="s">
        <v>75</v>
      </c>
      <c r="U1500" s="21" t="s">
        <v>165</v>
      </c>
      <c r="V1500" s="22">
        <v>48</v>
      </c>
      <c r="W1500" s="22">
        <v>1</v>
      </c>
      <c r="X1500" s="23"/>
    </row>
    <row r="1501" spans="1:24" s="1" customFormat="1" ht="17" customHeight="1" x14ac:dyDescent="0.3">
      <c r="A1501" s="24" t="s">
        <v>23</v>
      </c>
      <c r="B1501" s="24" t="s">
        <v>197</v>
      </c>
      <c r="C1501" s="12" t="s">
        <v>1204</v>
      </c>
      <c r="D1501" s="58"/>
      <c r="E1501" s="43" t="str">
        <f t="shared" si="94"/>
        <v>Еще фото</v>
      </c>
      <c r="F1501" s="14"/>
      <c r="G1501" s="24" t="s">
        <v>237</v>
      </c>
      <c r="H1501" s="24" t="s">
        <v>27</v>
      </c>
      <c r="I1501" s="24" t="s">
        <v>237</v>
      </c>
      <c r="J1501" s="15" t="s">
        <v>37</v>
      </c>
      <c r="K1501" s="16" t="s">
        <v>57</v>
      </c>
      <c r="L1501" s="61"/>
      <c r="M1501" s="15"/>
      <c r="N1501" s="15" t="s">
        <v>39</v>
      </c>
      <c r="O1501" s="15"/>
      <c r="P1501" s="16" t="s">
        <v>254</v>
      </c>
      <c r="Q1501" s="17">
        <v>17699</v>
      </c>
      <c r="R1501" s="18">
        <v>45</v>
      </c>
      <c r="S1501" s="19">
        <v>11194.6175</v>
      </c>
      <c r="T1501" s="20" t="s">
        <v>75</v>
      </c>
      <c r="U1501" s="21" t="s">
        <v>166</v>
      </c>
      <c r="V1501" s="25" t="s">
        <v>96</v>
      </c>
      <c r="W1501" s="22">
        <v>1</v>
      </c>
      <c r="X1501" s="23"/>
    </row>
    <row r="1502" spans="1:24" s="1" customFormat="1" ht="17" customHeight="1" x14ac:dyDescent="0.3">
      <c r="A1502" s="24" t="s">
        <v>23</v>
      </c>
      <c r="B1502" s="24" t="s">
        <v>197</v>
      </c>
      <c r="C1502" s="12" t="s">
        <v>1204</v>
      </c>
      <c r="D1502" s="58"/>
      <c r="E1502" s="43" t="str">
        <f t="shared" si="94"/>
        <v>Еще фото</v>
      </c>
      <c r="F1502" s="14"/>
      <c r="G1502" s="24" t="s">
        <v>237</v>
      </c>
      <c r="H1502" s="24" t="s">
        <v>27</v>
      </c>
      <c r="I1502" s="24" t="s">
        <v>237</v>
      </c>
      <c r="J1502" s="15" t="s">
        <v>37</v>
      </c>
      <c r="K1502" s="16" t="s">
        <v>57</v>
      </c>
      <c r="L1502" s="61"/>
      <c r="M1502" s="15"/>
      <c r="N1502" s="15" t="s">
        <v>39</v>
      </c>
      <c r="O1502" s="15"/>
      <c r="P1502" s="16" t="s">
        <v>254</v>
      </c>
      <c r="Q1502" s="17">
        <v>17699</v>
      </c>
      <c r="R1502" s="18">
        <v>45</v>
      </c>
      <c r="S1502" s="19">
        <v>11194.6175</v>
      </c>
      <c r="T1502" s="20" t="s">
        <v>75</v>
      </c>
      <c r="U1502" s="21" t="s">
        <v>167</v>
      </c>
      <c r="V1502" s="22">
        <v>52</v>
      </c>
      <c r="W1502" s="22">
        <v>1</v>
      </c>
      <c r="X1502" s="23"/>
    </row>
    <row r="1503" spans="1:24" s="1" customFormat="1" ht="22.05" customHeight="1" x14ac:dyDescent="0.3">
      <c r="A1503" s="24" t="s">
        <v>23</v>
      </c>
      <c r="B1503" s="24" t="s">
        <v>197</v>
      </c>
      <c r="C1503" s="12" t="s">
        <v>1204</v>
      </c>
      <c r="D1503" s="59"/>
      <c r="E1503" s="43" t="str">
        <f t="shared" si="94"/>
        <v>Еще фото</v>
      </c>
      <c r="F1503" s="14"/>
      <c r="G1503" s="24" t="s">
        <v>237</v>
      </c>
      <c r="H1503" s="24" t="s">
        <v>27</v>
      </c>
      <c r="I1503" s="24" t="s">
        <v>237</v>
      </c>
      <c r="J1503" s="15" t="s">
        <v>37</v>
      </c>
      <c r="K1503" s="16" t="s">
        <v>57</v>
      </c>
      <c r="L1503" s="62"/>
      <c r="M1503" s="15"/>
      <c r="N1503" s="15" t="s">
        <v>39</v>
      </c>
      <c r="O1503" s="15"/>
      <c r="P1503" s="16" t="s">
        <v>254</v>
      </c>
      <c r="Q1503" s="17">
        <v>17699</v>
      </c>
      <c r="R1503" s="18">
        <v>45</v>
      </c>
      <c r="S1503" s="19">
        <v>11194.6175</v>
      </c>
      <c r="T1503" s="20" t="s">
        <v>75</v>
      </c>
      <c r="U1503" s="21" t="s">
        <v>168</v>
      </c>
      <c r="V1503" s="22">
        <v>52</v>
      </c>
      <c r="W1503" s="22">
        <v>1</v>
      </c>
      <c r="X1503" s="23"/>
    </row>
    <row r="1504" spans="1:24" s="1" customFormat="1" ht="11" customHeight="1" x14ac:dyDescent="0.3">
      <c r="A1504" s="11" t="s">
        <v>23</v>
      </c>
      <c r="B1504" s="11" t="s">
        <v>1199</v>
      </c>
      <c r="C1504" s="12" t="s">
        <v>1205</v>
      </c>
      <c r="D1504" s="57"/>
      <c r="E1504" s="43" t="str">
        <f t="shared" ref="E1504:E1519" si="95">HYPERLINK("https://www.google.ru/search?q=29507-1819&amp;newwindow=1&amp;tbm=isch","Еще фото")</f>
        <v>Еще фото</v>
      </c>
      <c r="F1504" s="14" t="s">
        <v>182</v>
      </c>
      <c r="G1504" s="11" t="s">
        <v>237</v>
      </c>
      <c r="H1504" s="11" t="s">
        <v>27</v>
      </c>
      <c r="I1504" s="15" t="s">
        <v>237</v>
      </c>
      <c r="J1504" s="15" t="s">
        <v>37</v>
      </c>
      <c r="K1504" s="16" t="s">
        <v>57</v>
      </c>
      <c r="L1504" s="60" t="s">
        <v>684</v>
      </c>
      <c r="M1504" s="15"/>
      <c r="N1504" s="15" t="s">
        <v>130</v>
      </c>
      <c r="O1504" s="15"/>
      <c r="P1504" s="16" t="s">
        <v>802</v>
      </c>
      <c r="Q1504" s="17">
        <v>8999</v>
      </c>
      <c r="R1504" s="18">
        <v>45</v>
      </c>
      <c r="S1504" s="19">
        <v>5691.8674999999994</v>
      </c>
      <c r="T1504" s="20" t="s">
        <v>75</v>
      </c>
      <c r="U1504" s="21" t="s">
        <v>173</v>
      </c>
      <c r="V1504" s="25" t="s">
        <v>63</v>
      </c>
      <c r="W1504" s="22">
        <v>2</v>
      </c>
      <c r="X1504" s="23"/>
    </row>
    <row r="1505" spans="1:24" s="1" customFormat="1" ht="11" customHeight="1" x14ac:dyDescent="0.3">
      <c r="A1505" s="24" t="s">
        <v>23</v>
      </c>
      <c r="B1505" s="24" t="s">
        <v>1199</v>
      </c>
      <c r="C1505" s="12" t="s">
        <v>1205</v>
      </c>
      <c r="D1505" s="58"/>
      <c r="E1505" s="43" t="str">
        <f t="shared" si="95"/>
        <v>Еще фото</v>
      </c>
      <c r="F1505" s="14" t="s">
        <v>182</v>
      </c>
      <c r="G1505" s="24" t="s">
        <v>237</v>
      </c>
      <c r="H1505" s="24" t="s">
        <v>27</v>
      </c>
      <c r="I1505" s="24" t="s">
        <v>237</v>
      </c>
      <c r="J1505" s="15" t="s">
        <v>37</v>
      </c>
      <c r="K1505" s="16" t="s">
        <v>57</v>
      </c>
      <c r="L1505" s="61"/>
      <c r="M1505" s="15"/>
      <c r="N1505" s="15" t="s">
        <v>130</v>
      </c>
      <c r="O1505" s="15"/>
      <c r="P1505" s="16" t="s">
        <v>802</v>
      </c>
      <c r="Q1505" s="17">
        <v>8999</v>
      </c>
      <c r="R1505" s="18">
        <v>45</v>
      </c>
      <c r="S1505" s="19">
        <v>5691.8674999999994</v>
      </c>
      <c r="T1505" s="20" t="s">
        <v>75</v>
      </c>
      <c r="U1505" s="21" t="s">
        <v>52</v>
      </c>
      <c r="V1505" s="22">
        <v>46</v>
      </c>
      <c r="W1505" s="22">
        <v>1</v>
      </c>
      <c r="X1505" s="23"/>
    </row>
    <row r="1506" spans="1:24" s="1" customFormat="1" ht="11" customHeight="1" x14ac:dyDescent="0.3">
      <c r="A1506" s="24" t="s">
        <v>23</v>
      </c>
      <c r="B1506" s="24" t="s">
        <v>1199</v>
      </c>
      <c r="C1506" s="12" t="s">
        <v>1205</v>
      </c>
      <c r="D1506" s="58"/>
      <c r="E1506" s="43" t="str">
        <f t="shared" si="95"/>
        <v>Еще фото</v>
      </c>
      <c r="F1506" s="14" t="s">
        <v>182</v>
      </c>
      <c r="G1506" s="24" t="s">
        <v>237</v>
      </c>
      <c r="H1506" s="24" t="s">
        <v>27</v>
      </c>
      <c r="I1506" s="24" t="s">
        <v>237</v>
      </c>
      <c r="J1506" s="15" t="s">
        <v>37</v>
      </c>
      <c r="K1506" s="16" t="s">
        <v>57</v>
      </c>
      <c r="L1506" s="61"/>
      <c r="M1506" s="15"/>
      <c r="N1506" s="15" t="s">
        <v>130</v>
      </c>
      <c r="O1506" s="15"/>
      <c r="P1506" s="16" t="s">
        <v>802</v>
      </c>
      <c r="Q1506" s="17">
        <v>8999</v>
      </c>
      <c r="R1506" s="18">
        <v>45</v>
      </c>
      <c r="S1506" s="19">
        <v>5691.8674999999994</v>
      </c>
      <c r="T1506" s="20" t="s">
        <v>75</v>
      </c>
      <c r="U1506" s="21" t="s">
        <v>53</v>
      </c>
      <c r="V1506" s="22">
        <v>46</v>
      </c>
      <c r="W1506" s="22">
        <v>2</v>
      </c>
      <c r="X1506" s="23"/>
    </row>
    <row r="1507" spans="1:24" s="1" customFormat="1" ht="11" customHeight="1" x14ac:dyDescent="0.3">
      <c r="A1507" s="24" t="s">
        <v>23</v>
      </c>
      <c r="B1507" s="24" t="s">
        <v>1199</v>
      </c>
      <c r="C1507" s="12" t="s">
        <v>1205</v>
      </c>
      <c r="D1507" s="58"/>
      <c r="E1507" s="43" t="str">
        <f t="shared" si="95"/>
        <v>Еще фото</v>
      </c>
      <c r="F1507" s="14" t="s">
        <v>182</v>
      </c>
      <c r="G1507" s="24" t="s">
        <v>237</v>
      </c>
      <c r="H1507" s="24" t="s">
        <v>27</v>
      </c>
      <c r="I1507" s="24" t="s">
        <v>237</v>
      </c>
      <c r="J1507" s="15" t="s">
        <v>37</v>
      </c>
      <c r="K1507" s="16" t="s">
        <v>57</v>
      </c>
      <c r="L1507" s="61"/>
      <c r="M1507" s="15"/>
      <c r="N1507" s="15" t="s">
        <v>130</v>
      </c>
      <c r="O1507" s="15"/>
      <c r="P1507" s="16" t="s">
        <v>802</v>
      </c>
      <c r="Q1507" s="17">
        <v>8999</v>
      </c>
      <c r="R1507" s="18">
        <v>45</v>
      </c>
      <c r="S1507" s="19">
        <v>5691.8674999999994</v>
      </c>
      <c r="T1507" s="20" t="s">
        <v>75</v>
      </c>
      <c r="U1507" s="21" t="s">
        <v>109</v>
      </c>
      <c r="V1507" s="25" t="s">
        <v>65</v>
      </c>
      <c r="W1507" s="22">
        <v>4</v>
      </c>
      <c r="X1507" s="23"/>
    </row>
    <row r="1508" spans="1:24" s="1" customFormat="1" ht="11" customHeight="1" x14ac:dyDescent="0.3">
      <c r="A1508" s="24" t="s">
        <v>23</v>
      </c>
      <c r="B1508" s="24" t="s">
        <v>1199</v>
      </c>
      <c r="C1508" s="12" t="s">
        <v>1205</v>
      </c>
      <c r="D1508" s="58"/>
      <c r="E1508" s="43" t="str">
        <f t="shared" si="95"/>
        <v>Еще фото</v>
      </c>
      <c r="F1508" s="14" t="s">
        <v>182</v>
      </c>
      <c r="G1508" s="24" t="s">
        <v>237</v>
      </c>
      <c r="H1508" s="24" t="s">
        <v>27</v>
      </c>
      <c r="I1508" s="24" t="s">
        <v>237</v>
      </c>
      <c r="J1508" s="15" t="s">
        <v>37</v>
      </c>
      <c r="K1508" s="16" t="s">
        <v>57</v>
      </c>
      <c r="L1508" s="61"/>
      <c r="M1508" s="15"/>
      <c r="N1508" s="15" t="s">
        <v>130</v>
      </c>
      <c r="O1508" s="15"/>
      <c r="P1508" s="16" t="s">
        <v>802</v>
      </c>
      <c r="Q1508" s="17">
        <v>8999</v>
      </c>
      <c r="R1508" s="18">
        <v>45</v>
      </c>
      <c r="S1508" s="19">
        <v>5691.8674999999994</v>
      </c>
      <c r="T1508" s="20" t="s">
        <v>75</v>
      </c>
      <c r="U1508" s="21" t="s">
        <v>140</v>
      </c>
      <c r="V1508" s="25" t="s">
        <v>65</v>
      </c>
      <c r="W1508" s="22">
        <v>3</v>
      </c>
      <c r="X1508" s="23"/>
    </row>
    <row r="1509" spans="1:24" s="1" customFormat="1" ht="11" customHeight="1" x14ac:dyDescent="0.3">
      <c r="A1509" s="24" t="s">
        <v>23</v>
      </c>
      <c r="B1509" s="24" t="s">
        <v>1199</v>
      </c>
      <c r="C1509" s="12" t="s">
        <v>1205</v>
      </c>
      <c r="D1509" s="58"/>
      <c r="E1509" s="43" t="str">
        <f t="shared" si="95"/>
        <v>Еще фото</v>
      </c>
      <c r="F1509" s="14" t="s">
        <v>182</v>
      </c>
      <c r="G1509" s="24" t="s">
        <v>237</v>
      </c>
      <c r="H1509" s="24" t="s">
        <v>27</v>
      </c>
      <c r="I1509" s="24" t="s">
        <v>237</v>
      </c>
      <c r="J1509" s="15" t="s">
        <v>37</v>
      </c>
      <c r="K1509" s="16" t="s">
        <v>57</v>
      </c>
      <c r="L1509" s="61"/>
      <c r="M1509" s="15"/>
      <c r="N1509" s="15" t="s">
        <v>130</v>
      </c>
      <c r="O1509" s="15"/>
      <c r="P1509" s="16" t="s">
        <v>802</v>
      </c>
      <c r="Q1509" s="17">
        <v>8999</v>
      </c>
      <c r="R1509" s="18">
        <v>45</v>
      </c>
      <c r="S1509" s="19">
        <v>5691.8674999999994</v>
      </c>
      <c r="T1509" s="20" t="s">
        <v>75</v>
      </c>
      <c r="U1509" s="21" t="s">
        <v>95</v>
      </c>
      <c r="V1509" s="22">
        <v>48</v>
      </c>
      <c r="W1509" s="22">
        <v>1</v>
      </c>
      <c r="X1509" s="23"/>
    </row>
    <row r="1510" spans="1:24" s="1" customFormat="1" ht="11" customHeight="1" x14ac:dyDescent="0.3">
      <c r="A1510" s="24" t="s">
        <v>23</v>
      </c>
      <c r="B1510" s="24" t="s">
        <v>1199</v>
      </c>
      <c r="C1510" s="12" t="s">
        <v>1205</v>
      </c>
      <c r="D1510" s="58"/>
      <c r="E1510" s="43" t="str">
        <f t="shared" si="95"/>
        <v>Еще фото</v>
      </c>
      <c r="F1510" s="14" t="s">
        <v>182</v>
      </c>
      <c r="G1510" s="24" t="s">
        <v>237</v>
      </c>
      <c r="H1510" s="24" t="s">
        <v>27</v>
      </c>
      <c r="I1510" s="24" t="s">
        <v>237</v>
      </c>
      <c r="J1510" s="15" t="s">
        <v>37</v>
      </c>
      <c r="K1510" s="16" t="s">
        <v>57</v>
      </c>
      <c r="L1510" s="61"/>
      <c r="M1510" s="15"/>
      <c r="N1510" s="15" t="s">
        <v>130</v>
      </c>
      <c r="O1510" s="15"/>
      <c r="P1510" s="16" t="s">
        <v>802</v>
      </c>
      <c r="Q1510" s="17">
        <v>8999</v>
      </c>
      <c r="R1510" s="18">
        <v>45</v>
      </c>
      <c r="S1510" s="19">
        <v>5691.8674999999994</v>
      </c>
      <c r="T1510" s="20" t="s">
        <v>75</v>
      </c>
      <c r="U1510" s="21" t="s">
        <v>165</v>
      </c>
      <c r="V1510" s="22">
        <v>48</v>
      </c>
      <c r="W1510" s="22">
        <v>6</v>
      </c>
      <c r="X1510" s="23"/>
    </row>
    <row r="1511" spans="1:24" s="1" customFormat="1" ht="11" customHeight="1" x14ac:dyDescent="0.3">
      <c r="A1511" s="24" t="s">
        <v>23</v>
      </c>
      <c r="B1511" s="24" t="s">
        <v>1199</v>
      </c>
      <c r="C1511" s="12" t="s">
        <v>1205</v>
      </c>
      <c r="D1511" s="58"/>
      <c r="E1511" s="43" t="str">
        <f t="shared" si="95"/>
        <v>Еще фото</v>
      </c>
      <c r="F1511" s="14" t="s">
        <v>182</v>
      </c>
      <c r="G1511" s="24" t="s">
        <v>237</v>
      </c>
      <c r="H1511" s="24" t="s">
        <v>27</v>
      </c>
      <c r="I1511" s="24" t="s">
        <v>237</v>
      </c>
      <c r="J1511" s="15" t="s">
        <v>37</v>
      </c>
      <c r="K1511" s="16" t="s">
        <v>57</v>
      </c>
      <c r="L1511" s="61"/>
      <c r="M1511" s="15"/>
      <c r="N1511" s="15" t="s">
        <v>130</v>
      </c>
      <c r="O1511" s="15"/>
      <c r="P1511" s="16" t="s">
        <v>802</v>
      </c>
      <c r="Q1511" s="17">
        <v>8999</v>
      </c>
      <c r="R1511" s="18">
        <v>45</v>
      </c>
      <c r="S1511" s="19">
        <v>5691.8674999999994</v>
      </c>
      <c r="T1511" s="20" t="s">
        <v>75</v>
      </c>
      <c r="U1511" s="21" t="s">
        <v>104</v>
      </c>
      <c r="V1511" s="22">
        <v>48</v>
      </c>
      <c r="W1511" s="22">
        <v>3</v>
      </c>
      <c r="X1511" s="23"/>
    </row>
    <row r="1512" spans="1:24" s="1" customFormat="1" ht="11" customHeight="1" x14ac:dyDescent="0.3">
      <c r="A1512" s="24" t="s">
        <v>23</v>
      </c>
      <c r="B1512" s="24" t="s">
        <v>1199</v>
      </c>
      <c r="C1512" s="12" t="s">
        <v>1205</v>
      </c>
      <c r="D1512" s="58"/>
      <c r="E1512" s="43" t="str">
        <f t="shared" si="95"/>
        <v>Еще фото</v>
      </c>
      <c r="F1512" s="14" t="s">
        <v>182</v>
      </c>
      <c r="G1512" s="24" t="s">
        <v>237</v>
      </c>
      <c r="H1512" s="24" t="s">
        <v>27</v>
      </c>
      <c r="I1512" s="24" t="s">
        <v>237</v>
      </c>
      <c r="J1512" s="15" t="s">
        <v>37</v>
      </c>
      <c r="K1512" s="16" t="s">
        <v>57</v>
      </c>
      <c r="L1512" s="61"/>
      <c r="M1512" s="15"/>
      <c r="N1512" s="15" t="s">
        <v>130</v>
      </c>
      <c r="O1512" s="15"/>
      <c r="P1512" s="16" t="s">
        <v>802</v>
      </c>
      <c r="Q1512" s="17">
        <v>8999</v>
      </c>
      <c r="R1512" s="18">
        <v>45</v>
      </c>
      <c r="S1512" s="19">
        <v>5691.8674999999994</v>
      </c>
      <c r="T1512" s="20" t="s">
        <v>75</v>
      </c>
      <c r="U1512" s="21" t="s">
        <v>166</v>
      </c>
      <c r="V1512" s="25" t="s">
        <v>96</v>
      </c>
      <c r="W1512" s="22">
        <v>8</v>
      </c>
      <c r="X1512" s="23"/>
    </row>
    <row r="1513" spans="1:24" s="1" customFormat="1" ht="11" customHeight="1" x14ac:dyDescent="0.3">
      <c r="A1513" s="15" t="s">
        <v>23</v>
      </c>
      <c r="B1513" s="15" t="s">
        <v>1199</v>
      </c>
      <c r="C1513" s="12" t="s">
        <v>1205</v>
      </c>
      <c r="D1513" s="58"/>
      <c r="E1513" s="43" t="str">
        <f t="shared" si="95"/>
        <v>Еще фото</v>
      </c>
      <c r="F1513" s="26" t="s">
        <v>182</v>
      </c>
      <c r="G1513" s="15" t="s">
        <v>237</v>
      </c>
      <c r="H1513" s="15" t="s">
        <v>27</v>
      </c>
      <c r="I1513" s="15" t="s">
        <v>237</v>
      </c>
      <c r="J1513" s="15" t="s">
        <v>37</v>
      </c>
      <c r="K1513" s="15" t="s">
        <v>57</v>
      </c>
      <c r="L1513" s="61"/>
      <c r="M1513" s="15"/>
      <c r="N1513" s="15" t="s">
        <v>130</v>
      </c>
      <c r="O1513" s="15"/>
      <c r="P1513" s="15" t="s">
        <v>802</v>
      </c>
      <c r="Q1513" s="27">
        <v>8999</v>
      </c>
      <c r="R1513" s="28">
        <v>45</v>
      </c>
      <c r="S1513" s="29">
        <v>5691.8674999999994</v>
      </c>
      <c r="T1513" s="20" t="s">
        <v>75</v>
      </c>
      <c r="U1513" s="21" t="s">
        <v>359</v>
      </c>
      <c r="V1513" s="25" t="s">
        <v>96</v>
      </c>
      <c r="W1513" s="22">
        <v>3</v>
      </c>
      <c r="X1513" s="23"/>
    </row>
    <row r="1514" spans="1:24" s="1" customFormat="1" ht="11" customHeight="1" x14ac:dyDescent="0.3">
      <c r="A1514" s="15" t="s">
        <v>23</v>
      </c>
      <c r="B1514" s="15" t="s">
        <v>1199</v>
      </c>
      <c r="C1514" s="12" t="s">
        <v>1205</v>
      </c>
      <c r="D1514" s="58"/>
      <c r="E1514" s="43" t="str">
        <f t="shared" si="95"/>
        <v>Еще фото</v>
      </c>
      <c r="F1514" s="26" t="s">
        <v>182</v>
      </c>
      <c r="G1514" s="15" t="s">
        <v>237</v>
      </c>
      <c r="H1514" s="15" t="s">
        <v>27</v>
      </c>
      <c r="I1514" s="15" t="s">
        <v>237</v>
      </c>
      <c r="J1514" s="15" t="s">
        <v>37</v>
      </c>
      <c r="K1514" s="15" t="s">
        <v>57</v>
      </c>
      <c r="L1514" s="61"/>
      <c r="M1514" s="15"/>
      <c r="N1514" s="15" t="s">
        <v>130</v>
      </c>
      <c r="O1514" s="15"/>
      <c r="P1514" s="15" t="s">
        <v>802</v>
      </c>
      <c r="Q1514" s="27">
        <v>8999</v>
      </c>
      <c r="R1514" s="28">
        <v>45</v>
      </c>
      <c r="S1514" s="29">
        <v>5691.8674999999994</v>
      </c>
      <c r="T1514" s="20" t="s">
        <v>75</v>
      </c>
      <c r="U1514" s="21" t="s">
        <v>89</v>
      </c>
      <c r="V1514" s="22">
        <v>50</v>
      </c>
      <c r="W1514" s="22">
        <v>8</v>
      </c>
      <c r="X1514" s="23"/>
    </row>
    <row r="1515" spans="1:24" s="1" customFormat="1" ht="11" customHeight="1" x14ac:dyDescent="0.3">
      <c r="A1515" s="15" t="s">
        <v>23</v>
      </c>
      <c r="B1515" s="15" t="s">
        <v>1199</v>
      </c>
      <c r="C1515" s="12" t="s">
        <v>1205</v>
      </c>
      <c r="D1515" s="58"/>
      <c r="E1515" s="43" t="str">
        <f t="shared" si="95"/>
        <v>Еще фото</v>
      </c>
      <c r="F1515" s="26" t="s">
        <v>182</v>
      </c>
      <c r="G1515" s="15" t="s">
        <v>237</v>
      </c>
      <c r="H1515" s="15" t="s">
        <v>27</v>
      </c>
      <c r="I1515" s="15" t="s">
        <v>237</v>
      </c>
      <c r="J1515" s="15" t="s">
        <v>37</v>
      </c>
      <c r="K1515" s="15" t="s">
        <v>57</v>
      </c>
      <c r="L1515" s="61"/>
      <c r="M1515" s="15"/>
      <c r="N1515" s="15" t="s">
        <v>130</v>
      </c>
      <c r="O1515" s="15"/>
      <c r="P1515" s="15" t="s">
        <v>802</v>
      </c>
      <c r="Q1515" s="27">
        <v>8999</v>
      </c>
      <c r="R1515" s="28">
        <v>45</v>
      </c>
      <c r="S1515" s="29">
        <v>5691.8674999999994</v>
      </c>
      <c r="T1515" s="20" t="s">
        <v>75</v>
      </c>
      <c r="U1515" s="21" t="s">
        <v>100</v>
      </c>
      <c r="V1515" s="22">
        <v>50</v>
      </c>
      <c r="W1515" s="22">
        <v>4</v>
      </c>
      <c r="X1515" s="23"/>
    </row>
    <row r="1516" spans="1:24" s="1" customFormat="1" ht="11" customHeight="1" x14ac:dyDescent="0.3">
      <c r="A1516" s="15" t="s">
        <v>23</v>
      </c>
      <c r="B1516" s="15" t="s">
        <v>1199</v>
      </c>
      <c r="C1516" s="12" t="s">
        <v>1205</v>
      </c>
      <c r="D1516" s="58"/>
      <c r="E1516" s="43" t="str">
        <f t="shared" si="95"/>
        <v>Еще фото</v>
      </c>
      <c r="F1516" s="26" t="s">
        <v>182</v>
      </c>
      <c r="G1516" s="15" t="s">
        <v>237</v>
      </c>
      <c r="H1516" s="15" t="s">
        <v>27</v>
      </c>
      <c r="I1516" s="15" t="s">
        <v>237</v>
      </c>
      <c r="J1516" s="15" t="s">
        <v>37</v>
      </c>
      <c r="K1516" s="15" t="s">
        <v>57</v>
      </c>
      <c r="L1516" s="61"/>
      <c r="M1516" s="15"/>
      <c r="N1516" s="15" t="s">
        <v>130</v>
      </c>
      <c r="O1516" s="15"/>
      <c r="P1516" s="15" t="s">
        <v>802</v>
      </c>
      <c r="Q1516" s="27">
        <v>8999</v>
      </c>
      <c r="R1516" s="28">
        <v>45</v>
      </c>
      <c r="S1516" s="29">
        <v>5691.8674999999994</v>
      </c>
      <c r="T1516" s="20" t="s">
        <v>75</v>
      </c>
      <c r="U1516" s="21" t="s">
        <v>167</v>
      </c>
      <c r="V1516" s="22">
        <v>52</v>
      </c>
      <c r="W1516" s="22">
        <v>5</v>
      </c>
      <c r="X1516" s="23"/>
    </row>
    <row r="1517" spans="1:24" s="1" customFormat="1" ht="11" customHeight="1" x14ac:dyDescent="0.3">
      <c r="A1517" s="15" t="s">
        <v>23</v>
      </c>
      <c r="B1517" s="15" t="s">
        <v>1199</v>
      </c>
      <c r="C1517" s="12" t="s">
        <v>1205</v>
      </c>
      <c r="D1517" s="58"/>
      <c r="E1517" s="43" t="str">
        <f t="shared" si="95"/>
        <v>Еще фото</v>
      </c>
      <c r="F1517" s="26" t="s">
        <v>182</v>
      </c>
      <c r="G1517" s="15" t="s">
        <v>237</v>
      </c>
      <c r="H1517" s="15" t="s">
        <v>27</v>
      </c>
      <c r="I1517" s="15" t="s">
        <v>237</v>
      </c>
      <c r="J1517" s="15" t="s">
        <v>37</v>
      </c>
      <c r="K1517" s="15" t="s">
        <v>57</v>
      </c>
      <c r="L1517" s="61"/>
      <c r="M1517" s="15"/>
      <c r="N1517" s="15" t="s">
        <v>130</v>
      </c>
      <c r="O1517" s="15"/>
      <c r="P1517" s="15" t="s">
        <v>802</v>
      </c>
      <c r="Q1517" s="27">
        <v>8999</v>
      </c>
      <c r="R1517" s="28">
        <v>45</v>
      </c>
      <c r="S1517" s="29">
        <v>5691.8674999999994</v>
      </c>
      <c r="T1517" s="20" t="s">
        <v>75</v>
      </c>
      <c r="U1517" s="21" t="s">
        <v>168</v>
      </c>
      <c r="V1517" s="22">
        <v>52</v>
      </c>
      <c r="W1517" s="22">
        <v>2</v>
      </c>
      <c r="X1517" s="23"/>
    </row>
    <row r="1518" spans="1:24" s="1" customFormat="1" ht="11" customHeight="1" x14ac:dyDescent="0.3">
      <c r="A1518" s="15" t="s">
        <v>23</v>
      </c>
      <c r="B1518" s="15" t="s">
        <v>1199</v>
      </c>
      <c r="C1518" s="12" t="s">
        <v>1205</v>
      </c>
      <c r="D1518" s="58"/>
      <c r="E1518" s="43" t="str">
        <f t="shared" si="95"/>
        <v>Еще фото</v>
      </c>
      <c r="F1518" s="26" t="s">
        <v>182</v>
      </c>
      <c r="G1518" s="15" t="s">
        <v>237</v>
      </c>
      <c r="H1518" s="15" t="s">
        <v>27</v>
      </c>
      <c r="I1518" s="15" t="s">
        <v>237</v>
      </c>
      <c r="J1518" s="15" t="s">
        <v>37</v>
      </c>
      <c r="K1518" s="15" t="s">
        <v>57</v>
      </c>
      <c r="L1518" s="61"/>
      <c r="M1518" s="15"/>
      <c r="N1518" s="15" t="s">
        <v>130</v>
      </c>
      <c r="O1518" s="15"/>
      <c r="P1518" s="15" t="s">
        <v>802</v>
      </c>
      <c r="Q1518" s="27">
        <v>8999</v>
      </c>
      <c r="R1518" s="28">
        <v>45</v>
      </c>
      <c r="S1518" s="29">
        <v>5691.8674999999994</v>
      </c>
      <c r="T1518" s="20" t="s">
        <v>75</v>
      </c>
      <c r="U1518" s="21" t="s">
        <v>196</v>
      </c>
      <c r="V1518" s="22">
        <v>54</v>
      </c>
      <c r="W1518" s="22">
        <v>1</v>
      </c>
      <c r="X1518" s="23"/>
    </row>
    <row r="1519" spans="1:24" s="1" customFormat="1" ht="11" customHeight="1" x14ac:dyDescent="0.3">
      <c r="A1519" s="15" t="s">
        <v>23</v>
      </c>
      <c r="B1519" s="15" t="s">
        <v>1199</v>
      </c>
      <c r="C1519" s="12" t="s">
        <v>1205</v>
      </c>
      <c r="D1519" s="59"/>
      <c r="E1519" s="43" t="str">
        <f t="shared" si="95"/>
        <v>Еще фото</v>
      </c>
      <c r="F1519" s="26" t="s">
        <v>182</v>
      </c>
      <c r="G1519" s="15" t="s">
        <v>237</v>
      </c>
      <c r="H1519" s="15" t="s">
        <v>27</v>
      </c>
      <c r="I1519" s="15" t="s">
        <v>237</v>
      </c>
      <c r="J1519" s="15" t="s">
        <v>37</v>
      </c>
      <c r="K1519" s="15" t="s">
        <v>57</v>
      </c>
      <c r="L1519" s="62"/>
      <c r="M1519" s="15"/>
      <c r="N1519" s="15" t="s">
        <v>130</v>
      </c>
      <c r="O1519" s="15"/>
      <c r="P1519" s="15" t="s">
        <v>802</v>
      </c>
      <c r="Q1519" s="27">
        <v>8999</v>
      </c>
      <c r="R1519" s="28">
        <v>45</v>
      </c>
      <c r="S1519" s="29">
        <v>5691.8674999999994</v>
      </c>
      <c r="T1519" s="20" t="s">
        <v>75</v>
      </c>
      <c r="U1519" s="21" t="s">
        <v>169</v>
      </c>
      <c r="V1519" s="22">
        <v>54</v>
      </c>
      <c r="W1519" s="22">
        <v>1</v>
      </c>
      <c r="X1519" s="23"/>
    </row>
    <row r="1520" spans="1:24" s="1" customFormat="1" ht="13.05" customHeight="1" x14ac:dyDescent="0.3">
      <c r="A1520" s="11" t="s">
        <v>23</v>
      </c>
      <c r="B1520" s="11" t="s">
        <v>1206</v>
      </c>
      <c r="C1520" s="12" t="s">
        <v>1207</v>
      </c>
      <c r="D1520" s="57"/>
      <c r="E1520" s="43" t="str">
        <f t="shared" ref="E1520:E1527" si="96">HYPERLINK("https://www.google.ru/search?q=36200-0085&amp;newwindow=1&amp;tbm=isch","Еще фото")</f>
        <v>Еще фото</v>
      </c>
      <c r="F1520" s="14" t="s">
        <v>182</v>
      </c>
      <c r="G1520" s="11" t="s">
        <v>237</v>
      </c>
      <c r="H1520" s="11" t="s">
        <v>27</v>
      </c>
      <c r="I1520" s="15" t="s">
        <v>237</v>
      </c>
      <c r="J1520" s="15" t="s">
        <v>28</v>
      </c>
      <c r="K1520" s="16" t="s">
        <v>29</v>
      </c>
      <c r="L1520" s="60" t="s">
        <v>813</v>
      </c>
      <c r="M1520" s="15" t="s">
        <v>72</v>
      </c>
      <c r="N1520" s="15" t="s">
        <v>39</v>
      </c>
      <c r="O1520" s="15" t="s">
        <v>113</v>
      </c>
      <c r="P1520" s="16" t="s">
        <v>1208</v>
      </c>
      <c r="Q1520" s="17">
        <v>15199</v>
      </c>
      <c r="R1520" s="18">
        <v>45</v>
      </c>
      <c r="S1520" s="19">
        <v>9613.3675000000003</v>
      </c>
      <c r="T1520" s="20" t="s">
        <v>75</v>
      </c>
      <c r="U1520" s="33" t="s">
        <v>78</v>
      </c>
      <c r="V1520" s="22">
        <v>42</v>
      </c>
      <c r="W1520" s="22">
        <v>8</v>
      </c>
      <c r="X1520" s="23"/>
    </row>
    <row r="1521" spans="1:24" s="1" customFormat="1" ht="13.05" customHeight="1" x14ac:dyDescent="0.3">
      <c r="A1521" s="24" t="s">
        <v>23</v>
      </c>
      <c r="B1521" s="24" t="s">
        <v>1206</v>
      </c>
      <c r="C1521" s="12" t="s">
        <v>1207</v>
      </c>
      <c r="D1521" s="58"/>
      <c r="E1521" s="43" t="str">
        <f t="shared" si="96"/>
        <v>Еще фото</v>
      </c>
      <c r="F1521" s="14" t="s">
        <v>182</v>
      </c>
      <c r="G1521" s="24" t="s">
        <v>237</v>
      </c>
      <c r="H1521" s="24" t="s">
        <v>27</v>
      </c>
      <c r="I1521" s="24" t="s">
        <v>237</v>
      </c>
      <c r="J1521" s="15" t="s">
        <v>28</v>
      </c>
      <c r="K1521" s="16" t="s">
        <v>29</v>
      </c>
      <c r="L1521" s="61"/>
      <c r="M1521" s="15" t="s">
        <v>72</v>
      </c>
      <c r="N1521" s="15" t="s">
        <v>39</v>
      </c>
      <c r="O1521" s="15" t="s">
        <v>113</v>
      </c>
      <c r="P1521" s="16" t="s">
        <v>1208</v>
      </c>
      <c r="Q1521" s="17">
        <v>15199</v>
      </c>
      <c r="R1521" s="18">
        <v>45</v>
      </c>
      <c r="S1521" s="19">
        <v>9613.3675000000003</v>
      </c>
      <c r="T1521" s="20" t="s">
        <v>75</v>
      </c>
      <c r="U1521" s="21" t="s">
        <v>481</v>
      </c>
      <c r="V1521" s="25" t="s">
        <v>48</v>
      </c>
      <c r="W1521" s="22">
        <v>6</v>
      </c>
      <c r="X1521" s="23"/>
    </row>
    <row r="1522" spans="1:24" s="1" customFormat="1" ht="13.05" customHeight="1" x14ac:dyDescent="0.3">
      <c r="A1522" s="24" t="s">
        <v>23</v>
      </c>
      <c r="B1522" s="24" t="s">
        <v>1206</v>
      </c>
      <c r="C1522" s="12" t="s">
        <v>1207</v>
      </c>
      <c r="D1522" s="58"/>
      <c r="E1522" s="43" t="str">
        <f t="shared" si="96"/>
        <v>Еще фото</v>
      </c>
      <c r="F1522" s="14" t="s">
        <v>182</v>
      </c>
      <c r="G1522" s="24" t="s">
        <v>237</v>
      </c>
      <c r="H1522" s="24" t="s">
        <v>27</v>
      </c>
      <c r="I1522" s="24" t="s">
        <v>237</v>
      </c>
      <c r="J1522" s="15" t="s">
        <v>28</v>
      </c>
      <c r="K1522" s="16" t="s">
        <v>29</v>
      </c>
      <c r="L1522" s="61"/>
      <c r="M1522" s="15" t="s">
        <v>72</v>
      </c>
      <c r="N1522" s="15" t="s">
        <v>39</v>
      </c>
      <c r="O1522" s="15" t="s">
        <v>113</v>
      </c>
      <c r="P1522" s="16" t="s">
        <v>1208</v>
      </c>
      <c r="Q1522" s="17">
        <v>15199</v>
      </c>
      <c r="R1522" s="18">
        <v>45</v>
      </c>
      <c r="S1522" s="19">
        <v>9613.3675000000003</v>
      </c>
      <c r="T1522" s="20" t="s">
        <v>75</v>
      </c>
      <c r="U1522" s="21" t="s">
        <v>362</v>
      </c>
      <c r="V1522" s="22">
        <v>44</v>
      </c>
      <c r="W1522" s="22">
        <v>10</v>
      </c>
      <c r="X1522" s="23"/>
    </row>
    <row r="1523" spans="1:24" s="1" customFormat="1" ht="13.05" customHeight="1" x14ac:dyDescent="0.3">
      <c r="A1523" s="24" t="s">
        <v>23</v>
      </c>
      <c r="B1523" s="24" t="s">
        <v>1206</v>
      </c>
      <c r="C1523" s="12" t="s">
        <v>1207</v>
      </c>
      <c r="D1523" s="58"/>
      <c r="E1523" s="43" t="str">
        <f t="shared" si="96"/>
        <v>Еще фото</v>
      </c>
      <c r="F1523" s="14" t="s">
        <v>182</v>
      </c>
      <c r="G1523" s="24" t="s">
        <v>237</v>
      </c>
      <c r="H1523" s="24" t="s">
        <v>27</v>
      </c>
      <c r="I1523" s="24" t="s">
        <v>237</v>
      </c>
      <c r="J1523" s="15" t="s">
        <v>28</v>
      </c>
      <c r="K1523" s="16" t="s">
        <v>29</v>
      </c>
      <c r="L1523" s="61"/>
      <c r="M1523" s="15" t="s">
        <v>72</v>
      </c>
      <c r="N1523" s="15" t="s">
        <v>39</v>
      </c>
      <c r="O1523" s="15" t="s">
        <v>113</v>
      </c>
      <c r="P1523" s="16" t="s">
        <v>1208</v>
      </c>
      <c r="Q1523" s="17">
        <v>15199</v>
      </c>
      <c r="R1523" s="18">
        <v>45</v>
      </c>
      <c r="S1523" s="19">
        <v>9613.3675000000003</v>
      </c>
      <c r="T1523" s="20" t="s">
        <v>75</v>
      </c>
      <c r="U1523" s="21" t="s">
        <v>50</v>
      </c>
      <c r="V1523" s="22">
        <v>44</v>
      </c>
      <c r="W1523" s="22">
        <v>15</v>
      </c>
      <c r="X1523" s="23"/>
    </row>
    <row r="1524" spans="1:24" s="1" customFormat="1" ht="13.05" customHeight="1" x14ac:dyDescent="0.3">
      <c r="A1524" s="24" t="s">
        <v>23</v>
      </c>
      <c r="B1524" s="24" t="s">
        <v>1206</v>
      </c>
      <c r="C1524" s="12" t="s">
        <v>1207</v>
      </c>
      <c r="D1524" s="58"/>
      <c r="E1524" s="43" t="str">
        <f t="shared" si="96"/>
        <v>Еще фото</v>
      </c>
      <c r="F1524" s="14" t="s">
        <v>182</v>
      </c>
      <c r="G1524" s="24" t="s">
        <v>237</v>
      </c>
      <c r="H1524" s="24" t="s">
        <v>27</v>
      </c>
      <c r="I1524" s="24" t="s">
        <v>237</v>
      </c>
      <c r="J1524" s="15" t="s">
        <v>28</v>
      </c>
      <c r="K1524" s="16" t="s">
        <v>29</v>
      </c>
      <c r="L1524" s="61"/>
      <c r="M1524" s="15" t="s">
        <v>72</v>
      </c>
      <c r="N1524" s="15" t="s">
        <v>39</v>
      </c>
      <c r="O1524" s="15" t="s">
        <v>113</v>
      </c>
      <c r="P1524" s="16" t="s">
        <v>1208</v>
      </c>
      <c r="Q1524" s="17">
        <v>15199</v>
      </c>
      <c r="R1524" s="18">
        <v>45</v>
      </c>
      <c r="S1524" s="19">
        <v>9613.3675000000003</v>
      </c>
      <c r="T1524" s="20" t="s">
        <v>75</v>
      </c>
      <c r="U1524" s="21" t="s">
        <v>378</v>
      </c>
      <c r="V1524" s="22">
        <v>46</v>
      </c>
      <c r="W1524" s="22">
        <v>6</v>
      </c>
      <c r="X1524" s="23"/>
    </row>
    <row r="1525" spans="1:24" s="1" customFormat="1" ht="13.05" customHeight="1" x14ac:dyDescent="0.3">
      <c r="A1525" s="24" t="s">
        <v>23</v>
      </c>
      <c r="B1525" s="24" t="s">
        <v>1206</v>
      </c>
      <c r="C1525" s="12" t="s">
        <v>1207</v>
      </c>
      <c r="D1525" s="58"/>
      <c r="E1525" s="43" t="str">
        <f t="shared" si="96"/>
        <v>Еще фото</v>
      </c>
      <c r="F1525" s="14" t="s">
        <v>182</v>
      </c>
      <c r="G1525" s="24" t="s">
        <v>237</v>
      </c>
      <c r="H1525" s="24" t="s">
        <v>27</v>
      </c>
      <c r="I1525" s="24" t="s">
        <v>237</v>
      </c>
      <c r="J1525" s="15" t="s">
        <v>28</v>
      </c>
      <c r="K1525" s="16" t="s">
        <v>29</v>
      </c>
      <c r="L1525" s="61"/>
      <c r="M1525" s="15" t="s">
        <v>72</v>
      </c>
      <c r="N1525" s="15" t="s">
        <v>39</v>
      </c>
      <c r="O1525" s="15" t="s">
        <v>113</v>
      </c>
      <c r="P1525" s="16" t="s">
        <v>1208</v>
      </c>
      <c r="Q1525" s="17">
        <v>15199</v>
      </c>
      <c r="R1525" s="18">
        <v>45</v>
      </c>
      <c r="S1525" s="19">
        <v>9613.3675000000003</v>
      </c>
      <c r="T1525" s="20" t="s">
        <v>75</v>
      </c>
      <c r="U1525" s="21" t="s">
        <v>230</v>
      </c>
      <c r="V1525" s="22">
        <v>46</v>
      </c>
      <c r="W1525" s="22">
        <v>16</v>
      </c>
      <c r="X1525" s="23"/>
    </row>
    <row r="1526" spans="1:24" s="1" customFormat="1" ht="13.05" customHeight="1" x14ac:dyDescent="0.3">
      <c r="A1526" s="24" t="s">
        <v>23</v>
      </c>
      <c r="B1526" s="24" t="s">
        <v>1206</v>
      </c>
      <c r="C1526" s="12" t="s">
        <v>1207</v>
      </c>
      <c r="D1526" s="58"/>
      <c r="E1526" s="43" t="str">
        <f t="shared" si="96"/>
        <v>Еще фото</v>
      </c>
      <c r="F1526" s="14" t="s">
        <v>182</v>
      </c>
      <c r="G1526" s="24" t="s">
        <v>237</v>
      </c>
      <c r="H1526" s="24" t="s">
        <v>27</v>
      </c>
      <c r="I1526" s="24" t="s">
        <v>237</v>
      </c>
      <c r="J1526" s="15" t="s">
        <v>28</v>
      </c>
      <c r="K1526" s="16" t="s">
        <v>29</v>
      </c>
      <c r="L1526" s="61"/>
      <c r="M1526" s="15" t="s">
        <v>72</v>
      </c>
      <c r="N1526" s="15" t="s">
        <v>39</v>
      </c>
      <c r="O1526" s="15" t="s">
        <v>113</v>
      </c>
      <c r="P1526" s="16" t="s">
        <v>1208</v>
      </c>
      <c r="Q1526" s="17">
        <v>15199</v>
      </c>
      <c r="R1526" s="18">
        <v>45</v>
      </c>
      <c r="S1526" s="19">
        <v>9613.3675000000003</v>
      </c>
      <c r="T1526" s="20" t="s">
        <v>75</v>
      </c>
      <c r="U1526" s="21" t="s">
        <v>450</v>
      </c>
      <c r="V1526" s="22">
        <v>48</v>
      </c>
      <c r="W1526" s="22">
        <v>7</v>
      </c>
      <c r="X1526" s="23"/>
    </row>
    <row r="1527" spans="1:24" s="1" customFormat="1" ht="18" customHeight="1" x14ac:dyDescent="0.3">
      <c r="A1527" s="24" t="s">
        <v>23</v>
      </c>
      <c r="B1527" s="24" t="s">
        <v>1206</v>
      </c>
      <c r="C1527" s="12" t="s">
        <v>1207</v>
      </c>
      <c r="D1527" s="59"/>
      <c r="E1527" s="43" t="str">
        <f t="shared" si="96"/>
        <v>Еще фото</v>
      </c>
      <c r="F1527" s="14" t="s">
        <v>182</v>
      </c>
      <c r="G1527" s="24" t="s">
        <v>237</v>
      </c>
      <c r="H1527" s="24" t="s">
        <v>27</v>
      </c>
      <c r="I1527" s="24" t="s">
        <v>237</v>
      </c>
      <c r="J1527" s="15" t="s">
        <v>28</v>
      </c>
      <c r="K1527" s="16" t="s">
        <v>29</v>
      </c>
      <c r="L1527" s="62"/>
      <c r="M1527" s="15" t="s">
        <v>72</v>
      </c>
      <c r="N1527" s="15" t="s">
        <v>39</v>
      </c>
      <c r="O1527" s="15" t="s">
        <v>113</v>
      </c>
      <c r="P1527" s="16" t="s">
        <v>1208</v>
      </c>
      <c r="Q1527" s="17">
        <v>15199</v>
      </c>
      <c r="R1527" s="18">
        <v>45</v>
      </c>
      <c r="S1527" s="19">
        <v>9613.3675000000003</v>
      </c>
      <c r="T1527" s="20" t="s">
        <v>75</v>
      </c>
      <c r="U1527" s="21" t="s">
        <v>52</v>
      </c>
      <c r="V1527" s="22">
        <v>48</v>
      </c>
      <c r="W1527" s="22">
        <v>5</v>
      </c>
      <c r="X1527" s="23"/>
    </row>
    <row r="1528" spans="1:24" s="1" customFormat="1" ht="21" customHeight="1" x14ac:dyDescent="0.3">
      <c r="A1528" s="11" t="s">
        <v>23</v>
      </c>
      <c r="B1528" s="38">
        <v>501</v>
      </c>
      <c r="C1528" s="30" t="s">
        <v>1209</v>
      </c>
      <c r="D1528" s="57"/>
      <c r="E1528" s="43" t="str">
        <f>HYPERLINK("https://www.google.ru/search?q=36200-0179&amp;newwindow=1&amp;tbm=isch","Еще фото")</f>
        <v>Еще фото</v>
      </c>
      <c r="F1528" s="14" t="s">
        <v>182</v>
      </c>
      <c r="G1528" s="11" t="s">
        <v>237</v>
      </c>
      <c r="H1528" s="11" t="s">
        <v>27</v>
      </c>
      <c r="I1528" s="15" t="s">
        <v>237</v>
      </c>
      <c r="J1528" s="15" t="s">
        <v>28</v>
      </c>
      <c r="K1528" s="16" t="s">
        <v>29</v>
      </c>
      <c r="L1528" s="60" t="s">
        <v>1210</v>
      </c>
      <c r="M1528" s="15" t="s">
        <v>72</v>
      </c>
      <c r="N1528" s="15" t="s">
        <v>130</v>
      </c>
      <c r="O1528" s="15" t="s">
        <v>121</v>
      </c>
      <c r="P1528" s="16" t="s">
        <v>254</v>
      </c>
      <c r="Q1528" s="17">
        <v>16699</v>
      </c>
      <c r="R1528" s="18">
        <v>45</v>
      </c>
      <c r="S1528" s="19">
        <v>10562.1175</v>
      </c>
      <c r="T1528" s="20" t="s">
        <v>75</v>
      </c>
      <c r="U1528" s="21" t="s">
        <v>50</v>
      </c>
      <c r="V1528" s="22">
        <v>44</v>
      </c>
      <c r="W1528" s="22">
        <v>15</v>
      </c>
      <c r="X1528" s="23"/>
    </row>
    <row r="1529" spans="1:24" s="1" customFormat="1" ht="21" customHeight="1" x14ac:dyDescent="0.3">
      <c r="A1529" s="24" t="s">
        <v>23</v>
      </c>
      <c r="B1529" s="39">
        <v>501</v>
      </c>
      <c r="C1529" s="31" t="s">
        <v>1209</v>
      </c>
      <c r="D1529" s="58"/>
      <c r="E1529" s="43" t="str">
        <f>HYPERLINK("https://www.google.ru/search?q=36200-0179&amp;newwindow=1&amp;tbm=isch","Еще фото")</f>
        <v>Еще фото</v>
      </c>
      <c r="F1529" s="14" t="s">
        <v>182</v>
      </c>
      <c r="G1529" s="24" t="s">
        <v>237</v>
      </c>
      <c r="H1529" s="24" t="s">
        <v>27</v>
      </c>
      <c r="I1529" s="24" t="s">
        <v>237</v>
      </c>
      <c r="J1529" s="15" t="s">
        <v>28</v>
      </c>
      <c r="K1529" s="16" t="s">
        <v>29</v>
      </c>
      <c r="L1529" s="61"/>
      <c r="M1529" s="15" t="s">
        <v>72</v>
      </c>
      <c r="N1529" s="15" t="s">
        <v>130</v>
      </c>
      <c r="O1529" s="15" t="s">
        <v>121</v>
      </c>
      <c r="P1529" s="16" t="s">
        <v>254</v>
      </c>
      <c r="Q1529" s="17">
        <v>16699</v>
      </c>
      <c r="R1529" s="18">
        <v>45</v>
      </c>
      <c r="S1529" s="19">
        <v>10562.1175</v>
      </c>
      <c r="T1529" s="20" t="s">
        <v>75</v>
      </c>
      <c r="U1529" s="21" t="s">
        <v>80</v>
      </c>
      <c r="V1529" s="22">
        <v>46</v>
      </c>
      <c r="W1529" s="22">
        <v>1</v>
      </c>
      <c r="X1529" s="23"/>
    </row>
    <row r="1530" spans="1:24" s="1" customFormat="1" ht="21" customHeight="1" x14ac:dyDescent="0.3">
      <c r="A1530" s="24" t="s">
        <v>23</v>
      </c>
      <c r="B1530" s="39">
        <v>501</v>
      </c>
      <c r="C1530" s="31" t="s">
        <v>1209</v>
      </c>
      <c r="D1530" s="58"/>
      <c r="E1530" s="43" t="str">
        <f>HYPERLINK("https://www.google.ru/search?q=36200-0179&amp;newwindow=1&amp;tbm=isch","Еще фото")</f>
        <v>Еще фото</v>
      </c>
      <c r="F1530" s="14" t="s">
        <v>182</v>
      </c>
      <c r="G1530" s="24" t="s">
        <v>237</v>
      </c>
      <c r="H1530" s="24" t="s">
        <v>27</v>
      </c>
      <c r="I1530" s="24" t="s">
        <v>237</v>
      </c>
      <c r="J1530" s="15" t="s">
        <v>28</v>
      </c>
      <c r="K1530" s="16" t="s">
        <v>29</v>
      </c>
      <c r="L1530" s="61"/>
      <c r="M1530" s="15" t="s">
        <v>72</v>
      </c>
      <c r="N1530" s="15" t="s">
        <v>130</v>
      </c>
      <c r="O1530" s="15" t="s">
        <v>121</v>
      </c>
      <c r="P1530" s="16" t="s">
        <v>254</v>
      </c>
      <c r="Q1530" s="17">
        <v>16699</v>
      </c>
      <c r="R1530" s="18">
        <v>45</v>
      </c>
      <c r="S1530" s="19">
        <v>10562.1175</v>
      </c>
      <c r="T1530" s="20" t="s">
        <v>75</v>
      </c>
      <c r="U1530" s="21" t="s">
        <v>378</v>
      </c>
      <c r="V1530" s="22">
        <v>46</v>
      </c>
      <c r="W1530" s="22">
        <v>2</v>
      </c>
      <c r="X1530" s="23"/>
    </row>
    <row r="1531" spans="1:24" s="1" customFormat="1" ht="21" customHeight="1" x14ac:dyDescent="0.3">
      <c r="A1531" s="24" t="s">
        <v>23</v>
      </c>
      <c r="B1531" s="39">
        <v>501</v>
      </c>
      <c r="C1531" s="31" t="s">
        <v>1209</v>
      </c>
      <c r="D1531" s="58"/>
      <c r="E1531" s="43" t="str">
        <f>HYPERLINK("https://www.google.ru/search?q=36200-0179&amp;newwindow=1&amp;tbm=isch","Еще фото")</f>
        <v>Еще фото</v>
      </c>
      <c r="F1531" s="14" t="s">
        <v>182</v>
      </c>
      <c r="G1531" s="24" t="s">
        <v>237</v>
      </c>
      <c r="H1531" s="24" t="s">
        <v>27</v>
      </c>
      <c r="I1531" s="24" t="s">
        <v>237</v>
      </c>
      <c r="J1531" s="15" t="s">
        <v>28</v>
      </c>
      <c r="K1531" s="16" t="s">
        <v>29</v>
      </c>
      <c r="L1531" s="61"/>
      <c r="M1531" s="15" t="s">
        <v>72</v>
      </c>
      <c r="N1531" s="15" t="s">
        <v>130</v>
      </c>
      <c r="O1531" s="15" t="s">
        <v>121</v>
      </c>
      <c r="P1531" s="16" t="s">
        <v>254</v>
      </c>
      <c r="Q1531" s="17">
        <v>16699</v>
      </c>
      <c r="R1531" s="18">
        <v>45</v>
      </c>
      <c r="S1531" s="19">
        <v>10562.1175</v>
      </c>
      <c r="T1531" s="20" t="s">
        <v>75</v>
      </c>
      <c r="U1531" s="21" t="s">
        <v>230</v>
      </c>
      <c r="V1531" s="22">
        <v>46</v>
      </c>
      <c r="W1531" s="22">
        <v>15</v>
      </c>
      <c r="X1531" s="23"/>
    </row>
    <row r="1532" spans="1:24" s="1" customFormat="1" ht="32" customHeight="1" x14ac:dyDescent="0.3">
      <c r="A1532" s="24" t="s">
        <v>23</v>
      </c>
      <c r="B1532" s="39">
        <v>501</v>
      </c>
      <c r="C1532" s="31" t="s">
        <v>1209</v>
      </c>
      <c r="D1532" s="59"/>
      <c r="E1532" s="43" t="str">
        <f>HYPERLINK("https://www.google.ru/search?q=36200-0179&amp;newwindow=1&amp;tbm=isch","Еще фото")</f>
        <v>Еще фото</v>
      </c>
      <c r="F1532" s="14" t="s">
        <v>182</v>
      </c>
      <c r="G1532" s="24" t="s">
        <v>237</v>
      </c>
      <c r="H1532" s="24" t="s">
        <v>27</v>
      </c>
      <c r="I1532" s="24" t="s">
        <v>237</v>
      </c>
      <c r="J1532" s="15" t="s">
        <v>28</v>
      </c>
      <c r="K1532" s="16" t="s">
        <v>29</v>
      </c>
      <c r="L1532" s="62"/>
      <c r="M1532" s="15" t="s">
        <v>72</v>
      </c>
      <c r="N1532" s="15" t="s">
        <v>130</v>
      </c>
      <c r="O1532" s="15" t="s">
        <v>121</v>
      </c>
      <c r="P1532" s="16" t="s">
        <v>254</v>
      </c>
      <c r="Q1532" s="17">
        <v>16699</v>
      </c>
      <c r="R1532" s="18">
        <v>45</v>
      </c>
      <c r="S1532" s="19">
        <v>10562.1175</v>
      </c>
      <c r="T1532" s="20" t="s">
        <v>75</v>
      </c>
      <c r="U1532" s="21" t="s">
        <v>52</v>
      </c>
      <c r="V1532" s="22">
        <v>48</v>
      </c>
      <c r="W1532" s="22">
        <v>10</v>
      </c>
      <c r="X1532" s="23"/>
    </row>
    <row r="1533" spans="1:24" s="1" customFormat="1" ht="108" customHeight="1" x14ac:dyDescent="0.3">
      <c r="A1533" s="11" t="s">
        <v>23</v>
      </c>
      <c r="B1533" s="11" t="s">
        <v>1211</v>
      </c>
      <c r="C1533" s="12" t="s">
        <v>1212</v>
      </c>
      <c r="D1533" s="13"/>
      <c r="E1533" s="43" t="str">
        <f>HYPERLINK("https://www.google.ru/search?q=36200-0304&amp;newwindow=1&amp;tbm=isch","Еще фото")</f>
        <v>Еще фото</v>
      </c>
      <c r="F1533" s="14"/>
      <c r="G1533" s="11" t="s">
        <v>237</v>
      </c>
      <c r="H1533" s="11" t="s">
        <v>27</v>
      </c>
      <c r="I1533" s="15" t="s">
        <v>237</v>
      </c>
      <c r="J1533" s="15" t="s">
        <v>37</v>
      </c>
      <c r="K1533" s="16" t="s">
        <v>29</v>
      </c>
      <c r="L1533" s="15" t="s">
        <v>1213</v>
      </c>
      <c r="M1533" s="15"/>
      <c r="N1533" s="15" t="s">
        <v>39</v>
      </c>
      <c r="O1533" s="15"/>
      <c r="P1533" s="16" t="s">
        <v>254</v>
      </c>
      <c r="Q1533" s="17">
        <v>19099</v>
      </c>
      <c r="R1533" s="18">
        <v>45</v>
      </c>
      <c r="S1533" s="19">
        <v>12080.1175</v>
      </c>
      <c r="T1533" s="20" t="s">
        <v>75</v>
      </c>
      <c r="U1533" s="21" t="s">
        <v>43</v>
      </c>
      <c r="V1533" s="25" t="s">
        <v>44</v>
      </c>
      <c r="W1533" s="22">
        <v>1</v>
      </c>
      <c r="X1533" s="23"/>
    </row>
    <row r="1534" spans="1:24" s="1" customFormat="1" ht="52.05" customHeight="1" x14ac:dyDescent="0.3">
      <c r="A1534" s="11" t="s">
        <v>23</v>
      </c>
      <c r="B1534" s="11" t="s">
        <v>1214</v>
      </c>
      <c r="C1534" s="12" t="s">
        <v>1215</v>
      </c>
      <c r="D1534" s="63"/>
      <c r="E1534" s="43" t="str">
        <f>HYPERLINK("https://www.google.ru/search?q=36200-0335&amp;newwindow=1&amp;tbm=isch","Еще фото")</f>
        <v>Еще фото</v>
      </c>
      <c r="F1534" s="14"/>
      <c r="G1534" s="11" t="s">
        <v>237</v>
      </c>
      <c r="H1534" s="11" t="s">
        <v>27</v>
      </c>
      <c r="I1534" s="15" t="s">
        <v>237</v>
      </c>
      <c r="J1534" s="15" t="s">
        <v>37</v>
      </c>
      <c r="K1534" s="16" t="s">
        <v>29</v>
      </c>
      <c r="L1534" s="60" t="s">
        <v>1216</v>
      </c>
      <c r="M1534" s="15"/>
      <c r="N1534" s="15" t="s">
        <v>130</v>
      </c>
      <c r="O1534" s="15"/>
      <c r="P1534" s="16" t="s">
        <v>254</v>
      </c>
      <c r="Q1534" s="17">
        <v>18399</v>
      </c>
      <c r="R1534" s="18">
        <v>45</v>
      </c>
      <c r="S1534" s="19">
        <v>11637.3675</v>
      </c>
      <c r="T1534" s="20" t="s">
        <v>75</v>
      </c>
      <c r="U1534" s="21" t="s">
        <v>47</v>
      </c>
      <c r="V1534" s="25" t="s">
        <v>48</v>
      </c>
      <c r="W1534" s="22">
        <v>1</v>
      </c>
      <c r="X1534" s="23"/>
    </row>
    <row r="1535" spans="1:24" s="1" customFormat="1" ht="61.05" customHeight="1" x14ac:dyDescent="0.3">
      <c r="A1535" s="24" t="s">
        <v>23</v>
      </c>
      <c r="B1535" s="24" t="s">
        <v>1214</v>
      </c>
      <c r="C1535" s="12" t="s">
        <v>1215</v>
      </c>
      <c r="D1535" s="64"/>
      <c r="E1535" s="43" t="str">
        <f>HYPERLINK("https://www.google.ru/search?q=36200-0335&amp;newwindow=1&amp;tbm=isch","Еще фото")</f>
        <v>Еще фото</v>
      </c>
      <c r="F1535" s="14"/>
      <c r="G1535" s="24" t="s">
        <v>237</v>
      </c>
      <c r="H1535" s="24" t="s">
        <v>27</v>
      </c>
      <c r="I1535" s="24" t="s">
        <v>237</v>
      </c>
      <c r="J1535" s="15" t="s">
        <v>37</v>
      </c>
      <c r="K1535" s="16" t="s">
        <v>29</v>
      </c>
      <c r="L1535" s="62"/>
      <c r="M1535" s="15"/>
      <c r="N1535" s="15" t="s">
        <v>130</v>
      </c>
      <c r="O1535" s="15"/>
      <c r="P1535" s="16" t="s">
        <v>254</v>
      </c>
      <c r="Q1535" s="17">
        <v>18399</v>
      </c>
      <c r="R1535" s="18">
        <v>45</v>
      </c>
      <c r="S1535" s="19">
        <v>11637.3675</v>
      </c>
      <c r="T1535" s="20" t="s">
        <v>75</v>
      </c>
      <c r="U1535" s="21" t="s">
        <v>50</v>
      </c>
      <c r="V1535" s="22">
        <v>44</v>
      </c>
      <c r="W1535" s="22">
        <v>1</v>
      </c>
      <c r="X1535" s="23"/>
    </row>
    <row r="1536" spans="1:24" s="1" customFormat="1" ht="13.05" customHeight="1" x14ac:dyDescent="0.3">
      <c r="A1536" s="11" t="s">
        <v>23</v>
      </c>
      <c r="B1536" s="11" t="s">
        <v>1217</v>
      </c>
      <c r="C1536" s="12" t="s">
        <v>1218</v>
      </c>
      <c r="D1536" s="57"/>
      <c r="E1536" s="43" t="str">
        <f t="shared" ref="E1536:E1543" si="97">HYPERLINK("https://www.google.ru/search?q=36200-0391&amp;newwindow=1&amp;tbm=isch","Еще фото")</f>
        <v>Еще фото</v>
      </c>
      <c r="F1536" s="14" t="s">
        <v>182</v>
      </c>
      <c r="G1536" s="11" t="s">
        <v>237</v>
      </c>
      <c r="H1536" s="11" t="s">
        <v>27</v>
      </c>
      <c r="I1536" s="15" t="s">
        <v>237</v>
      </c>
      <c r="J1536" s="15" t="s">
        <v>28</v>
      </c>
      <c r="K1536" s="16" t="s">
        <v>29</v>
      </c>
      <c r="L1536" s="60" t="s">
        <v>1219</v>
      </c>
      <c r="M1536" s="15"/>
      <c r="N1536" s="15" t="s">
        <v>130</v>
      </c>
      <c r="O1536" s="15"/>
      <c r="P1536" s="16" t="s">
        <v>254</v>
      </c>
      <c r="Q1536" s="17">
        <v>17199</v>
      </c>
      <c r="R1536" s="18">
        <v>45</v>
      </c>
      <c r="S1536" s="19">
        <v>10878.3675</v>
      </c>
      <c r="T1536" s="20" t="s">
        <v>75</v>
      </c>
      <c r="U1536" s="33" t="s">
        <v>78</v>
      </c>
      <c r="V1536" s="22">
        <v>42</v>
      </c>
      <c r="W1536" s="22">
        <v>12</v>
      </c>
      <c r="X1536" s="23"/>
    </row>
    <row r="1537" spans="1:24" s="1" customFormat="1" ht="13.05" customHeight="1" x14ac:dyDescent="0.3">
      <c r="A1537" s="24" t="s">
        <v>23</v>
      </c>
      <c r="B1537" s="24" t="s">
        <v>1217</v>
      </c>
      <c r="C1537" s="12" t="s">
        <v>1218</v>
      </c>
      <c r="D1537" s="58"/>
      <c r="E1537" s="43" t="str">
        <f t="shared" si="97"/>
        <v>Еще фото</v>
      </c>
      <c r="F1537" s="14" t="s">
        <v>182</v>
      </c>
      <c r="G1537" s="24" t="s">
        <v>237</v>
      </c>
      <c r="H1537" s="24" t="s">
        <v>27</v>
      </c>
      <c r="I1537" s="24" t="s">
        <v>237</v>
      </c>
      <c r="J1537" s="15" t="s">
        <v>28</v>
      </c>
      <c r="K1537" s="16" t="s">
        <v>29</v>
      </c>
      <c r="L1537" s="61"/>
      <c r="M1537" s="15"/>
      <c r="N1537" s="15" t="s">
        <v>130</v>
      </c>
      <c r="O1537" s="15"/>
      <c r="P1537" s="16" t="s">
        <v>254</v>
      </c>
      <c r="Q1537" s="17">
        <v>17199</v>
      </c>
      <c r="R1537" s="18">
        <v>45</v>
      </c>
      <c r="S1537" s="19">
        <v>10878.3675</v>
      </c>
      <c r="T1537" s="20" t="s">
        <v>75</v>
      </c>
      <c r="U1537" s="21" t="s">
        <v>481</v>
      </c>
      <c r="V1537" s="25" t="s">
        <v>48</v>
      </c>
      <c r="W1537" s="22">
        <v>14</v>
      </c>
      <c r="X1537" s="23"/>
    </row>
    <row r="1538" spans="1:24" s="1" customFormat="1" ht="13.05" customHeight="1" x14ac:dyDescent="0.3">
      <c r="A1538" s="24" t="s">
        <v>23</v>
      </c>
      <c r="B1538" s="24" t="s">
        <v>1217</v>
      </c>
      <c r="C1538" s="12" t="s">
        <v>1218</v>
      </c>
      <c r="D1538" s="58"/>
      <c r="E1538" s="43" t="str">
        <f t="shared" si="97"/>
        <v>Еще фото</v>
      </c>
      <c r="F1538" s="14" t="s">
        <v>182</v>
      </c>
      <c r="G1538" s="24" t="s">
        <v>237</v>
      </c>
      <c r="H1538" s="24" t="s">
        <v>27</v>
      </c>
      <c r="I1538" s="24" t="s">
        <v>237</v>
      </c>
      <c r="J1538" s="15" t="s">
        <v>28</v>
      </c>
      <c r="K1538" s="16" t="s">
        <v>29</v>
      </c>
      <c r="L1538" s="61"/>
      <c r="M1538" s="15"/>
      <c r="N1538" s="15" t="s">
        <v>130</v>
      </c>
      <c r="O1538" s="15"/>
      <c r="P1538" s="16" t="s">
        <v>254</v>
      </c>
      <c r="Q1538" s="17">
        <v>17199</v>
      </c>
      <c r="R1538" s="18">
        <v>45</v>
      </c>
      <c r="S1538" s="19">
        <v>10878.3675</v>
      </c>
      <c r="T1538" s="20" t="s">
        <v>75</v>
      </c>
      <c r="U1538" s="21" t="s">
        <v>362</v>
      </c>
      <c r="V1538" s="22">
        <v>44</v>
      </c>
      <c r="W1538" s="22">
        <v>14</v>
      </c>
      <c r="X1538" s="23"/>
    </row>
    <row r="1539" spans="1:24" s="1" customFormat="1" ht="13.05" customHeight="1" x14ac:dyDescent="0.3">
      <c r="A1539" s="24" t="s">
        <v>23</v>
      </c>
      <c r="B1539" s="24" t="s">
        <v>1217</v>
      </c>
      <c r="C1539" s="12" t="s">
        <v>1218</v>
      </c>
      <c r="D1539" s="58"/>
      <c r="E1539" s="43" t="str">
        <f t="shared" si="97"/>
        <v>Еще фото</v>
      </c>
      <c r="F1539" s="14" t="s">
        <v>182</v>
      </c>
      <c r="G1539" s="24" t="s">
        <v>237</v>
      </c>
      <c r="H1539" s="24" t="s">
        <v>27</v>
      </c>
      <c r="I1539" s="24" t="s">
        <v>237</v>
      </c>
      <c r="J1539" s="15" t="s">
        <v>28</v>
      </c>
      <c r="K1539" s="16" t="s">
        <v>29</v>
      </c>
      <c r="L1539" s="61"/>
      <c r="M1539" s="15"/>
      <c r="N1539" s="15" t="s">
        <v>130</v>
      </c>
      <c r="O1539" s="15"/>
      <c r="P1539" s="16" t="s">
        <v>254</v>
      </c>
      <c r="Q1539" s="17">
        <v>17199</v>
      </c>
      <c r="R1539" s="18">
        <v>45</v>
      </c>
      <c r="S1539" s="19">
        <v>10878.3675</v>
      </c>
      <c r="T1539" s="20" t="s">
        <v>75</v>
      </c>
      <c r="U1539" s="21" t="s">
        <v>50</v>
      </c>
      <c r="V1539" s="22">
        <v>44</v>
      </c>
      <c r="W1539" s="22">
        <v>6</v>
      </c>
      <c r="X1539" s="23"/>
    </row>
    <row r="1540" spans="1:24" s="1" customFormat="1" ht="13.05" customHeight="1" x14ac:dyDescent="0.3">
      <c r="A1540" s="24" t="s">
        <v>23</v>
      </c>
      <c r="B1540" s="24" t="s">
        <v>1217</v>
      </c>
      <c r="C1540" s="12" t="s">
        <v>1218</v>
      </c>
      <c r="D1540" s="58"/>
      <c r="E1540" s="43" t="str">
        <f t="shared" si="97"/>
        <v>Еще фото</v>
      </c>
      <c r="F1540" s="14" t="s">
        <v>182</v>
      </c>
      <c r="G1540" s="24" t="s">
        <v>237</v>
      </c>
      <c r="H1540" s="24" t="s">
        <v>27</v>
      </c>
      <c r="I1540" s="24" t="s">
        <v>237</v>
      </c>
      <c r="J1540" s="15" t="s">
        <v>28</v>
      </c>
      <c r="K1540" s="16" t="s">
        <v>29</v>
      </c>
      <c r="L1540" s="61"/>
      <c r="M1540" s="15"/>
      <c r="N1540" s="15" t="s">
        <v>130</v>
      </c>
      <c r="O1540" s="15"/>
      <c r="P1540" s="16" t="s">
        <v>254</v>
      </c>
      <c r="Q1540" s="17">
        <v>17199</v>
      </c>
      <c r="R1540" s="18">
        <v>45</v>
      </c>
      <c r="S1540" s="19">
        <v>10878.3675</v>
      </c>
      <c r="T1540" s="20" t="s">
        <v>75</v>
      </c>
      <c r="U1540" s="21" t="s">
        <v>378</v>
      </c>
      <c r="V1540" s="22">
        <v>46</v>
      </c>
      <c r="W1540" s="22">
        <v>16</v>
      </c>
      <c r="X1540" s="23"/>
    </row>
    <row r="1541" spans="1:24" s="1" customFormat="1" ht="13.05" customHeight="1" x14ac:dyDescent="0.3">
      <c r="A1541" s="24" t="s">
        <v>23</v>
      </c>
      <c r="B1541" s="24" t="s">
        <v>1217</v>
      </c>
      <c r="C1541" s="12" t="s">
        <v>1218</v>
      </c>
      <c r="D1541" s="58"/>
      <c r="E1541" s="43" t="str">
        <f t="shared" si="97"/>
        <v>Еще фото</v>
      </c>
      <c r="F1541" s="14" t="s">
        <v>182</v>
      </c>
      <c r="G1541" s="24" t="s">
        <v>237</v>
      </c>
      <c r="H1541" s="24" t="s">
        <v>27</v>
      </c>
      <c r="I1541" s="24" t="s">
        <v>237</v>
      </c>
      <c r="J1541" s="15" t="s">
        <v>28</v>
      </c>
      <c r="K1541" s="16" t="s">
        <v>29</v>
      </c>
      <c r="L1541" s="61"/>
      <c r="M1541" s="15"/>
      <c r="N1541" s="15" t="s">
        <v>130</v>
      </c>
      <c r="O1541" s="15"/>
      <c r="P1541" s="16" t="s">
        <v>254</v>
      </c>
      <c r="Q1541" s="17">
        <v>17199</v>
      </c>
      <c r="R1541" s="18">
        <v>45</v>
      </c>
      <c r="S1541" s="19">
        <v>10878.3675</v>
      </c>
      <c r="T1541" s="20" t="s">
        <v>75</v>
      </c>
      <c r="U1541" s="21" t="s">
        <v>230</v>
      </c>
      <c r="V1541" s="22">
        <v>46</v>
      </c>
      <c r="W1541" s="22">
        <v>6</v>
      </c>
      <c r="X1541" s="23"/>
    </row>
    <row r="1542" spans="1:24" s="1" customFormat="1" ht="13.05" customHeight="1" x14ac:dyDescent="0.3">
      <c r="A1542" s="24" t="s">
        <v>23</v>
      </c>
      <c r="B1542" s="24" t="s">
        <v>1217</v>
      </c>
      <c r="C1542" s="12" t="s">
        <v>1218</v>
      </c>
      <c r="D1542" s="58"/>
      <c r="E1542" s="43" t="str">
        <f t="shared" si="97"/>
        <v>Еще фото</v>
      </c>
      <c r="F1542" s="14" t="s">
        <v>182</v>
      </c>
      <c r="G1542" s="24" t="s">
        <v>237</v>
      </c>
      <c r="H1542" s="24" t="s">
        <v>27</v>
      </c>
      <c r="I1542" s="24" t="s">
        <v>237</v>
      </c>
      <c r="J1542" s="15" t="s">
        <v>28</v>
      </c>
      <c r="K1542" s="16" t="s">
        <v>29</v>
      </c>
      <c r="L1542" s="61"/>
      <c r="M1542" s="15"/>
      <c r="N1542" s="15" t="s">
        <v>130</v>
      </c>
      <c r="O1542" s="15"/>
      <c r="P1542" s="16" t="s">
        <v>254</v>
      </c>
      <c r="Q1542" s="17">
        <v>17199</v>
      </c>
      <c r="R1542" s="18">
        <v>45</v>
      </c>
      <c r="S1542" s="19">
        <v>10878.3675</v>
      </c>
      <c r="T1542" s="20" t="s">
        <v>75</v>
      </c>
      <c r="U1542" s="21" t="s">
        <v>450</v>
      </c>
      <c r="V1542" s="22">
        <v>48</v>
      </c>
      <c r="W1542" s="22">
        <v>18</v>
      </c>
      <c r="X1542" s="23"/>
    </row>
    <row r="1543" spans="1:24" s="1" customFormat="1" ht="18" customHeight="1" x14ac:dyDescent="0.3">
      <c r="A1543" s="24" t="s">
        <v>23</v>
      </c>
      <c r="B1543" s="24" t="s">
        <v>1217</v>
      </c>
      <c r="C1543" s="12" t="s">
        <v>1218</v>
      </c>
      <c r="D1543" s="59"/>
      <c r="E1543" s="43" t="str">
        <f t="shared" si="97"/>
        <v>Еще фото</v>
      </c>
      <c r="F1543" s="14" t="s">
        <v>182</v>
      </c>
      <c r="G1543" s="24" t="s">
        <v>237</v>
      </c>
      <c r="H1543" s="24" t="s">
        <v>27</v>
      </c>
      <c r="I1543" s="24" t="s">
        <v>237</v>
      </c>
      <c r="J1543" s="15" t="s">
        <v>28</v>
      </c>
      <c r="K1543" s="16" t="s">
        <v>29</v>
      </c>
      <c r="L1543" s="62"/>
      <c r="M1543" s="15"/>
      <c r="N1543" s="15" t="s">
        <v>130</v>
      </c>
      <c r="O1543" s="15"/>
      <c r="P1543" s="16" t="s">
        <v>254</v>
      </c>
      <c r="Q1543" s="17">
        <v>17199</v>
      </c>
      <c r="R1543" s="18">
        <v>45</v>
      </c>
      <c r="S1543" s="19">
        <v>10878.3675</v>
      </c>
      <c r="T1543" s="20" t="s">
        <v>75</v>
      </c>
      <c r="U1543" s="21" t="s">
        <v>52</v>
      </c>
      <c r="V1543" s="22">
        <v>48</v>
      </c>
      <c r="W1543" s="22">
        <v>6</v>
      </c>
      <c r="X1543" s="23"/>
    </row>
    <row r="1544" spans="1:24" s="1" customFormat="1" ht="11" customHeight="1" x14ac:dyDescent="0.3">
      <c r="A1544" s="11" t="s">
        <v>23</v>
      </c>
      <c r="B1544" s="11" t="s">
        <v>1220</v>
      </c>
      <c r="C1544" s="12" t="s">
        <v>1221</v>
      </c>
      <c r="D1544" s="57"/>
      <c r="E1544" s="43" t="str">
        <f t="shared" ref="E1544:E1554" si="98">HYPERLINK("https://www.google.ru/search?q=47501-0225&amp;newwindow=1&amp;tbm=isch","Еще фото")</f>
        <v>Еще фото</v>
      </c>
      <c r="F1544" s="34" t="s">
        <v>469</v>
      </c>
      <c r="G1544" s="11" t="s">
        <v>237</v>
      </c>
      <c r="H1544" s="11" t="s">
        <v>27</v>
      </c>
      <c r="I1544" s="15" t="s">
        <v>237</v>
      </c>
      <c r="J1544" s="15" t="s">
        <v>37</v>
      </c>
      <c r="K1544" s="16" t="s">
        <v>57</v>
      </c>
      <c r="L1544" s="60" t="s">
        <v>1222</v>
      </c>
      <c r="M1544" s="15"/>
      <c r="N1544" s="15" t="s">
        <v>130</v>
      </c>
      <c r="O1544" s="15"/>
      <c r="P1544" s="16" t="s">
        <v>1223</v>
      </c>
      <c r="Q1544" s="17">
        <v>43399</v>
      </c>
      <c r="R1544" s="18">
        <v>45</v>
      </c>
      <c r="S1544" s="19">
        <v>27449.8675</v>
      </c>
      <c r="T1544" s="20" t="s">
        <v>75</v>
      </c>
      <c r="U1544" s="21" t="s">
        <v>173</v>
      </c>
      <c r="V1544" s="25" t="s">
        <v>63</v>
      </c>
      <c r="W1544" s="22">
        <v>16</v>
      </c>
      <c r="X1544" s="23"/>
    </row>
    <row r="1545" spans="1:24" s="1" customFormat="1" ht="11" customHeight="1" x14ac:dyDescent="0.3">
      <c r="A1545" s="24" t="s">
        <v>23</v>
      </c>
      <c r="B1545" s="24" t="s">
        <v>1220</v>
      </c>
      <c r="C1545" s="12" t="s">
        <v>1221</v>
      </c>
      <c r="D1545" s="58"/>
      <c r="E1545" s="43" t="str">
        <f t="shared" si="98"/>
        <v>Еще фото</v>
      </c>
      <c r="F1545" s="34" t="s">
        <v>469</v>
      </c>
      <c r="G1545" s="24" t="s">
        <v>237</v>
      </c>
      <c r="H1545" s="24" t="s">
        <v>27</v>
      </c>
      <c r="I1545" s="24" t="s">
        <v>237</v>
      </c>
      <c r="J1545" s="15" t="s">
        <v>37</v>
      </c>
      <c r="K1545" s="16" t="s">
        <v>57</v>
      </c>
      <c r="L1545" s="61"/>
      <c r="M1545" s="15"/>
      <c r="N1545" s="15" t="s">
        <v>130</v>
      </c>
      <c r="O1545" s="15"/>
      <c r="P1545" s="16" t="s">
        <v>1223</v>
      </c>
      <c r="Q1545" s="17">
        <v>43399</v>
      </c>
      <c r="R1545" s="18">
        <v>45</v>
      </c>
      <c r="S1545" s="19">
        <v>27449.8675</v>
      </c>
      <c r="T1545" s="20" t="s">
        <v>75</v>
      </c>
      <c r="U1545" s="21" t="s">
        <v>53</v>
      </c>
      <c r="V1545" s="22">
        <v>46</v>
      </c>
      <c r="W1545" s="22">
        <v>24</v>
      </c>
      <c r="X1545" s="23"/>
    </row>
    <row r="1546" spans="1:24" s="1" customFormat="1" ht="11" customHeight="1" x14ac:dyDescent="0.3">
      <c r="A1546" s="24" t="s">
        <v>23</v>
      </c>
      <c r="B1546" s="24" t="s">
        <v>1220</v>
      </c>
      <c r="C1546" s="12" t="s">
        <v>1221</v>
      </c>
      <c r="D1546" s="58"/>
      <c r="E1546" s="43" t="str">
        <f t="shared" si="98"/>
        <v>Еще фото</v>
      </c>
      <c r="F1546" s="34" t="s">
        <v>469</v>
      </c>
      <c r="G1546" s="24" t="s">
        <v>237</v>
      </c>
      <c r="H1546" s="24" t="s">
        <v>27</v>
      </c>
      <c r="I1546" s="24" t="s">
        <v>237</v>
      </c>
      <c r="J1546" s="15" t="s">
        <v>37</v>
      </c>
      <c r="K1546" s="16" t="s">
        <v>57</v>
      </c>
      <c r="L1546" s="61"/>
      <c r="M1546" s="15"/>
      <c r="N1546" s="15" t="s">
        <v>130</v>
      </c>
      <c r="O1546" s="15"/>
      <c r="P1546" s="16" t="s">
        <v>1223</v>
      </c>
      <c r="Q1546" s="17">
        <v>43399</v>
      </c>
      <c r="R1546" s="18">
        <v>45</v>
      </c>
      <c r="S1546" s="19">
        <v>27449.8675</v>
      </c>
      <c r="T1546" s="20" t="s">
        <v>75</v>
      </c>
      <c r="U1546" s="21" t="s">
        <v>109</v>
      </c>
      <c r="V1546" s="25" t="s">
        <v>65</v>
      </c>
      <c r="W1546" s="22">
        <v>33</v>
      </c>
      <c r="X1546" s="23"/>
    </row>
    <row r="1547" spans="1:24" s="1" customFormat="1" ht="11" customHeight="1" x14ac:dyDescent="0.3">
      <c r="A1547" s="24" t="s">
        <v>23</v>
      </c>
      <c r="B1547" s="24" t="s">
        <v>1220</v>
      </c>
      <c r="C1547" s="12" t="s">
        <v>1221</v>
      </c>
      <c r="D1547" s="58"/>
      <c r="E1547" s="43" t="str">
        <f t="shared" si="98"/>
        <v>Еще фото</v>
      </c>
      <c r="F1547" s="34" t="s">
        <v>469</v>
      </c>
      <c r="G1547" s="24" t="s">
        <v>237</v>
      </c>
      <c r="H1547" s="24" t="s">
        <v>27</v>
      </c>
      <c r="I1547" s="24" t="s">
        <v>237</v>
      </c>
      <c r="J1547" s="15" t="s">
        <v>37</v>
      </c>
      <c r="K1547" s="16" t="s">
        <v>57</v>
      </c>
      <c r="L1547" s="61"/>
      <c r="M1547" s="15"/>
      <c r="N1547" s="15" t="s">
        <v>130</v>
      </c>
      <c r="O1547" s="15"/>
      <c r="P1547" s="16" t="s">
        <v>1223</v>
      </c>
      <c r="Q1547" s="17">
        <v>43399</v>
      </c>
      <c r="R1547" s="18">
        <v>45</v>
      </c>
      <c r="S1547" s="19">
        <v>27449.8675</v>
      </c>
      <c r="T1547" s="20" t="s">
        <v>75</v>
      </c>
      <c r="U1547" s="21" t="s">
        <v>165</v>
      </c>
      <c r="V1547" s="22">
        <v>48</v>
      </c>
      <c r="W1547" s="22">
        <v>35</v>
      </c>
      <c r="X1547" s="23"/>
    </row>
    <row r="1548" spans="1:24" s="1" customFormat="1" ht="11" customHeight="1" x14ac:dyDescent="0.3">
      <c r="A1548" s="24" t="s">
        <v>23</v>
      </c>
      <c r="B1548" s="24" t="s">
        <v>1220</v>
      </c>
      <c r="C1548" s="12" t="s">
        <v>1221</v>
      </c>
      <c r="D1548" s="58"/>
      <c r="E1548" s="43" t="str">
        <f t="shared" si="98"/>
        <v>Еще фото</v>
      </c>
      <c r="F1548" s="34" t="s">
        <v>469</v>
      </c>
      <c r="G1548" s="24" t="s">
        <v>237</v>
      </c>
      <c r="H1548" s="24" t="s">
        <v>27</v>
      </c>
      <c r="I1548" s="24" t="s">
        <v>237</v>
      </c>
      <c r="J1548" s="15" t="s">
        <v>37</v>
      </c>
      <c r="K1548" s="16" t="s">
        <v>57</v>
      </c>
      <c r="L1548" s="61"/>
      <c r="M1548" s="15"/>
      <c r="N1548" s="15" t="s">
        <v>130</v>
      </c>
      <c r="O1548" s="15"/>
      <c r="P1548" s="16" t="s">
        <v>1223</v>
      </c>
      <c r="Q1548" s="17">
        <v>43399</v>
      </c>
      <c r="R1548" s="18">
        <v>45</v>
      </c>
      <c r="S1548" s="19">
        <v>27449.8675</v>
      </c>
      <c r="T1548" s="20" t="s">
        <v>75</v>
      </c>
      <c r="U1548" s="21" t="s">
        <v>104</v>
      </c>
      <c r="V1548" s="22">
        <v>48</v>
      </c>
      <c r="W1548" s="22">
        <v>6</v>
      </c>
      <c r="X1548" s="23"/>
    </row>
    <row r="1549" spans="1:24" s="1" customFormat="1" ht="11" customHeight="1" x14ac:dyDescent="0.3">
      <c r="A1549" s="24" t="s">
        <v>23</v>
      </c>
      <c r="B1549" s="24" t="s">
        <v>1220</v>
      </c>
      <c r="C1549" s="12" t="s">
        <v>1221</v>
      </c>
      <c r="D1549" s="58"/>
      <c r="E1549" s="43" t="str">
        <f t="shared" si="98"/>
        <v>Еще фото</v>
      </c>
      <c r="F1549" s="34" t="s">
        <v>469</v>
      </c>
      <c r="G1549" s="24" t="s">
        <v>237</v>
      </c>
      <c r="H1549" s="24" t="s">
        <v>27</v>
      </c>
      <c r="I1549" s="24" t="s">
        <v>237</v>
      </c>
      <c r="J1549" s="15" t="s">
        <v>37</v>
      </c>
      <c r="K1549" s="16" t="s">
        <v>57</v>
      </c>
      <c r="L1549" s="61"/>
      <c r="M1549" s="15"/>
      <c r="N1549" s="15" t="s">
        <v>130</v>
      </c>
      <c r="O1549" s="15"/>
      <c r="P1549" s="16" t="s">
        <v>1223</v>
      </c>
      <c r="Q1549" s="17">
        <v>43399</v>
      </c>
      <c r="R1549" s="18">
        <v>45</v>
      </c>
      <c r="S1549" s="19">
        <v>27449.8675</v>
      </c>
      <c r="T1549" s="20" t="s">
        <v>75</v>
      </c>
      <c r="U1549" s="21" t="s">
        <v>166</v>
      </c>
      <c r="V1549" s="25" t="s">
        <v>96</v>
      </c>
      <c r="W1549" s="22">
        <v>32</v>
      </c>
      <c r="X1549" s="23"/>
    </row>
    <row r="1550" spans="1:24" s="1" customFormat="1" ht="11" customHeight="1" x14ac:dyDescent="0.3">
      <c r="A1550" s="24" t="s">
        <v>23</v>
      </c>
      <c r="B1550" s="24" t="s">
        <v>1220</v>
      </c>
      <c r="C1550" s="12" t="s">
        <v>1221</v>
      </c>
      <c r="D1550" s="58"/>
      <c r="E1550" s="43" t="str">
        <f t="shared" si="98"/>
        <v>Еще фото</v>
      </c>
      <c r="F1550" s="34" t="s">
        <v>469</v>
      </c>
      <c r="G1550" s="24" t="s">
        <v>237</v>
      </c>
      <c r="H1550" s="24" t="s">
        <v>27</v>
      </c>
      <c r="I1550" s="24" t="s">
        <v>237</v>
      </c>
      <c r="J1550" s="15" t="s">
        <v>37</v>
      </c>
      <c r="K1550" s="16" t="s">
        <v>57</v>
      </c>
      <c r="L1550" s="61"/>
      <c r="M1550" s="15"/>
      <c r="N1550" s="15" t="s">
        <v>130</v>
      </c>
      <c r="O1550" s="15"/>
      <c r="P1550" s="16" t="s">
        <v>1223</v>
      </c>
      <c r="Q1550" s="17">
        <v>43399</v>
      </c>
      <c r="R1550" s="18">
        <v>45</v>
      </c>
      <c r="S1550" s="19">
        <v>27449.8675</v>
      </c>
      <c r="T1550" s="20" t="s">
        <v>75</v>
      </c>
      <c r="U1550" s="21" t="s">
        <v>359</v>
      </c>
      <c r="V1550" s="25" t="s">
        <v>96</v>
      </c>
      <c r="W1550" s="22">
        <v>16</v>
      </c>
      <c r="X1550" s="23"/>
    </row>
    <row r="1551" spans="1:24" s="1" customFormat="1" ht="11" customHeight="1" x14ac:dyDescent="0.3">
      <c r="A1551" s="24" t="s">
        <v>23</v>
      </c>
      <c r="B1551" s="24" t="s">
        <v>1220</v>
      </c>
      <c r="C1551" s="12" t="s">
        <v>1221</v>
      </c>
      <c r="D1551" s="58"/>
      <c r="E1551" s="43" t="str">
        <f t="shared" si="98"/>
        <v>Еще фото</v>
      </c>
      <c r="F1551" s="34" t="s">
        <v>469</v>
      </c>
      <c r="G1551" s="24" t="s">
        <v>237</v>
      </c>
      <c r="H1551" s="24" t="s">
        <v>27</v>
      </c>
      <c r="I1551" s="24" t="s">
        <v>237</v>
      </c>
      <c r="J1551" s="15" t="s">
        <v>37</v>
      </c>
      <c r="K1551" s="16" t="s">
        <v>57</v>
      </c>
      <c r="L1551" s="61"/>
      <c r="M1551" s="15"/>
      <c r="N1551" s="15" t="s">
        <v>130</v>
      </c>
      <c r="O1551" s="15"/>
      <c r="P1551" s="16" t="s">
        <v>1223</v>
      </c>
      <c r="Q1551" s="17">
        <v>43399</v>
      </c>
      <c r="R1551" s="18">
        <v>45</v>
      </c>
      <c r="S1551" s="19">
        <v>27449.8675</v>
      </c>
      <c r="T1551" s="20" t="s">
        <v>75</v>
      </c>
      <c r="U1551" s="21" t="s">
        <v>89</v>
      </c>
      <c r="V1551" s="22">
        <v>50</v>
      </c>
      <c r="W1551" s="22">
        <v>35</v>
      </c>
      <c r="X1551" s="23"/>
    </row>
    <row r="1552" spans="1:24" s="1" customFormat="1" ht="11" customHeight="1" x14ac:dyDescent="0.3">
      <c r="A1552" s="24" t="s">
        <v>23</v>
      </c>
      <c r="B1552" s="24" t="s">
        <v>1220</v>
      </c>
      <c r="C1552" s="12" t="s">
        <v>1221</v>
      </c>
      <c r="D1552" s="58"/>
      <c r="E1552" s="43" t="str">
        <f t="shared" si="98"/>
        <v>Еще фото</v>
      </c>
      <c r="F1552" s="34" t="s">
        <v>469</v>
      </c>
      <c r="G1552" s="24" t="s">
        <v>237</v>
      </c>
      <c r="H1552" s="24" t="s">
        <v>27</v>
      </c>
      <c r="I1552" s="24" t="s">
        <v>237</v>
      </c>
      <c r="J1552" s="15" t="s">
        <v>37</v>
      </c>
      <c r="K1552" s="16" t="s">
        <v>57</v>
      </c>
      <c r="L1552" s="61"/>
      <c r="M1552" s="15"/>
      <c r="N1552" s="15" t="s">
        <v>130</v>
      </c>
      <c r="O1552" s="15"/>
      <c r="P1552" s="16" t="s">
        <v>1223</v>
      </c>
      <c r="Q1552" s="17">
        <v>43399</v>
      </c>
      <c r="R1552" s="18">
        <v>45</v>
      </c>
      <c r="S1552" s="19">
        <v>27449.8675</v>
      </c>
      <c r="T1552" s="20" t="s">
        <v>75</v>
      </c>
      <c r="U1552" s="21" t="s">
        <v>100</v>
      </c>
      <c r="V1552" s="22">
        <v>50</v>
      </c>
      <c r="W1552" s="22">
        <v>17</v>
      </c>
      <c r="X1552" s="23"/>
    </row>
    <row r="1553" spans="1:24" s="1" customFormat="1" ht="11" customHeight="1" x14ac:dyDescent="0.3">
      <c r="A1553" s="15" t="s">
        <v>23</v>
      </c>
      <c r="B1553" s="15" t="s">
        <v>1220</v>
      </c>
      <c r="C1553" s="12" t="s">
        <v>1221</v>
      </c>
      <c r="D1553" s="58"/>
      <c r="E1553" s="43" t="str">
        <f t="shared" si="98"/>
        <v>Еще фото</v>
      </c>
      <c r="F1553" s="35" t="s">
        <v>469</v>
      </c>
      <c r="G1553" s="15" t="s">
        <v>237</v>
      </c>
      <c r="H1553" s="15" t="s">
        <v>27</v>
      </c>
      <c r="I1553" s="15" t="s">
        <v>237</v>
      </c>
      <c r="J1553" s="15" t="s">
        <v>37</v>
      </c>
      <c r="K1553" s="15" t="s">
        <v>57</v>
      </c>
      <c r="L1553" s="61"/>
      <c r="M1553" s="15"/>
      <c r="N1553" s="15" t="s">
        <v>130</v>
      </c>
      <c r="O1553" s="15"/>
      <c r="P1553" s="15" t="s">
        <v>1223</v>
      </c>
      <c r="Q1553" s="27">
        <v>43399</v>
      </c>
      <c r="R1553" s="28">
        <v>45</v>
      </c>
      <c r="S1553" s="29">
        <v>27449.8675</v>
      </c>
      <c r="T1553" s="20" t="s">
        <v>75</v>
      </c>
      <c r="U1553" s="21" t="s">
        <v>167</v>
      </c>
      <c r="V1553" s="22">
        <v>52</v>
      </c>
      <c r="W1553" s="22">
        <v>25</v>
      </c>
      <c r="X1553" s="23"/>
    </row>
    <row r="1554" spans="1:24" s="1" customFormat="1" ht="11" customHeight="1" x14ac:dyDescent="0.3">
      <c r="A1554" s="15" t="s">
        <v>23</v>
      </c>
      <c r="B1554" s="15" t="s">
        <v>1220</v>
      </c>
      <c r="C1554" s="12" t="s">
        <v>1221</v>
      </c>
      <c r="D1554" s="59"/>
      <c r="E1554" s="43" t="str">
        <f t="shared" si="98"/>
        <v>Еще фото</v>
      </c>
      <c r="F1554" s="35" t="s">
        <v>469</v>
      </c>
      <c r="G1554" s="15" t="s">
        <v>237</v>
      </c>
      <c r="H1554" s="15" t="s">
        <v>27</v>
      </c>
      <c r="I1554" s="15" t="s">
        <v>237</v>
      </c>
      <c r="J1554" s="15" t="s">
        <v>37</v>
      </c>
      <c r="K1554" s="15" t="s">
        <v>57</v>
      </c>
      <c r="L1554" s="62"/>
      <c r="M1554" s="15"/>
      <c r="N1554" s="15" t="s">
        <v>130</v>
      </c>
      <c r="O1554" s="15"/>
      <c r="P1554" s="15" t="s">
        <v>1223</v>
      </c>
      <c r="Q1554" s="27">
        <v>43399</v>
      </c>
      <c r="R1554" s="28">
        <v>45</v>
      </c>
      <c r="S1554" s="29">
        <v>27449.8675</v>
      </c>
      <c r="T1554" s="20" t="s">
        <v>75</v>
      </c>
      <c r="U1554" s="21" t="s">
        <v>168</v>
      </c>
      <c r="V1554" s="22">
        <v>52</v>
      </c>
      <c r="W1554" s="22">
        <v>6</v>
      </c>
      <c r="X1554" s="23"/>
    </row>
    <row r="1555" spans="1:24" s="1" customFormat="1" ht="35" customHeight="1" x14ac:dyDescent="0.3">
      <c r="A1555" s="11" t="s">
        <v>23</v>
      </c>
      <c r="B1555" s="11" t="s">
        <v>1224</v>
      </c>
      <c r="C1555" s="12" t="s">
        <v>1225</v>
      </c>
      <c r="D1555" s="57"/>
      <c r="E1555" s="43" t="str">
        <f>HYPERLINK("https://www.google.ru/search?q=59684-0168&amp;newwindow=1&amp;tbm=isch","Еще фото")</f>
        <v>Еще фото</v>
      </c>
      <c r="F1555" s="14" t="s">
        <v>182</v>
      </c>
      <c r="G1555" s="11" t="s">
        <v>237</v>
      </c>
      <c r="H1555" s="11" t="s">
        <v>27</v>
      </c>
      <c r="I1555" s="15" t="s">
        <v>237</v>
      </c>
      <c r="J1555" s="15" t="s">
        <v>37</v>
      </c>
      <c r="K1555" s="16" t="s">
        <v>57</v>
      </c>
      <c r="L1555" s="60" t="s">
        <v>1226</v>
      </c>
      <c r="M1555" s="15"/>
      <c r="N1555" s="15" t="s">
        <v>130</v>
      </c>
      <c r="O1555" s="15"/>
      <c r="P1555" s="16" t="s">
        <v>254</v>
      </c>
      <c r="Q1555" s="17">
        <v>17499</v>
      </c>
      <c r="R1555" s="18">
        <v>45</v>
      </c>
      <c r="S1555" s="19">
        <v>11068.1175</v>
      </c>
      <c r="T1555" s="20" t="s">
        <v>75</v>
      </c>
      <c r="U1555" s="21" t="s">
        <v>1044</v>
      </c>
      <c r="V1555" s="22">
        <v>52</v>
      </c>
      <c r="W1555" s="22">
        <v>4</v>
      </c>
      <c r="X1555" s="23"/>
    </row>
    <row r="1556" spans="1:24" s="1" customFormat="1" ht="35" customHeight="1" x14ac:dyDescent="0.3">
      <c r="A1556" s="24" t="s">
        <v>23</v>
      </c>
      <c r="B1556" s="24" t="s">
        <v>1224</v>
      </c>
      <c r="C1556" s="12" t="s">
        <v>1225</v>
      </c>
      <c r="D1556" s="58"/>
      <c r="E1556" s="43" t="str">
        <f>HYPERLINK("https://www.google.ru/search?q=59684-0168&amp;newwindow=1&amp;tbm=isch","Еще фото")</f>
        <v>Еще фото</v>
      </c>
      <c r="F1556" s="14" t="s">
        <v>182</v>
      </c>
      <c r="G1556" s="24" t="s">
        <v>237</v>
      </c>
      <c r="H1556" s="24" t="s">
        <v>27</v>
      </c>
      <c r="I1556" s="24" t="s">
        <v>237</v>
      </c>
      <c r="J1556" s="15" t="s">
        <v>37</v>
      </c>
      <c r="K1556" s="16" t="s">
        <v>57</v>
      </c>
      <c r="L1556" s="61"/>
      <c r="M1556" s="15"/>
      <c r="N1556" s="15" t="s">
        <v>130</v>
      </c>
      <c r="O1556" s="15"/>
      <c r="P1556" s="16" t="s">
        <v>254</v>
      </c>
      <c r="Q1556" s="17">
        <v>17499</v>
      </c>
      <c r="R1556" s="18">
        <v>45</v>
      </c>
      <c r="S1556" s="19">
        <v>11068.1175</v>
      </c>
      <c r="T1556" s="20" t="s">
        <v>75</v>
      </c>
      <c r="U1556" s="21" t="s">
        <v>1047</v>
      </c>
      <c r="V1556" s="25" t="s">
        <v>1040</v>
      </c>
      <c r="W1556" s="22">
        <v>3</v>
      </c>
      <c r="X1556" s="23"/>
    </row>
    <row r="1557" spans="1:24" s="1" customFormat="1" ht="37.049999999999997" customHeight="1" x14ac:dyDescent="0.3">
      <c r="A1557" s="24" t="s">
        <v>23</v>
      </c>
      <c r="B1557" s="24" t="s">
        <v>1224</v>
      </c>
      <c r="C1557" s="12" t="s">
        <v>1225</v>
      </c>
      <c r="D1557" s="59"/>
      <c r="E1557" s="43" t="str">
        <f>HYPERLINK("https://www.google.ru/search?q=59684-0168&amp;newwindow=1&amp;tbm=isch","Еще фото")</f>
        <v>Еще фото</v>
      </c>
      <c r="F1557" s="14" t="s">
        <v>182</v>
      </c>
      <c r="G1557" s="24" t="s">
        <v>237</v>
      </c>
      <c r="H1557" s="24" t="s">
        <v>27</v>
      </c>
      <c r="I1557" s="24" t="s">
        <v>237</v>
      </c>
      <c r="J1557" s="15" t="s">
        <v>37</v>
      </c>
      <c r="K1557" s="16" t="s">
        <v>57</v>
      </c>
      <c r="L1557" s="62"/>
      <c r="M1557" s="15"/>
      <c r="N1557" s="15" t="s">
        <v>130</v>
      </c>
      <c r="O1557" s="15"/>
      <c r="P1557" s="16" t="s">
        <v>254</v>
      </c>
      <c r="Q1557" s="17">
        <v>17499</v>
      </c>
      <c r="R1557" s="18">
        <v>45</v>
      </c>
      <c r="S1557" s="19">
        <v>11068.1175</v>
      </c>
      <c r="T1557" s="20" t="s">
        <v>75</v>
      </c>
      <c r="U1557" s="21" t="s">
        <v>1041</v>
      </c>
      <c r="V1557" s="25" t="s">
        <v>1042</v>
      </c>
      <c r="W1557" s="22">
        <v>3</v>
      </c>
      <c r="X1557" s="23"/>
    </row>
    <row r="1558" spans="1:24" s="1" customFormat="1" ht="35" customHeight="1" x14ac:dyDescent="0.3">
      <c r="A1558" s="11" t="s">
        <v>23</v>
      </c>
      <c r="B1558" s="11" t="s">
        <v>1224</v>
      </c>
      <c r="C1558" s="12" t="s">
        <v>1227</v>
      </c>
      <c r="D1558" s="57"/>
      <c r="E1558" s="43" t="str">
        <f>HYPERLINK("https://www.google.ru/search?q=59684-0171&amp;newwindow=1&amp;tbm=isch","Еще фото")</f>
        <v>Еще фото</v>
      </c>
      <c r="F1558" s="14"/>
      <c r="G1558" s="11" t="s">
        <v>237</v>
      </c>
      <c r="H1558" s="11" t="s">
        <v>27</v>
      </c>
      <c r="I1558" s="15" t="s">
        <v>237</v>
      </c>
      <c r="J1558" s="15" t="s">
        <v>37</v>
      </c>
      <c r="K1558" s="16" t="s">
        <v>57</v>
      </c>
      <c r="L1558" s="60" t="s">
        <v>1226</v>
      </c>
      <c r="M1558" s="15"/>
      <c r="N1558" s="15" t="s">
        <v>130</v>
      </c>
      <c r="O1558" s="15"/>
      <c r="P1558" s="16" t="s">
        <v>1035</v>
      </c>
      <c r="Q1558" s="17">
        <v>17399</v>
      </c>
      <c r="R1558" s="18">
        <v>45</v>
      </c>
      <c r="S1558" s="19">
        <v>11004.8675</v>
      </c>
      <c r="T1558" s="20" t="s">
        <v>75</v>
      </c>
      <c r="U1558" s="21" t="s">
        <v>1044</v>
      </c>
      <c r="V1558" s="22">
        <v>52</v>
      </c>
      <c r="W1558" s="22">
        <v>1</v>
      </c>
      <c r="X1558" s="23"/>
    </row>
    <row r="1559" spans="1:24" s="1" customFormat="1" ht="35" customHeight="1" x14ac:dyDescent="0.3">
      <c r="A1559" s="24" t="s">
        <v>23</v>
      </c>
      <c r="B1559" s="24" t="s">
        <v>1224</v>
      </c>
      <c r="C1559" s="12" t="s">
        <v>1227</v>
      </c>
      <c r="D1559" s="58"/>
      <c r="E1559" s="43" t="str">
        <f>HYPERLINK("https://www.google.ru/search?q=59684-0171&amp;newwindow=1&amp;tbm=isch","Еще фото")</f>
        <v>Еще фото</v>
      </c>
      <c r="F1559" s="14"/>
      <c r="G1559" s="24" t="s">
        <v>237</v>
      </c>
      <c r="H1559" s="24" t="s">
        <v>27</v>
      </c>
      <c r="I1559" s="24" t="s">
        <v>237</v>
      </c>
      <c r="J1559" s="15" t="s">
        <v>37</v>
      </c>
      <c r="K1559" s="16" t="s">
        <v>57</v>
      </c>
      <c r="L1559" s="61"/>
      <c r="M1559" s="15"/>
      <c r="N1559" s="15" t="s">
        <v>130</v>
      </c>
      <c r="O1559" s="15"/>
      <c r="P1559" s="16" t="s">
        <v>1035</v>
      </c>
      <c r="Q1559" s="17">
        <v>17399</v>
      </c>
      <c r="R1559" s="18">
        <v>45</v>
      </c>
      <c r="S1559" s="19">
        <v>11004.8675</v>
      </c>
      <c r="T1559" s="20" t="s">
        <v>75</v>
      </c>
      <c r="U1559" s="21" t="s">
        <v>1045</v>
      </c>
      <c r="V1559" s="22">
        <v>54</v>
      </c>
      <c r="W1559" s="22">
        <v>2</v>
      </c>
      <c r="X1559" s="23"/>
    </row>
    <row r="1560" spans="1:24" s="1" customFormat="1" ht="37.049999999999997" customHeight="1" x14ac:dyDescent="0.3">
      <c r="A1560" s="24" t="s">
        <v>23</v>
      </c>
      <c r="B1560" s="24" t="s">
        <v>1224</v>
      </c>
      <c r="C1560" s="12" t="s">
        <v>1227</v>
      </c>
      <c r="D1560" s="59"/>
      <c r="E1560" s="43" t="str">
        <f>HYPERLINK("https://www.google.ru/search?q=59684-0171&amp;newwindow=1&amp;tbm=isch","Еще фото")</f>
        <v>Еще фото</v>
      </c>
      <c r="F1560" s="14"/>
      <c r="G1560" s="24" t="s">
        <v>237</v>
      </c>
      <c r="H1560" s="24" t="s">
        <v>27</v>
      </c>
      <c r="I1560" s="24" t="s">
        <v>237</v>
      </c>
      <c r="J1560" s="15" t="s">
        <v>37</v>
      </c>
      <c r="K1560" s="16" t="s">
        <v>57</v>
      </c>
      <c r="L1560" s="62"/>
      <c r="M1560" s="15"/>
      <c r="N1560" s="15" t="s">
        <v>130</v>
      </c>
      <c r="O1560" s="15"/>
      <c r="P1560" s="16" t="s">
        <v>1035</v>
      </c>
      <c r="Q1560" s="17">
        <v>17399</v>
      </c>
      <c r="R1560" s="18">
        <v>45</v>
      </c>
      <c r="S1560" s="19">
        <v>11004.8675</v>
      </c>
      <c r="T1560" s="20" t="s">
        <v>75</v>
      </c>
      <c r="U1560" s="21" t="s">
        <v>1047</v>
      </c>
      <c r="V1560" s="25" t="s">
        <v>1040</v>
      </c>
      <c r="W1560" s="22">
        <v>7</v>
      </c>
      <c r="X1560" s="23"/>
    </row>
    <row r="1561" spans="1:24" s="1" customFormat="1" ht="13.05" customHeight="1" x14ac:dyDescent="0.3">
      <c r="A1561" s="11" t="s">
        <v>23</v>
      </c>
      <c r="B1561" s="11" t="s">
        <v>1224</v>
      </c>
      <c r="C1561" s="12" t="s">
        <v>1228</v>
      </c>
      <c r="D1561" s="57"/>
      <c r="E1561" s="43" t="str">
        <f t="shared" ref="E1561:E1568" si="99">HYPERLINK("https://www.google.ru/search?q=59684-0172&amp;newwindow=1&amp;tbm=isch","Еще фото")</f>
        <v>Еще фото</v>
      </c>
      <c r="F1561" s="34" t="s">
        <v>469</v>
      </c>
      <c r="G1561" s="11" t="s">
        <v>237</v>
      </c>
      <c r="H1561" s="11" t="s">
        <v>27</v>
      </c>
      <c r="I1561" s="15" t="s">
        <v>237</v>
      </c>
      <c r="J1561" s="15" t="s">
        <v>37</v>
      </c>
      <c r="K1561" s="16" t="s">
        <v>57</v>
      </c>
      <c r="L1561" s="60"/>
      <c r="M1561" s="15"/>
      <c r="N1561" s="15" t="s">
        <v>130</v>
      </c>
      <c r="O1561" s="15"/>
      <c r="P1561" s="16" t="s">
        <v>1035</v>
      </c>
      <c r="Q1561" s="17">
        <v>18899</v>
      </c>
      <c r="R1561" s="18">
        <v>45</v>
      </c>
      <c r="S1561" s="19">
        <v>11953.6175</v>
      </c>
      <c r="T1561" s="20" t="s">
        <v>75</v>
      </c>
      <c r="U1561" s="33" t="s">
        <v>1044</v>
      </c>
      <c r="V1561" s="22">
        <v>52</v>
      </c>
      <c r="W1561" s="22">
        <v>11</v>
      </c>
      <c r="X1561" s="23"/>
    </row>
    <row r="1562" spans="1:24" s="1" customFormat="1" ht="13.05" customHeight="1" x14ac:dyDescent="0.3">
      <c r="A1562" s="24" t="s">
        <v>23</v>
      </c>
      <c r="B1562" s="24" t="s">
        <v>1224</v>
      </c>
      <c r="C1562" s="12" t="s">
        <v>1228</v>
      </c>
      <c r="D1562" s="58"/>
      <c r="E1562" s="43" t="str">
        <f t="shared" si="99"/>
        <v>Еще фото</v>
      </c>
      <c r="F1562" s="34" t="s">
        <v>469</v>
      </c>
      <c r="G1562" s="24" t="s">
        <v>237</v>
      </c>
      <c r="H1562" s="24" t="s">
        <v>27</v>
      </c>
      <c r="I1562" s="24" t="s">
        <v>237</v>
      </c>
      <c r="J1562" s="15" t="s">
        <v>37</v>
      </c>
      <c r="K1562" s="16" t="s">
        <v>57</v>
      </c>
      <c r="L1562" s="61"/>
      <c r="M1562" s="15"/>
      <c r="N1562" s="15" t="s">
        <v>130</v>
      </c>
      <c r="O1562" s="15"/>
      <c r="P1562" s="16" t="s">
        <v>1035</v>
      </c>
      <c r="Q1562" s="17">
        <v>18899</v>
      </c>
      <c r="R1562" s="18">
        <v>45</v>
      </c>
      <c r="S1562" s="19">
        <v>11953.6175</v>
      </c>
      <c r="T1562" s="20" t="s">
        <v>75</v>
      </c>
      <c r="U1562" s="21" t="s">
        <v>1045</v>
      </c>
      <c r="V1562" s="22">
        <v>54</v>
      </c>
      <c r="W1562" s="22">
        <v>16</v>
      </c>
      <c r="X1562" s="23"/>
    </row>
    <row r="1563" spans="1:24" s="1" customFormat="1" ht="13.05" customHeight="1" x14ac:dyDescent="0.3">
      <c r="A1563" s="24" t="s">
        <v>23</v>
      </c>
      <c r="B1563" s="24" t="s">
        <v>1224</v>
      </c>
      <c r="C1563" s="12" t="s">
        <v>1228</v>
      </c>
      <c r="D1563" s="58"/>
      <c r="E1563" s="43" t="str">
        <f t="shared" si="99"/>
        <v>Еще фото</v>
      </c>
      <c r="F1563" s="34" t="s">
        <v>469</v>
      </c>
      <c r="G1563" s="24" t="s">
        <v>237</v>
      </c>
      <c r="H1563" s="24" t="s">
        <v>27</v>
      </c>
      <c r="I1563" s="24" t="s">
        <v>237</v>
      </c>
      <c r="J1563" s="15" t="s">
        <v>37</v>
      </c>
      <c r="K1563" s="16" t="s">
        <v>57</v>
      </c>
      <c r="L1563" s="61"/>
      <c r="M1563" s="15"/>
      <c r="N1563" s="15" t="s">
        <v>130</v>
      </c>
      <c r="O1563" s="15"/>
      <c r="P1563" s="16" t="s">
        <v>1035</v>
      </c>
      <c r="Q1563" s="17">
        <v>18899</v>
      </c>
      <c r="R1563" s="18">
        <v>45</v>
      </c>
      <c r="S1563" s="19">
        <v>11953.6175</v>
      </c>
      <c r="T1563" s="20" t="s">
        <v>75</v>
      </c>
      <c r="U1563" s="21" t="s">
        <v>1046</v>
      </c>
      <c r="V1563" s="25" t="s">
        <v>538</v>
      </c>
      <c r="W1563" s="22">
        <v>12</v>
      </c>
      <c r="X1563" s="23"/>
    </row>
    <row r="1564" spans="1:24" s="1" customFormat="1" ht="13.05" customHeight="1" x14ac:dyDescent="0.3">
      <c r="A1564" s="24" t="s">
        <v>23</v>
      </c>
      <c r="B1564" s="24" t="s">
        <v>1224</v>
      </c>
      <c r="C1564" s="12" t="s">
        <v>1228</v>
      </c>
      <c r="D1564" s="58"/>
      <c r="E1564" s="43" t="str">
        <f t="shared" si="99"/>
        <v>Еще фото</v>
      </c>
      <c r="F1564" s="34" t="s">
        <v>469</v>
      </c>
      <c r="G1564" s="24" t="s">
        <v>237</v>
      </c>
      <c r="H1564" s="24" t="s">
        <v>27</v>
      </c>
      <c r="I1564" s="24" t="s">
        <v>237</v>
      </c>
      <c r="J1564" s="15" t="s">
        <v>37</v>
      </c>
      <c r="K1564" s="16" t="s">
        <v>57</v>
      </c>
      <c r="L1564" s="61"/>
      <c r="M1564" s="15"/>
      <c r="N1564" s="15" t="s">
        <v>130</v>
      </c>
      <c r="O1564" s="15"/>
      <c r="P1564" s="16" t="s">
        <v>1035</v>
      </c>
      <c r="Q1564" s="17">
        <v>18899</v>
      </c>
      <c r="R1564" s="18">
        <v>45</v>
      </c>
      <c r="S1564" s="19">
        <v>11953.6175</v>
      </c>
      <c r="T1564" s="20" t="s">
        <v>75</v>
      </c>
      <c r="U1564" s="21" t="s">
        <v>859</v>
      </c>
      <c r="V1564" s="25" t="s">
        <v>538</v>
      </c>
      <c r="W1564" s="22">
        <v>10</v>
      </c>
      <c r="X1564" s="23"/>
    </row>
    <row r="1565" spans="1:24" s="1" customFormat="1" ht="13.05" customHeight="1" x14ac:dyDescent="0.3">
      <c r="A1565" s="24" t="s">
        <v>23</v>
      </c>
      <c r="B1565" s="24" t="s">
        <v>1224</v>
      </c>
      <c r="C1565" s="12" t="s">
        <v>1228</v>
      </c>
      <c r="D1565" s="58"/>
      <c r="E1565" s="43" t="str">
        <f t="shared" si="99"/>
        <v>Еще фото</v>
      </c>
      <c r="F1565" s="34" t="s">
        <v>469</v>
      </c>
      <c r="G1565" s="24" t="s">
        <v>237</v>
      </c>
      <c r="H1565" s="24" t="s">
        <v>27</v>
      </c>
      <c r="I1565" s="24" t="s">
        <v>237</v>
      </c>
      <c r="J1565" s="15" t="s">
        <v>37</v>
      </c>
      <c r="K1565" s="16" t="s">
        <v>57</v>
      </c>
      <c r="L1565" s="61"/>
      <c r="M1565" s="15"/>
      <c r="N1565" s="15" t="s">
        <v>130</v>
      </c>
      <c r="O1565" s="15"/>
      <c r="P1565" s="16" t="s">
        <v>1035</v>
      </c>
      <c r="Q1565" s="17">
        <v>18899</v>
      </c>
      <c r="R1565" s="18">
        <v>45</v>
      </c>
      <c r="S1565" s="19">
        <v>11953.6175</v>
      </c>
      <c r="T1565" s="20" t="s">
        <v>75</v>
      </c>
      <c r="U1565" s="21" t="s">
        <v>1039</v>
      </c>
      <c r="V1565" s="25" t="s">
        <v>1040</v>
      </c>
      <c r="W1565" s="22">
        <v>10</v>
      </c>
      <c r="X1565" s="23"/>
    </row>
    <row r="1566" spans="1:24" s="1" customFormat="1" ht="13.05" customHeight="1" x14ac:dyDescent="0.3">
      <c r="A1566" s="24" t="s">
        <v>23</v>
      </c>
      <c r="B1566" s="24" t="s">
        <v>1224</v>
      </c>
      <c r="C1566" s="12" t="s">
        <v>1228</v>
      </c>
      <c r="D1566" s="58"/>
      <c r="E1566" s="43" t="str">
        <f t="shared" si="99"/>
        <v>Еще фото</v>
      </c>
      <c r="F1566" s="34" t="s">
        <v>469</v>
      </c>
      <c r="G1566" s="24" t="s">
        <v>237</v>
      </c>
      <c r="H1566" s="24" t="s">
        <v>27</v>
      </c>
      <c r="I1566" s="24" t="s">
        <v>237</v>
      </c>
      <c r="J1566" s="15" t="s">
        <v>37</v>
      </c>
      <c r="K1566" s="16" t="s">
        <v>57</v>
      </c>
      <c r="L1566" s="61"/>
      <c r="M1566" s="15"/>
      <c r="N1566" s="15" t="s">
        <v>130</v>
      </c>
      <c r="O1566" s="15"/>
      <c r="P1566" s="16" t="s">
        <v>1035</v>
      </c>
      <c r="Q1566" s="17">
        <v>18899</v>
      </c>
      <c r="R1566" s="18">
        <v>45</v>
      </c>
      <c r="S1566" s="19">
        <v>11953.6175</v>
      </c>
      <c r="T1566" s="20" t="s">
        <v>75</v>
      </c>
      <c r="U1566" s="21" t="s">
        <v>1047</v>
      </c>
      <c r="V1566" s="25" t="s">
        <v>1040</v>
      </c>
      <c r="W1566" s="22">
        <v>8</v>
      </c>
      <c r="X1566" s="23"/>
    </row>
    <row r="1567" spans="1:24" s="1" customFormat="1" ht="13.05" customHeight="1" x14ac:dyDescent="0.3">
      <c r="A1567" s="24" t="s">
        <v>23</v>
      </c>
      <c r="B1567" s="24" t="s">
        <v>1224</v>
      </c>
      <c r="C1567" s="12" t="s">
        <v>1228</v>
      </c>
      <c r="D1567" s="58"/>
      <c r="E1567" s="43" t="str">
        <f t="shared" si="99"/>
        <v>Еще фото</v>
      </c>
      <c r="F1567" s="34" t="s">
        <v>469</v>
      </c>
      <c r="G1567" s="24" t="s">
        <v>237</v>
      </c>
      <c r="H1567" s="24" t="s">
        <v>27</v>
      </c>
      <c r="I1567" s="24" t="s">
        <v>237</v>
      </c>
      <c r="J1567" s="15" t="s">
        <v>37</v>
      </c>
      <c r="K1567" s="16" t="s">
        <v>57</v>
      </c>
      <c r="L1567" s="61"/>
      <c r="M1567" s="15"/>
      <c r="N1567" s="15" t="s">
        <v>130</v>
      </c>
      <c r="O1567" s="15"/>
      <c r="P1567" s="16" t="s">
        <v>1035</v>
      </c>
      <c r="Q1567" s="17">
        <v>18899</v>
      </c>
      <c r="R1567" s="18">
        <v>45</v>
      </c>
      <c r="S1567" s="19">
        <v>11953.6175</v>
      </c>
      <c r="T1567" s="20" t="s">
        <v>75</v>
      </c>
      <c r="U1567" s="21" t="s">
        <v>1048</v>
      </c>
      <c r="V1567" s="25" t="s">
        <v>1042</v>
      </c>
      <c r="W1567" s="22">
        <v>6</v>
      </c>
      <c r="X1567" s="23"/>
    </row>
    <row r="1568" spans="1:24" s="1" customFormat="1" ht="18" customHeight="1" x14ac:dyDescent="0.3">
      <c r="A1568" s="24" t="s">
        <v>23</v>
      </c>
      <c r="B1568" s="24" t="s">
        <v>1224</v>
      </c>
      <c r="C1568" s="12" t="s">
        <v>1228</v>
      </c>
      <c r="D1568" s="59"/>
      <c r="E1568" s="43" t="str">
        <f t="shared" si="99"/>
        <v>Еще фото</v>
      </c>
      <c r="F1568" s="34" t="s">
        <v>469</v>
      </c>
      <c r="G1568" s="24" t="s">
        <v>237</v>
      </c>
      <c r="H1568" s="24" t="s">
        <v>27</v>
      </c>
      <c r="I1568" s="24" t="s">
        <v>237</v>
      </c>
      <c r="J1568" s="15" t="s">
        <v>37</v>
      </c>
      <c r="K1568" s="16" t="s">
        <v>57</v>
      </c>
      <c r="L1568" s="62"/>
      <c r="M1568" s="15"/>
      <c r="N1568" s="15" t="s">
        <v>130</v>
      </c>
      <c r="O1568" s="15"/>
      <c r="P1568" s="16" t="s">
        <v>1035</v>
      </c>
      <c r="Q1568" s="17">
        <v>18899</v>
      </c>
      <c r="R1568" s="18">
        <v>45</v>
      </c>
      <c r="S1568" s="19">
        <v>11953.6175</v>
      </c>
      <c r="T1568" s="20" t="s">
        <v>75</v>
      </c>
      <c r="U1568" s="21" t="s">
        <v>1041</v>
      </c>
      <c r="V1568" s="25" t="s">
        <v>1042</v>
      </c>
      <c r="W1568" s="22">
        <v>6</v>
      </c>
      <c r="X1568" s="23"/>
    </row>
    <row r="1569" spans="1:24" s="1" customFormat="1" ht="35" customHeight="1" x14ac:dyDescent="0.3">
      <c r="A1569" s="11" t="s">
        <v>23</v>
      </c>
      <c r="B1569" s="11" t="s">
        <v>1229</v>
      </c>
      <c r="C1569" s="12" t="s">
        <v>1230</v>
      </c>
      <c r="D1569" s="57"/>
      <c r="E1569" s="43" t="str">
        <f>HYPERLINK("https://www.google.ru/search?q=72693-0177&amp;newwindow=1&amp;tbm=isch","Еще фото")</f>
        <v>Еще фото</v>
      </c>
      <c r="F1569" s="34" t="s">
        <v>854</v>
      </c>
      <c r="G1569" s="11" t="s">
        <v>237</v>
      </c>
      <c r="H1569" s="11" t="s">
        <v>27</v>
      </c>
      <c r="I1569" s="15" t="s">
        <v>237</v>
      </c>
      <c r="J1569" s="15" t="s">
        <v>37</v>
      </c>
      <c r="K1569" s="16" t="s">
        <v>29</v>
      </c>
      <c r="L1569" s="60" t="s">
        <v>1231</v>
      </c>
      <c r="M1569" s="15"/>
      <c r="N1569" s="15" t="s">
        <v>130</v>
      </c>
      <c r="O1569" s="15"/>
      <c r="P1569" s="16" t="s">
        <v>254</v>
      </c>
      <c r="Q1569" s="17">
        <v>19899</v>
      </c>
      <c r="R1569" s="18">
        <v>45</v>
      </c>
      <c r="S1569" s="19">
        <v>12586.1175</v>
      </c>
      <c r="T1569" s="20" t="s">
        <v>75</v>
      </c>
      <c r="U1569" s="21" t="s">
        <v>126</v>
      </c>
      <c r="V1569" s="22">
        <v>42</v>
      </c>
      <c r="W1569" s="22">
        <v>4</v>
      </c>
      <c r="X1569" s="23"/>
    </row>
    <row r="1570" spans="1:24" s="1" customFormat="1" ht="35" customHeight="1" x14ac:dyDescent="0.3">
      <c r="A1570" s="24" t="s">
        <v>23</v>
      </c>
      <c r="B1570" s="24" t="s">
        <v>1229</v>
      </c>
      <c r="C1570" s="12" t="s">
        <v>1230</v>
      </c>
      <c r="D1570" s="58"/>
      <c r="E1570" s="43" t="str">
        <f>HYPERLINK("https://www.google.ru/search?q=72693-0177&amp;newwindow=1&amp;tbm=isch","Еще фото")</f>
        <v>Еще фото</v>
      </c>
      <c r="F1570" s="34" t="s">
        <v>854</v>
      </c>
      <c r="G1570" s="24" t="s">
        <v>237</v>
      </c>
      <c r="H1570" s="24" t="s">
        <v>27</v>
      </c>
      <c r="I1570" s="24" t="s">
        <v>237</v>
      </c>
      <c r="J1570" s="15" t="s">
        <v>37</v>
      </c>
      <c r="K1570" s="16" t="s">
        <v>29</v>
      </c>
      <c r="L1570" s="61"/>
      <c r="M1570" s="15"/>
      <c r="N1570" s="15" t="s">
        <v>130</v>
      </c>
      <c r="O1570" s="15"/>
      <c r="P1570" s="16" t="s">
        <v>254</v>
      </c>
      <c r="Q1570" s="17">
        <v>19899</v>
      </c>
      <c r="R1570" s="18">
        <v>45</v>
      </c>
      <c r="S1570" s="19">
        <v>12586.1175</v>
      </c>
      <c r="T1570" s="20" t="s">
        <v>75</v>
      </c>
      <c r="U1570" s="21" t="s">
        <v>245</v>
      </c>
      <c r="V1570" s="25" t="s">
        <v>48</v>
      </c>
      <c r="W1570" s="22">
        <v>4</v>
      </c>
      <c r="X1570" s="23"/>
    </row>
    <row r="1571" spans="1:24" s="1" customFormat="1" ht="37.049999999999997" customHeight="1" x14ac:dyDescent="0.3">
      <c r="A1571" s="24" t="s">
        <v>23</v>
      </c>
      <c r="B1571" s="24" t="s">
        <v>1229</v>
      </c>
      <c r="C1571" s="12" t="s">
        <v>1230</v>
      </c>
      <c r="D1571" s="59"/>
      <c r="E1571" s="43" t="str">
        <f>HYPERLINK("https://www.google.ru/search?q=72693-0177&amp;newwindow=1&amp;tbm=isch","Еще фото")</f>
        <v>Еще фото</v>
      </c>
      <c r="F1571" s="34" t="s">
        <v>854</v>
      </c>
      <c r="G1571" s="24" t="s">
        <v>237</v>
      </c>
      <c r="H1571" s="24" t="s">
        <v>27</v>
      </c>
      <c r="I1571" s="24" t="s">
        <v>237</v>
      </c>
      <c r="J1571" s="15" t="s">
        <v>37</v>
      </c>
      <c r="K1571" s="16" t="s">
        <v>29</v>
      </c>
      <c r="L1571" s="62"/>
      <c r="M1571" s="15"/>
      <c r="N1571" s="15" t="s">
        <v>130</v>
      </c>
      <c r="O1571" s="15"/>
      <c r="P1571" s="16" t="s">
        <v>254</v>
      </c>
      <c r="Q1571" s="17">
        <v>19899</v>
      </c>
      <c r="R1571" s="18">
        <v>45</v>
      </c>
      <c r="S1571" s="19">
        <v>12586.1175</v>
      </c>
      <c r="T1571" s="20" t="s">
        <v>75</v>
      </c>
      <c r="U1571" s="21" t="s">
        <v>234</v>
      </c>
      <c r="V1571" s="25" t="s">
        <v>48</v>
      </c>
      <c r="W1571" s="22">
        <v>1</v>
      </c>
      <c r="X1571" s="23"/>
    </row>
    <row r="1572" spans="1:24" s="1" customFormat="1" ht="11" customHeight="1" x14ac:dyDescent="0.3">
      <c r="A1572" s="11" t="s">
        <v>23</v>
      </c>
      <c r="B1572" s="11" t="s">
        <v>1232</v>
      </c>
      <c r="C1572" s="12" t="s">
        <v>1233</v>
      </c>
      <c r="D1572" s="57"/>
      <c r="E1572" s="43" t="str">
        <f t="shared" ref="E1572:E1580" si="100">HYPERLINK("https://www.google.ru/search?q=72693-0218&amp;newwindow=1&amp;tbm=isch","Еще фото")</f>
        <v>Еще фото</v>
      </c>
      <c r="F1572" s="14" t="s">
        <v>854</v>
      </c>
      <c r="G1572" s="11" t="s">
        <v>237</v>
      </c>
      <c r="H1572" s="11" t="s">
        <v>27</v>
      </c>
      <c r="I1572" s="15" t="s">
        <v>237</v>
      </c>
      <c r="J1572" s="15" t="s">
        <v>37</v>
      </c>
      <c r="K1572" s="16" t="s">
        <v>29</v>
      </c>
      <c r="L1572" s="60" t="s">
        <v>1234</v>
      </c>
      <c r="M1572" s="15"/>
      <c r="N1572" s="15" t="s">
        <v>130</v>
      </c>
      <c r="O1572" s="15"/>
      <c r="P1572" s="16" t="s">
        <v>891</v>
      </c>
      <c r="Q1572" s="17">
        <v>20099</v>
      </c>
      <c r="R1572" s="18">
        <v>45</v>
      </c>
      <c r="S1572" s="19">
        <v>12712.6175</v>
      </c>
      <c r="T1572" s="20" t="s">
        <v>41</v>
      </c>
      <c r="U1572" s="21" t="s">
        <v>243</v>
      </c>
      <c r="V1572" s="22">
        <v>40</v>
      </c>
      <c r="W1572" s="22">
        <v>2</v>
      </c>
      <c r="X1572" s="23"/>
    </row>
    <row r="1573" spans="1:24" s="1" customFormat="1" ht="11" customHeight="1" x14ac:dyDescent="0.3">
      <c r="A1573" s="24" t="s">
        <v>23</v>
      </c>
      <c r="B1573" s="24" t="s">
        <v>1232</v>
      </c>
      <c r="C1573" s="12" t="s">
        <v>1233</v>
      </c>
      <c r="D1573" s="58"/>
      <c r="E1573" s="43" t="str">
        <f t="shared" si="100"/>
        <v>Еще фото</v>
      </c>
      <c r="F1573" s="14" t="s">
        <v>854</v>
      </c>
      <c r="G1573" s="24" t="s">
        <v>237</v>
      </c>
      <c r="H1573" s="24" t="s">
        <v>27</v>
      </c>
      <c r="I1573" s="24" t="s">
        <v>237</v>
      </c>
      <c r="J1573" s="15" t="s">
        <v>37</v>
      </c>
      <c r="K1573" s="16" t="s">
        <v>29</v>
      </c>
      <c r="L1573" s="61"/>
      <c r="M1573" s="15"/>
      <c r="N1573" s="15" t="s">
        <v>130</v>
      </c>
      <c r="O1573" s="15"/>
      <c r="P1573" s="16" t="s">
        <v>891</v>
      </c>
      <c r="Q1573" s="17">
        <v>20099</v>
      </c>
      <c r="R1573" s="18">
        <v>45</v>
      </c>
      <c r="S1573" s="19">
        <v>12712.6175</v>
      </c>
      <c r="T1573" s="20" t="s">
        <v>41</v>
      </c>
      <c r="U1573" s="21" t="s">
        <v>939</v>
      </c>
      <c r="V1573" s="25" t="s">
        <v>44</v>
      </c>
      <c r="W1573" s="22">
        <v>1</v>
      </c>
      <c r="X1573" s="23"/>
    </row>
    <row r="1574" spans="1:24" s="1" customFormat="1" ht="11" customHeight="1" x14ac:dyDescent="0.3">
      <c r="A1574" s="24" t="s">
        <v>23</v>
      </c>
      <c r="B1574" s="24" t="s">
        <v>1232</v>
      </c>
      <c r="C1574" s="12" t="s">
        <v>1233</v>
      </c>
      <c r="D1574" s="58"/>
      <c r="E1574" s="43" t="str">
        <f t="shared" si="100"/>
        <v>Еще фото</v>
      </c>
      <c r="F1574" s="14" t="s">
        <v>854</v>
      </c>
      <c r="G1574" s="24" t="s">
        <v>237</v>
      </c>
      <c r="H1574" s="24" t="s">
        <v>27</v>
      </c>
      <c r="I1574" s="24" t="s">
        <v>237</v>
      </c>
      <c r="J1574" s="15" t="s">
        <v>37</v>
      </c>
      <c r="K1574" s="16" t="s">
        <v>29</v>
      </c>
      <c r="L1574" s="61"/>
      <c r="M1574" s="15"/>
      <c r="N1574" s="15" t="s">
        <v>130</v>
      </c>
      <c r="O1574" s="15"/>
      <c r="P1574" s="16" t="s">
        <v>891</v>
      </c>
      <c r="Q1574" s="17">
        <v>20099</v>
      </c>
      <c r="R1574" s="18">
        <v>45</v>
      </c>
      <c r="S1574" s="19">
        <v>12712.6175</v>
      </c>
      <c r="T1574" s="20" t="s">
        <v>41</v>
      </c>
      <c r="U1574" s="21" t="s">
        <v>659</v>
      </c>
      <c r="V1574" s="22">
        <v>42</v>
      </c>
      <c r="W1574" s="22">
        <v>8</v>
      </c>
      <c r="X1574" s="23"/>
    </row>
    <row r="1575" spans="1:24" s="1" customFormat="1" ht="11" customHeight="1" x14ac:dyDescent="0.3">
      <c r="A1575" s="24" t="s">
        <v>23</v>
      </c>
      <c r="B1575" s="24" t="s">
        <v>1232</v>
      </c>
      <c r="C1575" s="12" t="s">
        <v>1233</v>
      </c>
      <c r="D1575" s="58"/>
      <c r="E1575" s="43" t="str">
        <f t="shared" si="100"/>
        <v>Еще фото</v>
      </c>
      <c r="F1575" s="14" t="s">
        <v>854</v>
      </c>
      <c r="G1575" s="24" t="s">
        <v>237</v>
      </c>
      <c r="H1575" s="24" t="s">
        <v>27</v>
      </c>
      <c r="I1575" s="24" t="s">
        <v>237</v>
      </c>
      <c r="J1575" s="15" t="s">
        <v>37</v>
      </c>
      <c r="K1575" s="16" t="s">
        <v>29</v>
      </c>
      <c r="L1575" s="61"/>
      <c r="M1575" s="15"/>
      <c r="N1575" s="15" t="s">
        <v>130</v>
      </c>
      <c r="O1575" s="15"/>
      <c r="P1575" s="16" t="s">
        <v>891</v>
      </c>
      <c r="Q1575" s="17">
        <v>20099</v>
      </c>
      <c r="R1575" s="18">
        <v>45</v>
      </c>
      <c r="S1575" s="19">
        <v>12712.6175</v>
      </c>
      <c r="T1575" s="20" t="s">
        <v>41</v>
      </c>
      <c r="U1575" s="21" t="s">
        <v>234</v>
      </c>
      <c r="V1575" s="25" t="s">
        <v>48</v>
      </c>
      <c r="W1575" s="22">
        <v>16</v>
      </c>
      <c r="X1575" s="23"/>
    </row>
    <row r="1576" spans="1:24" s="1" customFormat="1" ht="11" customHeight="1" x14ac:dyDescent="0.3">
      <c r="A1576" s="24" t="s">
        <v>23</v>
      </c>
      <c r="B1576" s="24" t="s">
        <v>1232</v>
      </c>
      <c r="C1576" s="12" t="s">
        <v>1233</v>
      </c>
      <c r="D1576" s="58"/>
      <c r="E1576" s="43" t="str">
        <f t="shared" si="100"/>
        <v>Еще фото</v>
      </c>
      <c r="F1576" s="14" t="s">
        <v>854</v>
      </c>
      <c r="G1576" s="24" t="s">
        <v>237</v>
      </c>
      <c r="H1576" s="24" t="s">
        <v>27</v>
      </c>
      <c r="I1576" s="24" t="s">
        <v>237</v>
      </c>
      <c r="J1576" s="15" t="s">
        <v>37</v>
      </c>
      <c r="K1576" s="16" t="s">
        <v>29</v>
      </c>
      <c r="L1576" s="61"/>
      <c r="M1576" s="15"/>
      <c r="N1576" s="15" t="s">
        <v>130</v>
      </c>
      <c r="O1576" s="15"/>
      <c r="P1576" s="16" t="s">
        <v>891</v>
      </c>
      <c r="Q1576" s="17">
        <v>20099</v>
      </c>
      <c r="R1576" s="18">
        <v>45</v>
      </c>
      <c r="S1576" s="19">
        <v>12712.6175</v>
      </c>
      <c r="T1576" s="20" t="s">
        <v>41</v>
      </c>
      <c r="U1576" s="21" t="s">
        <v>719</v>
      </c>
      <c r="V1576" s="22">
        <v>44</v>
      </c>
      <c r="W1576" s="22">
        <v>18</v>
      </c>
      <c r="X1576" s="23"/>
    </row>
    <row r="1577" spans="1:24" s="1" customFormat="1" ht="11" customHeight="1" x14ac:dyDescent="0.3">
      <c r="A1577" s="24" t="s">
        <v>23</v>
      </c>
      <c r="B1577" s="24" t="s">
        <v>1232</v>
      </c>
      <c r="C1577" s="12" t="s">
        <v>1233</v>
      </c>
      <c r="D1577" s="58"/>
      <c r="E1577" s="43" t="str">
        <f t="shared" si="100"/>
        <v>Еще фото</v>
      </c>
      <c r="F1577" s="14" t="s">
        <v>854</v>
      </c>
      <c r="G1577" s="24" t="s">
        <v>237</v>
      </c>
      <c r="H1577" s="24" t="s">
        <v>27</v>
      </c>
      <c r="I1577" s="24" t="s">
        <v>237</v>
      </c>
      <c r="J1577" s="15" t="s">
        <v>37</v>
      </c>
      <c r="K1577" s="16" t="s">
        <v>29</v>
      </c>
      <c r="L1577" s="61"/>
      <c r="M1577" s="15"/>
      <c r="N1577" s="15" t="s">
        <v>130</v>
      </c>
      <c r="O1577" s="15"/>
      <c r="P1577" s="16" t="s">
        <v>891</v>
      </c>
      <c r="Q1577" s="17">
        <v>20099</v>
      </c>
      <c r="R1577" s="18">
        <v>45</v>
      </c>
      <c r="S1577" s="19">
        <v>12712.6175</v>
      </c>
      <c r="T1577" s="20" t="s">
        <v>41</v>
      </c>
      <c r="U1577" s="21" t="s">
        <v>660</v>
      </c>
      <c r="V1577" s="25" t="s">
        <v>63</v>
      </c>
      <c r="W1577" s="22">
        <v>28</v>
      </c>
      <c r="X1577" s="23"/>
    </row>
    <row r="1578" spans="1:24" s="1" customFormat="1" ht="11" customHeight="1" x14ac:dyDescent="0.3">
      <c r="A1578" s="24" t="s">
        <v>23</v>
      </c>
      <c r="B1578" s="24" t="s">
        <v>1232</v>
      </c>
      <c r="C1578" s="12" t="s">
        <v>1233</v>
      </c>
      <c r="D1578" s="58"/>
      <c r="E1578" s="43" t="str">
        <f t="shared" si="100"/>
        <v>Еще фото</v>
      </c>
      <c r="F1578" s="14" t="s">
        <v>854</v>
      </c>
      <c r="G1578" s="24" t="s">
        <v>237</v>
      </c>
      <c r="H1578" s="24" t="s">
        <v>27</v>
      </c>
      <c r="I1578" s="24" t="s">
        <v>237</v>
      </c>
      <c r="J1578" s="15" t="s">
        <v>37</v>
      </c>
      <c r="K1578" s="16" t="s">
        <v>29</v>
      </c>
      <c r="L1578" s="61"/>
      <c r="M1578" s="15"/>
      <c r="N1578" s="15" t="s">
        <v>130</v>
      </c>
      <c r="O1578" s="15"/>
      <c r="P1578" s="16" t="s">
        <v>891</v>
      </c>
      <c r="Q1578" s="17">
        <v>20099</v>
      </c>
      <c r="R1578" s="18">
        <v>45</v>
      </c>
      <c r="S1578" s="19">
        <v>12712.6175</v>
      </c>
      <c r="T1578" s="20" t="s">
        <v>41</v>
      </c>
      <c r="U1578" s="21" t="s">
        <v>134</v>
      </c>
      <c r="V1578" s="22">
        <v>48</v>
      </c>
      <c r="W1578" s="22">
        <v>22</v>
      </c>
      <c r="X1578" s="23"/>
    </row>
    <row r="1579" spans="1:24" s="1" customFormat="1" ht="11" customHeight="1" x14ac:dyDescent="0.3">
      <c r="A1579" s="24" t="s">
        <v>23</v>
      </c>
      <c r="B1579" s="24" t="s">
        <v>1232</v>
      </c>
      <c r="C1579" s="12" t="s">
        <v>1233</v>
      </c>
      <c r="D1579" s="58"/>
      <c r="E1579" s="43" t="str">
        <f t="shared" si="100"/>
        <v>Еще фото</v>
      </c>
      <c r="F1579" s="14" t="s">
        <v>854</v>
      </c>
      <c r="G1579" s="24" t="s">
        <v>237</v>
      </c>
      <c r="H1579" s="24" t="s">
        <v>27</v>
      </c>
      <c r="I1579" s="24" t="s">
        <v>237</v>
      </c>
      <c r="J1579" s="15" t="s">
        <v>37</v>
      </c>
      <c r="K1579" s="16" t="s">
        <v>29</v>
      </c>
      <c r="L1579" s="61"/>
      <c r="M1579" s="15"/>
      <c r="N1579" s="15" t="s">
        <v>130</v>
      </c>
      <c r="O1579" s="15"/>
      <c r="P1579" s="16" t="s">
        <v>891</v>
      </c>
      <c r="Q1579" s="17">
        <v>20099</v>
      </c>
      <c r="R1579" s="18">
        <v>45</v>
      </c>
      <c r="S1579" s="19">
        <v>12712.6175</v>
      </c>
      <c r="T1579" s="20" t="s">
        <v>41</v>
      </c>
      <c r="U1579" s="21" t="s">
        <v>1235</v>
      </c>
      <c r="V1579" s="22">
        <v>50</v>
      </c>
      <c r="W1579" s="22">
        <v>1</v>
      </c>
      <c r="X1579" s="23"/>
    </row>
    <row r="1580" spans="1:24" s="1" customFormat="1" ht="11" customHeight="1" x14ac:dyDescent="0.3">
      <c r="A1580" s="24" t="s">
        <v>23</v>
      </c>
      <c r="B1580" s="24" t="s">
        <v>1232</v>
      </c>
      <c r="C1580" s="12" t="s">
        <v>1233</v>
      </c>
      <c r="D1580" s="59"/>
      <c r="E1580" s="43" t="str">
        <f t="shared" si="100"/>
        <v>Еще фото</v>
      </c>
      <c r="F1580" s="14" t="s">
        <v>854</v>
      </c>
      <c r="G1580" s="24" t="s">
        <v>237</v>
      </c>
      <c r="H1580" s="24" t="s">
        <v>27</v>
      </c>
      <c r="I1580" s="24" t="s">
        <v>237</v>
      </c>
      <c r="J1580" s="15" t="s">
        <v>37</v>
      </c>
      <c r="K1580" s="16" t="s">
        <v>29</v>
      </c>
      <c r="L1580" s="62"/>
      <c r="M1580" s="15"/>
      <c r="N1580" s="15" t="s">
        <v>130</v>
      </c>
      <c r="O1580" s="15"/>
      <c r="P1580" s="16" t="s">
        <v>891</v>
      </c>
      <c r="Q1580" s="17">
        <v>20099</v>
      </c>
      <c r="R1580" s="18">
        <v>45</v>
      </c>
      <c r="S1580" s="19">
        <v>12712.6175</v>
      </c>
      <c r="T1580" s="20" t="s">
        <v>41</v>
      </c>
      <c r="U1580" s="21" t="s">
        <v>940</v>
      </c>
      <c r="V1580" s="22">
        <v>50</v>
      </c>
      <c r="W1580" s="22">
        <v>18</v>
      </c>
      <c r="X1580" s="23"/>
    </row>
    <row r="1581" spans="1:24" s="1" customFormat="1" ht="108" customHeight="1" x14ac:dyDescent="0.3">
      <c r="A1581" s="11" t="s">
        <v>23</v>
      </c>
      <c r="B1581" s="11" t="s">
        <v>1236</v>
      </c>
      <c r="C1581" s="12" t="s">
        <v>1237</v>
      </c>
      <c r="D1581" s="13"/>
      <c r="E1581" s="43" t="str">
        <f>HYPERLINK("https://www.google.ru/search?q=72693-0256&amp;newwindow=1&amp;tbm=isch","Еще фото")</f>
        <v>Еще фото</v>
      </c>
      <c r="F1581" s="14"/>
      <c r="G1581" s="11" t="s">
        <v>237</v>
      </c>
      <c r="H1581" s="11" t="s">
        <v>27</v>
      </c>
      <c r="I1581" s="15" t="s">
        <v>237</v>
      </c>
      <c r="J1581" s="15" t="s">
        <v>37</v>
      </c>
      <c r="K1581" s="16" t="s">
        <v>29</v>
      </c>
      <c r="L1581" s="15" t="s">
        <v>1234</v>
      </c>
      <c r="M1581" s="15"/>
      <c r="N1581" s="15" t="s">
        <v>138</v>
      </c>
      <c r="O1581" s="15"/>
      <c r="P1581" s="16" t="s">
        <v>254</v>
      </c>
      <c r="Q1581" s="17">
        <v>17699</v>
      </c>
      <c r="R1581" s="18">
        <v>45</v>
      </c>
      <c r="S1581" s="19">
        <v>11194.6175</v>
      </c>
      <c r="T1581" s="20" t="s">
        <v>75</v>
      </c>
      <c r="U1581" s="21" t="s">
        <v>1238</v>
      </c>
      <c r="V1581" s="22">
        <v>48</v>
      </c>
      <c r="W1581" s="22">
        <v>1</v>
      </c>
      <c r="X1581" s="23"/>
    </row>
    <row r="1582" spans="1:24" s="1" customFormat="1" ht="108" customHeight="1" x14ac:dyDescent="0.3">
      <c r="A1582" s="11" t="s">
        <v>23</v>
      </c>
      <c r="B1582" s="11" t="s">
        <v>1229</v>
      </c>
      <c r="C1582" s="12" t="s">
        <v>1239</v>
      </c>
      <c r="D1582" s="13"/>
      <c r="E1582" s="43" t="str">
        <f>HYPERLINK("https://www.google.ru/search?q=72693-0257&amp;newwindow=1&amp;tbm=isch","Еще фото")</f>
        <v>Еще фото</v>
      </c>
      <c r="F1582" s="14" t="s">
        <v>182</v>
      </c>
      <c r="G1582" s="11" t="s">
        <v>237</v>
      </c>
      <c r="H1582" s="11" t="s">
        <v>27</v>
      </c>
      <c r="I1582" s="15" t="s">
        <v>237</v>
      </c>
      <c r="J1582" s="15" t="s">
        <v>28</v>
      </c>
      <c r="K1582" s="16" t="s">
        <v>29</v>
      </c>
      <c r="L1582" s="15" t="s">
        <v>1240</v>
      </c>
      <c r="M1582" s="15"/>
      <c r="N1582" s="15" t="s">
        <v>130</v>
      </c>
      <c r="O1582" s="15"/>
      <c r="P1582" s="16" t="s">
        <v>254</v>
      </c>
      <c r="Q1582" s="17">
        <v>18899</v>
      </c>
      <c r="R1582" s="18">
        <v>45</v>
      </c>
      <c r="S1582" s="19">
        <v>11953.6175</v>
      </c>
      <c r="T1582" s="20" t="s">
        <v>75</v>
      </c>
      <c r="U1582" s="21" t="s">
        <v>660</v>
      </c>
      <c r="V1582" s="25" t="s">
        <v>63</v>
      </c>
      <c r="W1582" s="22">
        <v>1</v>
      </c>
      <c r="X1582" s="23"/>
    </row>
    <row r="1583" spans="1:24" s="1" customFormat="1" ht="14" customHeight="1" x14ac:dyDescent="0.3">
      <c r="A1583" s="11" t="s">
        <v>23</v>
      </c>
      <c r="B1583" s="11" t="s">
        <v>1229</v>
      </c>
      <c r="C1583" s="12" t="s">
        <v>1241</v>
      </c>
      <c r="D1583" s="57"/>
      <c r="E1583" s="43" t="str">
        <f t="shared" ref="E1583:E1589" si="101">HYPERLINK("https://www.google.ru/search?q=72693-0286&amp;newwindow=1&amp;tbm=isch","Еще фото")</f>
        <v>Еще фото</v>
      </c>
      <c r="F1583" s="34" t="s">
        <v>469</v>
      </c>
      <c r="G1583" s="11" t="s">
        <v>237</v>
      </c>
      <c r="H1583" s="11" t="s">
        <v>27</v>
      </c>
      <c r="I1583" s="15" t="s">
        <v>237</v>
      </c>
      <c r="J1583" s="15" t="s">
        <v>37</v>
      </c>
      <c r="K1583" s="16" t="s">
        <v>29</v>
      </c>
      <c r="L1583" s="60" t="s">
        <v>1240</v>
      </c>
      <c r="M1583" s="15"/>
      <c r="N1583" s="15" t="s">
        <v>130</v>
      </c>
      <c r="O1583" s="15"/>
      <c r="P1583" s="16" t="s">
        <v>254</v>
      </c>
      <c r="Q1583" s="17">
        <v>17099</v>
      </c>
      <c r="R1583" s="18">
        <v>45</v>
      </c>
      <c r="S1583" s="19">
        <v>10815.1175</v>
      </c>
      <c r="T1583" s="20" t="s">
        <v>75</v>
      </c>
      <c r="U1583" s="21" t="s">
        <v>243</v>
      </c>
      <c r="V1583" s="22">
        <v>40</v>
      </c>
      <c r="W1583" s="22">
        <v>2</v>
      </c>
      <c r="X1583" s="23"/>
    </row>
    <row r="1584" spans="1:24" s="1" customFormat="1" ht="14" customHeight="1" x14ac:dyDescent="0.3">
      <c r="A1584" s="24" t="s">
        <v>23</v>
      </c>
      <c r="B1584" s="24" t="s">
        <v>1229</v>
      </c>
      <c r="C1584" s="12" t="s">
        <v>1241</v>
      </c>
      <c r="D1584" s="58"/>
      <c r="E1584" s="43" t="str">
        <f t="shared" si="101"/>
        <v>Еще фото</v>
      </c>
      <c r="F1584" s="34" t="s">
        <v>469</v>
      </c>
      <c r="G1584" s="24" t="s">
        <v>237</v>
      </c>
      <c r="H1584" s="24" t="s">
        <v>27</v>
      </c>
      <c r="I1584" s="24" t="s">
        <v>237</v>
      </c>
      <c r="J1584" s="15" t="s">
        <v>37</v>
      </c>
      <c r="K1584" s="16" t="s">
        <v>29</v>
      </c>
      <c r="L1584" s="61"/>
      <c r="M1584" s="15"/>
      <c r="N1584" s="15" t="s">
        <v>130</v>
      </c>
      <c r="O1584" s="15"/>
      <c r="P1584" s="16" t="s">
        <v>254</v>
      </c>
      <c r="Q1584" s="17">
        <v>17099</v>
      </c>
      <c r="R1584" s="18">
        <v>45</v>
      </c>
      <c r="S1584" s="19">
        <v>10815.1175</v>
      </c>
      <c r="T1584" s="20" t="s">
        <v>75</v>
      </c>
      <c r="U1584" s="21" t="s">
        <v>401</v>
      </c>
      <c r="V1584" s="22">
        <v>40</v>
      </c>
      <c r="W1584" s="22">
        <v>1</v>
      </c>
      <c r="X1584" s="23"/>
    </row>
    <row r="1585" spans="1:24" s="1" customFormat="1" ht="14" customHeight="1" x14ac:dyDescent="0.3">
      <c r="A1585" s="24" t="s">
        <v>23</v>
      </c>
      <c r="B1585" s="24" t="s">
        <v>1229</v>
      </c>
      <c r="C1585" s="12" t="s">
        <v>1241</v>
      </c>
      <c r="D1585" s="58"/>
      <c r="E1585" s="43" t="str">
        <f t="shared" si="101"/>
        <v>Еще фото</v>
      </c>
      <c r="F1585" s="34" t="s">
        <v>469</v>
      </c>
      <c r="G1585" s="24" t="s">
        <v>237</v>
      </c>
      <c r="H1585" s="24" t="s">
        <v>27</v>
      </c>
      <c r="I1585" s="24" t="s">
        <v>237</v>
      </c>
      <c r="J1585" s="15" t="s">
        <v>37</v>
      </c>
      <c r="K1585" s="16" t="s">
        <v>29</v>
      </c>
      <c r="L1585" s="61"/>
      <c r="M1585" s="15"/>
      <c r="N1585" s="15" t="s">
        <v>130</v>
      </c>
      <c r="O1585" s="15"/>
      <c r="P1585" s="16" t="s">
        <v>254</v>
      </c>
      <c r="Q1585" s="17">
        <v>17099</v>
      </c>
      <c r="R1585" s="18">
        <v>45</v>
      </c>
      <c r="S1585" s="19">
        <v>10815.1175</v>
      </c>
      <c r="T1585" s="20" t="s">
        <v>75</v>
      </c>
      <c r="U1585" s="21" t="s">
        <v>659</v>
      </c>
      <c r="V1585" s="22">
        <v>42</v>
      </c>
      <c r="W1585" s="22">
        <v>3</v>
      </c>
      <c r="X1585" s="23"/>
    </row>
    <row r="1586" spans="1:24" s="1" customFormat="1" ht="14" customHeight="1" x14ac:dyDescent="0.3">
      <c r="A1586" s="24" t="s">
        <v>23</v>
      </c>
      <c r="B1586" s="24" t="s">
        <v>1229</v>
      </c>
      <c r="C1586" s="12" t="s">
        <v>1241</v>
      </c>
      <c r="D1586" s="58"/>
      <c r="E1586" s="43" t="str">
        <f t="shared" si="101"/>
        <v>Еще фото</v>
      </c>
      <c r="F1586" s="34" t="s">
        <v>469</v>
      </c>
      <c r="G1586" s="24" t="s">
        <v>237</v>
      </c>
      <c r="H1586" s="24" t="s">
        <v>27</v>
      </c>
      <c r="I1586" s="24" t="s">
        <v>237</v>
      </c>
      <c r="J1586" s="15" t="s">
        <v>37</v>
      </c>
      <c r="K1586" s="16" t="s">
        <v>29</v>
      </c>
      <c r="L1586" s="61"/>
      <c r="M1586" s="15"/>
      <c r="N1586" s="15" t="s">
        <v>130</v>
      </c>
      <c r="O1586" s="15"/>
      <c r="P1586" s="16" t="s">
        <v>254</v>
      </c>
      <c r="Q1586" s="17">
        <v>17099</v>
      </c>
      <c r="R1586" s="18">
        <v>45</v>
      </c>
      <c r="S1586" s="19">
        <v>10815.1175</v>
      </c>
      <c r="T1586" s="20" t="s">
        <v>75</v>
      </c>
      <c r="U1586" s="21" t="s">
        <v>245</v>
      </c>
      <c r="V1586" s="25" t="s">
        <v>48</v>
      </c>
      <c r="W1586" s="22">
        <v>2</v>
      </c>
      <c r="X1586" s="23"/>
    </row>
    <row r="1587" spans="1:24" s="1" customFormat="1" ht="14" customHeight="1" x14ac:dyDescent="0.3">
      <c r="A1587" s="24" t="s">
        <v>23</v>
      </c>
      <c r="B1587" s="24" t="s">
        <v>1229</v>
      </c>
      <c r="C1587" s="12" t="s">
        <v>1241</v>
      </c>
      <c r="D1587" s="58"/>
      <c r="E1587" s="43" t="str">
        <f t="shared" si="101"/>
        <v>Еще фото</v>
      </c>
      <c r="F1587" s="34" t="s">
        <v>469</v>
      </c>
      <c r="G1587" s="24" t="s">
        <v>237</v>
      </c>
      <c r="H1587" s="24" t="s">
        <v>27</v>
      </c>
      <c r="I1587" s="24" t="s">
        <v>237</v>
      </c>
      <c r="J1587" s="15" t="s">
        <v>37</v>
      </c>
      <c r="K1587" s="16" t="s">
        <v>29</v>
      </c>
      <c r="L1587" s="61"/>
      <c r="M1587" s="15"/>
      <c r="N1587" s="15" t="s">
        <v>130</v>
      </c>
      <c r="O1587" s="15"/>
      <c r="P1587" s="16" t="s">
        <v>254</v>
      </c>
      <c r="Q1587" s="17">
        <v>17099</v>
      </c>
      <c r="R1587" s="18">
        <v>45</v>
      </c>
      <c r="S1587" s="19">
        <v>10815.1175</v>
      </c>
      <c r="T1587" s="20" t="s">
        <v>75</v>
      </c>
      <c r="U1587" s="21" t="s">
        <v>234</v>
      </c>
      <c r="V1587" s="25" t="s">
        <v>48</v>
      </c>
      <c r="W1587" s="22">
        <v>1</v>
      </c>
      <c r="X1587" s="23"/>
    </row>
    <row r="1588" spans="1:24" s="1" customFormat="1" ht="14" customHeight="1" x14ac:dyDescent="0.3">
      <c r="A1588" s="24" t="s">
        <v>23</v>
      </c>
      <c r="B1588" s="24" t="s">
        <v>1229</v>
      </c>
      <c r="C1588" s="12" t="s">
        <v>1241</v>
      </c>
      <c r="D1588" s="58"/>
      <c r="E1588" s="43" t="str">
        <f t="shared" si="101"/>
        <v>Еще фото</v>
      </c>
      <c r="F1588" s="34" t="s">
        <v>469</v>
      </c>
      <c r="G1588" s="24" t="s">
        <v>237</v>
      </c>
      <c r="H1588" s="24" t="s">
        <v>27</v>
      </c>
      <c r="I1588" s="24" t="s">
        <v>237</v>
      </c>
      <c r="J1588" s="15" t="s">
        <v>37</v>
      </c>
      <c r="K1588" s="16" t="s">
        <v>29</v>
      </c>
      <c r="L1588" s="61"/>
      <c r="M1588" s="15"/>
      <c r="N1588" s="15" t="s">
        <v>130</v>
      </c>
      <c r="O1588" s="15"/>
      <c r="P1588" s="16" t="s">
        <v>254</v>
      </c>
      <c r="Q1588" s="17">
        <v>17099</v>
      </c>
      <c r="R1588" s="18">
        <v>45</v>
      </c>
      <c r="S1588" s="19">
        <v>10815.1175</v>
      </c>
      <c r="T1588" s="20" t="s">
        <v>75</v>
      </c>
      <c r="U1588" s="21" t="s">
        <v>1242</v>
      </c>
      <c r="V1588" s="22">
        <v>44</v>
      </c>
      <c r="W1588" s="22">
        <v>3</v>
      </c>
      <c r="X1588" s="23"/>
    </row>
    <row r="1589" spans="1:24" s="1" customFormat="1" ht="17" customHeight="1" x14ac:dyDescent="0.3">
      <c r="A1589" s="24" t="s">
        <v>23</v>
      </c>
      <c r="B1589" s="24" t="s">
        <v>1229</v>
      </c>
      <c r="C1589" s="12" t="s">
        <v>1241</v>
      </c>
      <c r="D1589" s="59"/>
      <c r="E1589" s="43" t="str">
        <f t="shared" si="101"/>
        <v>Еще фото</v>
      </c>
      <c r="F1589" s="34" t="s">
        <v>469</v>
      </c>
      <c r="G1589" s="24" t="s">
        <v>237</v>
      </c>
      <c r="H1589" s="24" t="s">
        <v>27</v>
      </c>
      <c r="I1589" s="24" t="s">
        <v>237</v>
      </c>
      <c r="J1589" s="15" t="s">
        <v>37</v>
      </c>
      <c r="K1589" s="16" t="s">
        <v>29</v>
      </c>
      <c r="L1589" s="62"/>
      <c r="M1589" s="15"/>
      <c r="N1589" s="15" t="s">
        <v>130</v>
      </c>
      <c r="O1589" s="15"/>
      <c r="P1589" s="16" t="s">
        <v>254</v>
      </c>
      <c r="Q1589" s="17">
        <v>17099</v>
      </c>
      <c r="R1589" s="18">
        <v>45</v>
      </c>
      <c r="S1589" s="19">
        <v>10815.1175</v>
      </c>
      <c r="T1589" s="20" t="s">
        <v>75</v>
      </c>
      <c r="U1589" s="21" t="s">
        <v>719</v>
      </c>
      <c r="V1589" s="22">
        <v>44</v>
      </c>
      <c r="W1589" s="22">
        <v>2</v>
      </c>
      <c r="X1589" s="23"/>
    </row>
    <row r="1590" spans="1:24" s="1" customFormat="1" ht="35" customHeight="1" x14ac:dyDescent="0.3">
      <c r="A1590" s="11" t="s">
        <v>23</v>
      </c>
      <c r="B1590" s="11" t="s">
        <v>1243</v>
      </c>
      <c r="C1590" s="12" t="s">
        <v>1244</v>
      </c>
      <c r="D1590" s="57"/>
      <c r="E1590" s="43" t="str">
        <f>HYPERLINK("https://www.google.ru/search?q=72693-0287&amp;newwindow=1&amp;tbm=isch","Еще фото")</f>
        <v>Еще фото</v>
      </c>
      <c r="F1590" s="14"/>
      <c r="G1590" s="11" t="s">
        <v>237</v>
      </c>
      <c r="H1590" s="11" t="s">
        <v>27</v>
      </c>
      <c r="I1590" s="15" t="s">
        <v>237</v>
      </c>
      <c r="J1590" s="15" t="s">
        <v>37</v>
      </c>
      <c r="K1590" s="16" t="s">
        <v>29</v>
      </c>
      <c r="L1590" s="60" t="s">
        <v>1240</v>
      </c>
      <c r="M1590" s="15"/>
      <c r="N1590" s="15" t="s">
        <v>138</v>
      </c>
      <c r="O1590" s="15"/>
      <c r="P1590" s="16" t="s">
        <v>515</v>
      </c>
      <c r="Q1590" s="17">
        <v>9499</v>
      </c>
      <c r="R1590" s="18">
        <v>45</v>
      </c>
      <c r="S1590" s="19">
        <v>6008.1174999999994</v>
      </c>
      <c r="T1590" s="20" t="s">
        <v>75</v>
      </c>
      <c r="U1590" s="21" t="s">
        <v>939</v>
      </c>
      <c r="V1590" s="25" t="s">
        <v>44</v>
      </c>
      <c r="W1590" s="22">
        <v>1</v>
      </c>
      <c r="X1590" s="23"/>
    </row>
    <row r="1591" spans="1:24" s="1" customFormat="1" ht="35" customHeight="1" x14ac:dyDescent="0.3">
      <c r="A1591" s="24" t="s">
        <v>23</v>
      </c>
      <c r="B1591" s="24" t="s">
        <v>1243</v>
      </c>
      <c r="C1591" s="12" t="s">
        <v>1244</v>
      </c>
      <c r="D1591" s="58"/>
      <c r="E1591" s="43" t="str">
        <f>HYPERLINK("https://www.google.ru/search?q=72693-0287&amp;newwindow=1&amp;tbm=isch","Еще фото")</f>
        <v>Еще фото</v>
      </c>
      <c r="F1591" s="14"/>
      <c r="G1591" s="24" t="s">
        <v>237</v>
      </c>
      <c r="H1591" s="24" t="s">
        <v>27</v>
      </c>
      <c r="I1591" s="24" t="s">
        <v>237</v>
      </c>
      <c r="J1591" s="15" t="s">
        <v>37</v>
      </c>
      <c r="K1591" s="16" t="s">
        <v>29</v>
      </c>
      <c r="L1591" s="61"/>
      <c r="M1591" s="15"/>
      <c r="N1591" s="15" t="s">
        <v>138</v>
      </c>
      <c r="O1591" s="15"/>
      <c r="P1591" s="16" t="s">
        <v>515</v>
      </c>
      <c r="Q1591" s="17">
        <v>9499</v>
      </c>
      <c r="R1591" s="18">
        <v>45</v>
      </c>
      <c r="S1591" s="19">
        <v>6008.1174999999994</v>
      </c>
      <c r="T1591" s="20" t="s">
        <v>75</v>
      </c>
      <c r="U1591" s="21" t="s">
        <v>245</v>
      </c>
      <c r="V1591" s="25" t="s">
        <v>48</v>
      </c>
      <c r="W1591" s="22">
        <v>1</v>
      </c>
      <c r="X1591" s="23"/>
    </row>
    <row r="1592" spans="1:24" s="1" customFormat="1" ht="37.049999999999997" customHeight="1" x14ac:dyDescent="0.3">
      <c r="A1592" s="24" t="s">
        <v>23</v>
      </c>
      <c r="B1592" s="24" t="s">
        <v>1243</v>
      </c>
      <c r="C1592" s="12" t="s">
        <v>1244</v>
      </c>
      <c r="D1592" s="59"/>
      <c r="E1592" s="43" t="str">
        <f>HYPERLINK("https://www.google.ru/search?q=72693-0287&amp;newwindow=1&amp;tbm=isch","Еще фото")</f>
        <v>Еще фото</v>
      </c>
      <c r="F1592" s="14"/>
      <c r="G1592" s="24" t="s">
        <v>237</v>
      </c>
      <c r="H1592" s="24" t="s">
        <v>27</v>
      </c>
      <c r="I1592" s="24" t="s">
        <v>237</v>
      </c>
      <c r="J1592" s="15" t="s">
        <v>37</v>
      </c>
      <c r="K1592" s="16" t="s">
        <v>29</v>
      </c>
      <c r="L1592" s="62"/>
      <c r="M1592" s="15"/>
      <c r="N1592" s="15" t="s">
        <v>138</v>
      </c>
      <c r="O1592" s="15"/>
      <c r="P1592" s="16" t="s">
        <v>515</v>
      </c>
      <c r="Q1592" s="17">
        <v>9499</v>
      </c>
      <c r="R1592" s="18">
        <v>45</v>
      </c>
      <c r="S1592" s="19">
        <v>6008.1174999999994</v>
      </c>
      <c r="T1592" s="20" t="s">
        <v>75</v>
      </c>
      <c r="U1592" s="21" t="s">
        <v>940</v>
      </c>
      <c r="V1592" s="22">
        <v>50</v>
      </c>
      <c r="W1592" s="22">
        <v>1</v>
      </c>
      <c r="X1592" s="23"/>
    </row>
    <row r="1593" spans="1:24" s="1" customFormat="1" ht="52.05" customHeight="1" x14ac:dyDescent="0.3">
      <c r="A1593" s="11" t="s">
        <v>23</v>
      </c>
      <c r="B1593" s="11" t="s">
        <v>1245</v>
      </c>
      <c r="C1593" s="12" t="s">
        <v>1246</v>
      </c>
      <c r="D1593" s="63"/>
      <c r="E1593" s="43" t="str">
        <f>HYPERLINK("https://www.google.ru/search?q=79078-0008&amp;newwindow=1&amp;tbm=isch","Еще фото")</f>
        <v>Еще фото</v>
      </c>
      <c r="F1593" s="14"/>
      <c r="G1593" s="11" t="s">
        <v>237</v>
      </c>
      <c r="H1593" s="11" t="s">
        <v>27</v>
      </c>
      <c r="I1593" s="15" t="s">
        <v>237</v>
      </c>
      <c r="J1593" s="15" t="s">
        <v>37</v>
      </c>
      <c r="K1593" s="16" t="s">
        <v>29</v>
      </c>
      <c r="L1593" s="60" t="s">
        <v>1247</v>
      </c>
      <c r="M1593" s="15"/>
      <c r="N1593" s="15" t="s">
        <v>130</v>
      </c>
      <c r="O1593" s="15"/>
      <c r="P1593" s="16" t="s">
        <v>254</v>
      </c>
      <c r="Q1593" s="17">
        <v>18899</v>
      </c>
      <c r="R1593" s="18">
        <v>45</v>
      </c>
      <c r="S1593" s="19">
        <v>11953.6175</v>
      </c>
      <c r="T1593" s="20" t="s">
        <v>75</v>
      </c>
      <c r="U1593" s="21" t="s">
        <v>51</v>
      </c>
      <c r="V1593" s="22">
        <v>44</v>
      </c>
      <c r="W1593" s="22">
        <v>1</v>
      </c>
      <c r="X1593" s="23"/>
    </row>
    <row r="1594" spans="1:24" s="1" customFormat="1" ht="61.05" customHeight="1" x14ac:dyDescent="0.3">
      <c r="A1594" s="24" t="s">
        <v>23</v>
      </c>
      <c r="B1594" s="24" t="s">
        <v>1245</v>
      </c>
      <c r="C1594" s="12" t="s">
        <v>1246</v>
      </c>
      <c r="D1594" s="64"/>
      <c r="E1594" s="43" t="str">
        <f>HYPERLINK("https://www.google.ru/search?q=79078-0008&amp;newwindow=1&amp;tbm=isch","Еще фото")</f>
        <v>Еще фото</v>
      </c>
      <c r="F1594" s="14"/>
      <c r="G1594" s="24" t="s">
        <v>237</v>
      </c>
      <c r="H1594" s="24" t="s">
        <v>27</v>
      </c>
      <c r="I1594" s="24" t="s">
        <v>237</v>
      </c>
      <c r="J1594" s="15" t="s">
        <v>37</v>
      </c>
      <c r="K1594" s="16" t="s">
        <v>29</v>
      </c>
      <c r="L1594" s="62"/>
      <c r="M1594" s="15"/>
      <c r="N1594" s="15" t="s">
        <v>130</v>
      </c>
      <c r="O1594" s="15"/>
      <c r="P1594" s="16" t="s">
        <v>254</v>
      </c>
      <c r="Q1594" s="17">
        <v>18899</v>
      </c>
      <c r="R1594" s="18">
        <v>45</v>
      </c>
      <c r="S1594" s="19">
        <v>11953.6175</v>
      </c>
      <c r="T1594" s="20" t="s">
        <v>75</v>
      </c>
      <c r="U1594" s="21" t="s">
        <v>173</v>
      </c>
      <c r="V1594" s="22">
        <v>46</v>
      </c>
      <c r="W1594" s="22">
        <v>1</v>
      </c>
      <c r="X1594" s="23"/>
    </row>
    <row r="1595" spans="1:24" s="1" customFormat="1" ht="17" customHeight="1" x14ac:dyDescent="0.3">
      <c r="A1595" s="11" t="s">
        <v>23</v>
      </c>
      <c r="B1595" s="11" t="s">
        <v>1245</v>
      </c>
      <c r="C1595" s="12" t="s">
        <v>1248</v>
      </c>
      <c r="D1595" s="57"/>
      <c r="E1595" s="43" t="str">
        <f t="shared" ref="E1595:E1600" si="102">HYPERLINK("https://www.google.ru/search?q=79078-0014&amp;newwindow=1&amp;tbm=isch","Еще фото")</f>
        <v>Еще фото</v>
      </c>
      <c r="F1595" s="14" t="s">
        <v>182</v>
      </c>
      <c r="G1595" s="11" t="s">
        <v>237</v>
      </c>
      <c r="H1595" s="11" t="s">
        <v>27</v>
      </c>
      <c r="I1595" s="15" t="s">
        <v>237</v>
      </c>
      <c r="J1595" s="15" t="s">
        <v>37</v>
      </c>
      <c r="K1595" s="16" t="s">
        <v>29</v>
      </c>
      <c r="L1595" s="60" t="s">
        <v>1247</v>
      </c>
      <c r="M1595" s="15"/>
      <c r="N1595" s="15" t="s">
        <v>130</v>
      </c>
      <c r="O1595" s="15"/>
      <c r="P1595" s="16" t="s">
        <v>254</v>
      </c>
      <c r="Q1595" s="17">
        <v>17999</v>
      </c>
      <c r="R1595" s="18">
        <v>45</v>
      </c>
      <c r="S1595" s="19">
        <v>11384.3675</v>
      </c>
      <c r="T1595" s="20" t="s">
        <v>75</v>
      </c>
      <c r="U1595" s="21" t="s">
        <v>46</v>
      </c>
      <c r="V1595" s="22">
        <v>42</v>
      </c>
      <c r="W1595" s="22">
        <v>2</v>
      </c>
      <c r="X1595" s="23"/>
    </row>
    <row r="1596" spans="1:24" s="1" customFormat="1" ht="17" customHeight="1" x14ac:dyDescent="0.3">
      <c r="A1596" s="24" t="s">
        <v>23</v>
      </c>
      <c r="B1596" s="24" t="s">
        <v>1245</v>
      </c>
      <c r="C1596" s="12" t="s">
        <v>1248</v>
      </c>
      <c r="D1596" s="58"/>
      <c r="E1596" s="43" t="str">
        <f t="shared" si="102"/>
        <v>Еще фото</v>
      </c>
      <c r="F1596" s="14" t="s">
        <v>182</v>
      </c>
      <c r="G1596" s="24" t="s">
        <v>237</v>
      </c>
      <c r="H1596" s="24" t="s">
        <v>27</v>
      </c>
      <c r="I1596" s="24" t="s">
        <v>237</v>
      </c>
      <c r="J1596" s="15" t="s">
        <v>37</v>
      </c>
      <c r="K1596" s="16" t="s">
        <v>29</v>
      </c>
      <c r="L1596" s="61"/>
      <c r="M1596" s="15"/>
      <c r="N1596" s="15" t="s">
        <v>130</v>
      </c>
      <c r="O1596" s="15"/>
      <c r="P1596" s="16" t="s">
        <v>254</v>
      </c>
      <c r="Q1596" s="17">
        <v>17999</v>
      </c>
      <c r="R1596" s="18">
        <v>45</v>
      </c>
      <c r="S1596" s="19">
        <v>11384.3675</v>
      </c>
      <c r="T1596" s="20" t="s">
        <v>75</v>
      </c>
      <c r="U1596" s="21" t="s">
        <v>47</v>
      </c>
      <c r="V1596" s="25" t="s">
        <v>48</v>
      </c>
      <c r="W1596" s="22">
        <v>2</v>
      </c>
      <c r="X1596" s="23"/>
    </row>
    <row r="1597" spans="1:24" s="1" customFormat="1" ht="17" customHeight="1" x14ac:dyDescent="0.3">
      <c r="A1597" s="24" t="s">
        <v>23</v>
      </c>
      <c r="B1597" s="24" t="s">
        <v>1245</v>
      </c>
      <c r="C1597" s="12" t="s">
        <v>1248</v>
      </c>
      <c r="D1597" s="58"/>
      <c r="E1597" s="43" t="str">
        <f t="shared" si="102"/>
        <v>Еще фото</v>
      </c>
      <c r="F1597" s="14" t="s">
        <v>182</v>
      </c>
      <c r="G1597" s="24" t="s">
        <v>237</v>
      </c>
      <c r="H1597" s="24" t="s">
        <v>27</v>
      </c>
      <c r="I1597" s="24" t="s">
        <v>237</v>
      </c>
      <c r="J1597" s="15" t="s">
        <v>37</v>
      </c>
      <c r="K1597" s="16" t="s">
        <v>29</v>
      </c>
      <c r="L1597" s="61"/>
      <c r="M1597" s="15"/>
      <c r="N1597" s="15" t="s">
        <v>130</v>
      </c>
      <c r="O1597" s="15"/>
      <c r="P1597" s="16" t="s">
        <v>254</v>
      </c>
      <c r="Q1597" s="17">
        <v>17999</v>
      </c>
      <c r="R1597" s="18">
        <v>45</v>
      </c>
      <c r="S1597" s="19">
        <v>11384.3675</v>
      </c>
      <c r="T1597" s="20" t="s">
        <v>75</v>
      </c>
      <c r="U1597" s="21" t="s">
        <v>50</v>
      </c>
      <c r="V1597" s="22">
        <v>44</v>
      </c>
      <c r="W1597" s="22">
        <v>2</v>
      </c>
      <c r="X1597" s="23"/>
    </row>
    <row r="1598" spans="1:24" s="1" customFormat="1" ht="17" customHeight="1" x14ac:dyDescent="0.3">
      <c r="A1598" s="24" t="s">
        <v>23</v>
      </c>
      <c r="B1598" s="24" t="s">
        <v>1245</v>
      </c>
      <c r="C1598" s="12" t="s">
        <v>1248</v>
      </c>
      <c r="D1598" s="58"/>
      <c r="E1598" s="43" t="str">
        <f t="shared" si="102"/>
        <v>Еще фото</v>
      </c>
      <c r="F1598" s="14" t="s">
        <v>182</v>
      </c>
      <c r="G1598" s="24" t="s">
        <v>237</v>
      </c>
      <c r="H1598" s="24" t="s">
        <v>27</v>
      </c>
      <c r="I1598" s="24" t="s">
        <v>237</v>
      </c>
      <c r="J1598" s="15" t="s">
        <v>37</v>
      </c>
      <c r="K1598" s="16" t="s">
        <v>29</v>
      </c>
      <c r="L1598" s="61"/>
      <c r="M1598" s="15"/>
      <c r="N1598" s="15" t="s">
        <v>130</v>
      </c>
      <c r="O1598" s="15"/>
      <c r="P1598" s="16" t="s">
        <v>254</v>
      </c>
      <c r="Q1598" s="17">
        <v>17999</v>
      </c>
      <c r="R1598" s="18">
        <v>45</v>
      </c>
      <c r="S1598" s="19">
        <v>11384.3675</v>
      </c>
      <c r="T1598" s="20" t="s">
        <v>75</v>
      </c>
      <c r="U1598" s="21" t="s">
        <v>230</v>
      </c>
      <c r="V1598" s="22">
        <v>46</v>
      </c>
      <c r="W1598" s="22">
        <v>2</v>
      </c>
      <c r="X1598" s="23"/>
    </row>
    <row r="1599" spans="1:24" s="1" customFormat="1" ht="17" customHeight="1" x14ac:dyDescent="0.3">
      <c r="A1599" s="24" t="s">
        <v>23</v>
      </c>
      <c r="B1599" s="24" t="s">
        <v>1245</v>
      </c>
      <c r="C1599" s="12" t="s">
        <v>1248</v>
      </c>
      <c r="D1599" s="58"/>
      <c r="E1599" s="43" t="str">
        <f t="shared" si="102"/>
        <v>Еще фото</v>
      </c>
      <c r="F1599" s="14" t="s">
        <v>182</v>
      </c>
      <c r="G1599" s="24" t="s">
        <v>237</v>
      </c>
      <c r="H1599" s="24" t="s">
        <v>27</v>
      </c>
      <c r="I1599" s="24" t="s">
        <v>237</v>
      </c>
      <c r="J1599" s="15" t="s">
        <v>37</v>
      </c>
      <c r="K1599" s="16" t="s">
        <v>29</v>
      </c>
      <c r="L1599" s="61"/>
      <c r="M1599" s="15"/>
      <c r="N1599" s="15" t="s">
        <v>130</v>
      </c>
      <c r="O1599" s="15"/>
      <c r="P1599" s="16" t="s">
        <v>254</v>
      </c>
      <c r="Q1599" s="17">
        <v>17999</v>
      </c>
      <c r="R1599" s="18">
        <v>45</v>
      </c>
      <c r="S1599" s="19">
        <v>11384.3675</v>
      </c>
      <c r="T1599" s="20" t="s">
        <v>75</v>
      </c>
      <c r="U1599" s="21" t="s">
        <v>52</v>
      </c>
      <c r="V1599" s="22">
        <v>48</v>
      </c>
      <c r="W1599" s="22">
        <v>1</v>
      </c>
      <c r="X1599" s="23"/>
    </row>
    <row r="1600" spans="1:24" s="1" customFormat="1" ht="22.05" customHeight="1" x14ac:dyDescent="0.3">
      <c r="A1600" s="24" t="s">
        <v>23</v>
      </c>
      <c r="B1600" s="24" t="s">
        <v>1245</v>
      </c>
      <c r="C1600" s="12" t="s">
        <v>1248</v>
      </c>
      <c r="D1600" s="59"/>
      <c r="E1600" s="43" t="str">
        <f t="shared" si="102"/>
        <v>Еще фото</v>
      </c>
      <c r="F1600" s="14" t="s">
        <v>182</v>
      </c>
      <c r="G1600" s="24" t="s">
        <v>237</v>
      </c>
      <c r="H1600" s="24" t="s">
        <v>27</v>
      </c>
      <c r="I1600" s="24" t="s">
        <v>237</v>
      </c>
      <c r="J1600" s="15" t="s">
        <v>37</v>
      </c>
      <c r="K1600" s="16" t="s">
        <v>29</v>
      </c>
      <c r="L1600" s="62"/>
      <c r="M1600" s="15"/>
      <c r="N1600" s="15" t="s">
        <v>130</v>
      </c>
      <c r="O1600" s="15"/>
      <c r="P1600" s="16" t="s">
        <v>254</v>
      </c>
      <c r="Q1600" s="17">
        <v>17999</v>
      </c>
      <c r="R1600" s="18">
        <v>45</v>
      </c>
      <c r="S1600" s="19">
        <v>11384.3675</v>
      </c>
      <c r="T1600" s="20" t="s">
        <v>75</v>
      </c>
      <c r="U1600" s="21" t="s">
        <v>143</v>
      </c>
      <c r="V1600" s="22">
        <v>48</v>
      </c>
      <c r="W1600" s="22">
        <v>4</v>
      </c>
      <c r="X1600" s="23"/>
    </row>
    <row r="1601" spans="1:24" s="1" customFormat="1" ht="108" customHeight="1" x14ac:dyDescent="0.3">
      <c r="A1601" s="11" t="s">
        <v>23</v>
      </c>
      <c r="B1601" s="11" t="s">
        <v>1245</v>
      </c>
      <c r="C1601" s="12" t="s">
        <v>1249</v>
      </c>
      <c r="D1601" s="13"/>
      <c r="E1601" s="43" t="str">
        <f>HYPERLINK("https://www.google.ru/search?q=79078-0023&amp;newwindow=1&amp;tbm=isch","Еще фото")</f>
        <v>Еще фото</v>
      </c>
      <c r="F1601" s="14"/>
      <c r="G1601" s="11" t="s">
        <v>237</v>
      </c>
      <c r="H1601" s="11" t="s">
        <v>27</v>
      </c>
      <c r="I1601" s="15" t="s">
        <v>237</v>
      </c>
      <c r="J1601" s="15" t="s">
        <v>37</v>
      </c>
      <c r="K1601" s="16" t="s">
        <v>29</v>
      </c>
      <c r="L1601" s="15" t="s">
        <v>1247</v>
      </c>
      <c r="M1601" s="15"/>
      <c r="N1601" s="15" t="s">
        <v>39</v>
      </c>
      <c r="O1601" s="15"/>
      <c r="P1601" s="16" t="s">
        <v>1250</v>
      </c>
      <c r="Q1601" s="17">
        <v>19599</v>
      </c>
      <c r="R1601" s="18">
        <v>45</v>
      </c>
      <c r="S1601" s="19">
        <v>12396.3675</v>
      </c>
      <c r="T1601" s="20" t="s">
        <v>75</v>
      </c>
      <c r="U1601" s="21" t="s">
        <v>51</v>
      </c>
      <c r="V1601" s="22">
        <v>44</v>
      </c>
      <c r="W1601" s="22">
        <v>1</v>
      </c>
      <c r="X1601" s="23"/>
    </row>
    <row r="1602" spans="1:24" s="1" customFormat="1" ht="21" customHeight="1" x14ac:dyDescent="0.3">
      <c r="A1602" s="11" t="s">
        <v>23</v>
      </c>
      <c r="B1602" s="11" t="s">
        <v>1251</v>
      </c>
      <c r="C1602" s="30" t="s">
        <v>1252</v>
      </c>
      <c r="D1602" s="57"/>
      <c r="E1602" s="43" t="str">
        <f>HYPERLINK("https://www.google.ru/search?q=79078-0044&amp;newwindow=1&amp;tbm=isch","Еще фото")</f>
        <v>Еще фото</v>
      </c>
      <c r="F1602" s="14" t="s">
        <v>182</v>
      </c>
      <c r="G1602" s="11" t="s">
        <v>237</v>
      </c>
      <c r="H1602" s="11" t="s">
        <v>27</v>
      </c>
      <c r="I1602" s="15" t="s">
        <v>237</v>
      </c>
      <c r="J1602" s="15" t="s">
        <v>28</v>
      </c>
      <c r="K1602" s="16" t="s">
        <v>29</v>
      </c>
      <c r="L1602" s="60" t="s">
        <v>1247</v>
      </c>
      <c r="M1602" s="15"/>
      <c r="N1602" s="15" t="s">
        <v>130</v>
      </c>
      <c r="O1602" s="15"/>
      <c r="P1602" s="16" t="s">
        <v>254</v>
      </c>
      <c r="Q1602" s="17">
        <v>18899</v>
      </c>
      <c r="R1602" s="18">
        <v>45</v>
      </c>
      <c r="S1602" s="19">
        <v>11953.6175</v>
      </c>
      <c r="T1602" s="20" t="s">
        <v>41</v>
      </c>
      <c r="U1602" s="21" t="s">
        <v>293</v>
      </c>
      <c r="V1602" s="25" t="s">
        <v>44</v>
      </c>
      <c r="W1602" s="22">
        <v>1</v>
      </c>
      <c r="X1602" s="23"/>
    </row>
    <row r="1603" spans="1:24" s="1" customFormat="1" ht="21" customHeight="1" x14ac:dyDescent="0.3">
      <c r="A1603" s="24" t="s">
        <v>23</v>
      </c>
      <c r="B1603" s="24" t="s">
        <v>1251</v>
      </c>
      <c r="C1603" s="31" t="s">
        <v>1252</v>
      </c>
      <c r="D1603" s="58"/>
      <c r="E1603" s="43" t="str">
        <f>HYPERLINK("https://www.google.ru/search?q=79078-0044&amp;newwindow=1&amp;tbm=isch","Еще фото")</f>
        <v>Еще фото</v>
      </c>
      <c r="F1603" s="14" t="s">
        <v>182</v>
      </c>
      <c r="G1603" s="24" t="s">
        <v>237</v>
      </c>
      <c r="H1603" s="24" t="s">
        <v>27</v>
      </c>
      <c r="I1603" s="24" t="s">
        <v>237</v>
      </c>
      <c r="J1603" s="15" t="s">
        <v>28</v>
      </c>
      <c r="K1603" s="16" t="s">
        <v>29</v>
      </c>
      <c r="L1603" s="61"/>
      <c r="M1603" s="15"/>
      <c r="N1603" s="15" t="s">
        <v>130</v>
      </c>
      <c r="O1603" s="15"/>
      <c r="P1603" s="16" t="s">
        <v>254</v>
      </c>
      <c r="Q1603" s="17">
        <v>18899</v>
      </c>
      <c r="R1603" s="18">
        <v>45</v>
      </c>
      <c r="S1603" s="19">
        <v>11953.6175</v>
      </c>
      <c r="T1603" s="20" t="s">
        <v>41</v>
      </c>
      <c r="U1603" s="21" t="s">
        <v>46</v>
      </c>
      <c r="V1603" s="22">
        <v>42</v>
      </c>
      <c r="W1603" s="22">
        <v>2</v>
      </c>
      <c r="X1603" s="23"/>
    </row>
    <row r="1604" spans="1:24" s="1" customFormat="1" ht="21" customHeight="1" x14ac:dyDescent="0.3">
      <c r="A1604" s="24" t="s">
        <v>23</v>
      </c>
      <c r="B1604" s="24" t="s">
        <v>1251</v>
      </c>
      <c r="C1604" s="31" t="s">
        <v>1252</v>
      </c>
      <c r="D1604" s="58"/>
      <c r="E1604" s="43" t="str">
        <f>HYPERLINK("https://www.google.ru/search?q=79078-0044&amp;newwindow=1&amp;tbm=isch","Еще фото")</f>
        <v>Еще фото</v>
      </c>
      <c r="F1604" s="14" t="s">
        <v>182</v>
      </c>
      <c r="G1604" s="24" t="s">
        <v>237</v>
      </c>
      <c r="H1604" s="24" t="s">
        <v>27</v>
      </c>
      <c r="I1604" s="24" t="s">
        <v>237</v>
      </c>
      <c r="J1604" s="15" t="s">
        <v>28</v>
      </c>
      <c r="K1604" s="16" t="s">
        <v>29</v>
      </c>
      <c r="L1604" s="61"/>
      <c r="M1604" s="15"/>
      <c r="N1604" s="15" t="s">
        <v>130</v>
      </c>
      <c r="O1604" s="15"/>
      <c r="P1604" s="16" t="s">
        <v>254</v>
      </c>
      <c r="Q1604" s="17">
        <v>18899</v>
      </c>
      <c r="R1604" s="18">
        <v>45</v>
      </c>
      <c r="S1604" s="19">
        <v>11953.6175</v>
      </c>
      <c r="T1604" s="20" t="s">
        <v>41</v>
      </c>
      <c r="U1604" s="21" t="s">
        <v>47</v>
      </c>
      <c r="V1604" s="25" t="s">
        <v>48</v>
      </c>
      <c r="W1604" s="22">
        <v>2</v>
      </c>
      <c r="X1604" s="23"/>
    </row>
    <row r="1605" spans="1:24" s="1" customFormat="1" ht="21" customHeight="1" x14ac:dyDescent="0.3">
      <c r="A1605" s="24" t="s">
        <v>23</v>
      </c>
      <c r="B1605" s="24" t="s">
        <v>1251</v>
      </c>
      <c r="C1605" s="31" t="s">
        <v>1252</v>
      </c>
      <c r="D1605" s="58"/>
      <c r="E1605" s="43" t="str">
        <f>HYPERLINK("https://www.google.ru/search?q=79078-0044&amp;newwindow=1&amp;tbm=isch","Еще фото")</f>
        <v>Еще фото</v>
      </c>
      <c r="F1605" s="14" t="s">
        <v>182</v>
      </c>
      <c r="G1605" s="24" t="s">
        <v>237</v>
      </c>
      <c r="H1605" s="24" t="s">
        <v>27</v>
      </c>
      <c r="I1605" s="24" t="s">
        <v>237</v>
      </c>
      <c r="J1605" s="15" t="s">
        <v>28</v>
      </c>
      <c r="K1605" s="16" t="s">
        <v>29</v>
      </c>
      <c r="L1605" s="61"/>
      <c r="M1605" s="15"/>
      <c r="N1605" s="15" t="s">
        <v>130</v>
      </c>
      <c r="O1605" s="15"/>
      <c r="P1605" s="16" t="s">
        <v>254</v>
      </c>
      <c r="Q1605" s="17">
        <v>18899</v>
      </c>
      <c r="R1605" s="18">
        <v>45</v>
      </c>
      <c r="S1605" s="19">
        <v>11953.6175</v>
      </c>
      <c r="T1605" s="20" t="s">
        <v>41</v>
      </c>
      <c r="U1605" s="21" t="s">
        <v>50</v>
      </c>
      <c r="V1605" s="22">
        <v>44</v>
      </c>
      <c r="W1605" s="22">
        <v>1</v>
      </c>
      <c r="X1605" s="23"/>
    </row>
    <row r="1606" spans="1:24" s="1" customFormat="1" ht="32" customHeight="1" x14ac:dyDescent="0.3">
      <c r="A1606" s="24" t="s">
        <v>23</v>
      </c>
      <c r="B1606" s="24" t="s">
        <v>1251</v>
      </c>
      <c r="C1606" s="31" t="s">
        <v>1252</v>
      </c>
      <c r="D1606" s="59"/>
      <c r="E1606" s="43" t="str">
        <f>HYPERLINK("https://www.google.ru/search?q=79078-0044&amp;newwindow=1&amp;tbm=isch","Еще фото")</f>
        <v>Еще фото</v>
      </c>
      <c r="F1606" s="14" t="s">
        <v>182</v>
      </c>
      <c r="G1606" s="24" t="s">
        <v>237</v>
      </c>
      <c r="H1606" s="24" t="s">
        <v>27</v>
      </c>
      <c r="I1606" s="24" t="s">
        <v>237</v>
      </c>
      <c r="J1606" s="15" t="s">
        <v>28</v>
      </c>
      <c r="K1606" s="16" t="s">
        <v>29</v>
      </c>
      <c r="L1606" s="62"/>
      <c r="M1606" s="15"/>
      <c r="N1606" s="15" t="s">
        <v>130</v>
      </c>
      <c r="O1606" s="15"/>
      <c r="P1606" s="16" t="s">
        <v>254</v>
      </c>
      <c r="Q1606" s="17">
        <v>18899</v>
      </c>
      <c r="R1606" s="18">
        <v>45</v>
      </c>
      <c r="S1606" s="19">
        <v>11953.6175</v>
      </c>
      <c r="T1606" s="20" t="s">
        <v>41</v>
      </c>
      <c r="U1606" s="21" t="s">
        <v>230</v>
      </c>
      <c r="V1606" s="22">
        <v>46</v>
      </c>
      <c r="W1606" s="22">
        <v>1</v>
      </c>
      <c r="X1606" s="23"/>
    </row>
    <row r="1607" spans="1:24" s="1" customFormat="1" ht="52.05" customHeight="1" x14ac:dyDescent="0.3">
      <c r="A1607" s="11" t="s">
        <v>23</v>
      </c>
      <c r="B1607" s="11" t="s">
        <v>1245</v>
      </c>
      <c r="C1607" s="12" t="s">
        <v>1253</v>
      </c>
      <c r="D1607" s="63"/>
      <c r="E1607" s="43" t="str">
        <f>HYPERLINK("https://www.google.ru/search?q=79078-0061&amp;newwindow=1&amp;tbm=isch","Еще фото")</f>
        <v>Еще фото</v>
      </c>
      <c r="F1607" s="14"/>
      <c r="G1607" s="11" t="s">
        <v>237</v>
      </c>
      <c r="H1607" s="11" t="s">
        <v>27</v>
      </c>
      <c r="I1607" s="15" t="s">
        <v>237</v>
      </c>
      <c r="J1607" s="15" t="s">
        <v>37</v>
      </c>
      <c r="K1607" s="16" t="s">
        <v>29</v>
      </c>
      <c r="L1607" s="60" t="s">
        <v>1247</v>
      </c>
      <c r="M1607" s="15"/>
      <c r="N1607" s="15" t="s">
        <v>130</v>
      </c>
      <c r="O1607" s="15"/>
      <c r="P1607" s="16" t="s">
        <v>88</v>
      </c>
      <c r="Q1607" s="17">
        <v>22099</v>
      </c>
      <c r="R1607" s="18">
        <v>45</v>
      </c>
      <c r="S1607" s="19">
        <v>13977.6175</v>
      </c>
      <c r="T1607" s="20" t="s">
        <v>75</v>
      </c>
      <c r="U1607" s="21" t="s">
        <v>109</v>
      </c>
      <c r="V1607" s="25" t="s">
        <v>96</v>
      </c>
      <c r="W1607" s="22">
        <v>1</v>
      </c>
      <c r="X1607" s="23"/>
    </row>
    <row r="1608" spans="1:24" s="1" customFormat="1" ht="61.05" customHeight="1" x14ac:dyDescent="0.3">
      <c r="A1608" s="24" t="s">
        <v>23</v>
      </c>
      <c r="B1608" s="24" t="s">
        <v>1245</v>
      </c>
      <c r="C1608" s="12" t="s">
        <v>1253</v>
      </c>
      <c r="D1608" s="64"/>
      <c r="E1608" s="43" t="str">
        <f>HYPERLINK("https://www.google.ru/search?q=79078-0061&amp;newwindow=1&amp;tbm=isch","Еще фото")</f>
        <v>Еще фото</v>
      </c>
      <c r="F1608" s="14"/>
      <c r="G1608" s="24" t="s">
        <v>237</v>
      </c>
      <c r="H1608" s="24" t="s">
        <v>27</v>
      </c>
      <c r="I1608" s="24" t="s">
        <v>237</v>
      </c>
      <c r="J1608" s="15" t="s">
        <v>37</v>
      </c>
      <c r="K1608" s="16" t="s">
        <v>29</v>
      </c>
      <c r="L1608" s="62"/>
      <c r="M1608" s="15"/>
      <c r="N1608" s="15" t="s">
        <v>130</v>
      </c>
      <c r="O1608" s="15"/>
      <c r="P1608" s="16" t="s">
        <v>88</v>
      </c>
      <c r="Q1608" s="17">
        <v>22099</v>
      </c>
      <c r="R1608" s="18">
        <v>45</v>
      </c>
      <c r="S1608" s="19">
        <v>13977.6175</v>
      </c>
      <c r="T1608" s="20" t="s">
        <v>75</v>
      </c>
      <c r="U1608" s="21" t="s">
        <v>165</v>
      </c>
      <c r="V1608" s="22">
        <v>50</v>
      </c>
      <c r="W1608" s="22">
        <v>1</v>
      </c>
      <c r="X1608" s="23"/>
    </row>
    <row r="1609" spans="1:24" s="1" customFormat="1" ht="17" customHeight="1" x14ac:dyDescent="0.3">
      <c r="A1609" s="11" t="s">
        <v>23</v>
      </c>
      <c r="B1609" s="11" t="s">
        <v>529</v>
      </c>
      <c r="C1609" s="12" t="s">
        <v>1254</v>
      </c>
      <c r="D1609" s="57"/>
      <c r="E1609" s="43" t="str">
        <f t="shared" ref="E1609:E1614" si="103">HYPERLINK("https://www.google.ru/search?q=A1959-0106&amp;newwindow=1&amp;tbm=isch","Еще фото")</f>
        <v>Еще фото</v>
      </c>
      <c r="F1609" s="14" t="s">
        <v>182</v>
      </c>
      <c r="G1609" s="11" t="s">
        <v>237</v>
      </c>
      <c r="H1609" s="11" t="s">
        <v>27</v>
      </c>
      <c r="I1609" s="15" t="s">
        <v>237</v>
      </c>
      <c r="J1609" s="15" t="s">
        <v>28</v>
      </c>
      <c r="K1609" s="16" t="s">
        <v>29</v>
      </c>
      <c r="L1609" s="60" t="s">
        <v>1255</v>
      </c>
      <c r="M1609" s="15"/>
      <c r="N1609" s="15" t="s">
        <v>130</v>
      </c>
      <c r="O1609" s="15"/>
      <c r="P1609" s="16" t="s">
        <v>32</v>
      </c>
      <c r="Q1609" s="17">
        <v>17099</v>
      </c>
      <c r="R1609" s="18">
        <v>45</v>
      </c>
      <c r="S1609" s="19">
        <v>10815.1175</v>
      </c>
      <c r="T1609" s="20" t="s">
        <v>75</v>
      </c>
      <c r="U1609" s="21" t="s">
        <v>230</v>
      </c>
      <c r="V1609" s="22">
        <v>46</v>
      </c>
      <c r="W1609" s="22">
        <v>2</v>
      </c>
      <c r="X1609" s="23"/>
    </row>
    <row r="1610" spans="1:24" s="1" customFormat="1" ht="17" customHeight="1" x14ac:dyDescent="0.3">
      <c r="A1610" s="24" t="s">
        <v>23</v>
      </c>
      <c r="B1610" s="24" t="s">
        <v>529</v>
      </c>
      <c r="C1610" s="12" t="s">
        <v>1254</v>
      </c>
      <c r="D1610" s="58"/>
      <c r="E1610" s="43" t="str">
        <f t="shared" si="103"/>
        <v>Еще фото</v>
      </c>
      <c r="F1610" s="14" t="s">
        <v>182</v>
      </c>
      <c r="G1610" s="24" t="s">
        <v>237</v>
      </c>
      <c r="H1610" s="24" t="s">
        <v>27</v>
      </c>
      <c r="I1610" s="24" t="s">
        <v>237</v>
      </c>
      <c r="J1610" s="15" t="s">
        <v>28</v>
      </c>
      <c r="K1610" s="16" t="s">
        <v>29</v>
      </c>
      <c r="L1610" s="61"/>
      <c r="M1610" s="15"/>
      <c r="N1610" s="15" t="s">
        <v>130</v>
      </c>
      <c r="O1610" s="15"/>
      <c r="P1610" s="16" t="s">
        <v>32</v>
      </c>
      <c r="Q1610" s="17">
        <v>17099</v>
      </c>
      <c r="R1610" s="18">
        <v>45</v>
      </c>
      <c r="S1610" s="19">
        <v>10815.1175</v>
      </c>
      <c r="T1610" s="20" t="s">
        <v>75</v>
      </c>
      <c r="U1610" s="21" t="s">
        <v>52</v>
      </c>
      <c r="V1610" s="22">
        <v>48</v>
      </c>
      <c r="W1610" s="22">
        <v>9</v>
      </c>
      <c r="X1610" s="23"/>
    </row>
    <row r="1611" spans="1:24" s="1" customFormat="1" ht="17" customHeight="1" x14ac:dyDescent="0.3">
      <c r="A1611" s="24" t="s">
        <v>23</v>
      </c>
      <c r="B1611" s="24" t="s">
        <v>529</v>
      </c>
      <c r="C1611" s="12" t="s">
        <v>1254</v>
      </c>
      <c r="D1611" s="58"/>
      <c r="E1611" s="43" t="str">
        <f t="shared" si="103"/>
        <v>Еще фото</v>
      </c>
      <c r="F1611" s="14" t="s">
        <v>182</v>
      </c>
      <c r="G1611" s="24" t="s">
        <v>237</v>
      </c>
      <c r="H1611" s="24" t="s">
        <v>27</v>
      </c>
      <c r="I1611" s="24" t="s">
        <v>237</v>
      </c>
      <c r="J1611" s="15" t="s">
        <v>28</v>
      </c>
      <c r="K1611" s="16" t="s">
        <v>29</v>
      </c>
      <c r="L1611" s="61"/>
      <c r="M1611" s="15"/>
      <c r="N1611" s="15" t="s">
        <v>130</v>
      </c>
      <c r="O1611" s="15"/>
      <c r="P1611" s="16" t="s">
        <v>32</v>
      </c>
      <c r="Q1611" s="17">
        <v>17099</v>
      </c>
      <c r="R1611" s="18">
        <v>45</v>
      </c>
      <c r="S1611" s="19">
        <v>10815.1175</v>
      </c>
      <c r="T1611" s="20" t="s">
        <v>75</v>
      </c>
      <c r="U1611" s="21" t="s">
        <v>53</v>
      </c>
      <c r="V1611" s="22">
        <v>48</v>
      </c>
      <c r="W1611" s="22">
        <v>2</v>
      </c>
      <c r="X1611" s="23"/>
    </row>
    <row r="1612" spans="1:24" s="1" customFormat="1" ht="17" customHeight="1" x14ac:dyDescent="0.3">
      <c r="A1612" s="24" t="s">
        <v>23</v>
      </c>
      <c r="B1612" s="24" t="s">
        <v>529</v>
      </c>
      <c r="C1612" s="12" t="s">
        <v>1254</v>
      </c>
      <c r="D1612" s="58"/>
      <c r="E1612" s="43" t="str">
        <f t="shared" si="103"/>
        <v>Еще фото</v>
      </c>
      <c r="F1612" s="14" t="s">
        <v>182</v>
      </c>
      <c r="G1612" s="24" t="s">
        <v>237</v>
      </c>
      <c r="H1612" s="24" t="s">
        <v>27</v>
      </c>
      <c r="I1612" s="24" t="s">
        <v>237</v>
      </c>
      <c r="J1612" s="15" t="s">
        <v>28</v>
      </c>
      <c r="K1612" s="16" t="s">
        <v>29</v>
      </c>
      <c r="L1612" s="61"/>
      <c r="M1612" s="15"/>
      <c r="N1612" s="15" t="s">
        <v>130</v>
      </c>
      <c r="O1612" s="15"/>
      <c r="P1612" s="16" t="s">
        <v>32</v>
      </c>
      <c r="Q1612" s="17">
        <v>17099</v>
      </c>
      <c r="R1612" s="18">
        <v>45</v>
      </c>
      <c r="S1612" s="19">
        <v>10815.1175</v>
      </c>
      <c r="T1612" s="20" t="s">
        <v>75</v>
      </c>
      <c r="U1612" s="21" t="s">
        <v>188</v>
      </c>
      <c r="V1612" s="25" t="s">
        <v>96</v>
      </c>
      <c r="W1612" s="22">
        <v>4</v>
      </c>
      <c r="X1612" s="23"/>
    </row>
    <row r="1613" spans="1:24" s="1" customFormat="1" ht="17" customHeight="1" x14ac:dyDescent="0.3">
      <c r="A1613" s="24" t="s">
        <v>23</v>
      </c>
      <c r="B1613" s="24" t="s">
        <v>529</v>
      </c>
      <c r="C1613" s="12" t="s">
        <v>1254</v>
      </c>
      <c r="D1613" s="58"/>
      <c r="E1613" s="43" t="str">
        <f t="shared" si="103"/>
        <v>Еще фото</v>
      </c>
      <c r="F1613" s="14" t="s">
        <v>182</v>
      </c>
      <c r="G1613" s="24" t="s">
        <v>237</v>
      </c>
      <c r="H1613" s="24" t="s">
        <v>27</v>
      </c>
      <c r="I1613" s="24" t="s">
        <v>237</v>
      </c>
      <c r="J1613" s="15" t="s">
        <v>28</v>
      </c>
      <c r="K1613" s="16" t="s">
        <v>29</v>
      </c>
      <c r="L1613" s="61"/>
      <c r="M1613" s="15"/>
      <c r="N1613" s="15" t="s">
        <v>130</v>
      </c>
      <c r="O1613" s="15"/>
      <c r="P1613" s="16" t="s">
        <v>32</v>
      </c>
      <c r="Q1613" s="17">
        <v>17099</v>
      </c>
      <c r="R1613" s="18">
        <v>45</v>
      </c>
      <c r="S1613" s="19">
        <v>10815.1175</v>
      </c>
      <c r="T1613" s="20" t="s">
        <v>75</v>
      </c>
      <c r="U1613" s="21" t="s">
        <v>95</v>
      </c>
      <c r="V1613" s="22">
        <v>50</v>
      </c>
      <c r="W1613" s="22">
        <v>8</v>
      </c>
      <c r="X1613" s="23"/>
    </row>
    <row r="1614" spans="1:24" s="1" customFormat="1" ht="22.05" customHeight="1" x14ac:dyDescent="0.3">
      <c r="A1614" s="24" t="s">
        <v>23</v>
      </c>
      <c r="B1614" s="24" t="s">
        <v>529</v>
      </c>
      <c r="C1614" s="12" t="s">
        <v>1254</v>
      </c>
      <c r="D1614" s="59"/>
      <c r="E1614" s="43" t="str">
        <f t="shared" si="103"/>
        <v>Еще фото</v>
      </c>
      <c r="F1614" s="14" t="s">
        <v>182</v>
      </c>
      <c r="G1614" s="24" t="s">
        <v>237</v>
      </c>
      <c r="H1614" s="24" t="s">
        <v>27</v>
      </c>
      <c r="I1614" s="24" t="s">
        <v>237</v>
      </c>
      <c r="J1614" s="15" t="s">
        <v>28</v>
      </c>
      <c r="K1614" s="16" t="s">
        <v>29</v>
      </c>
      <c r="L1614" s="62"/>
      <c r="M1614" s="15"/>
      <c r="N1614" s="15" t="s">
        <v>130</v>
      </c>
      <c r="O1614" s="15"/>
      <c r="P1614" s="16" t="s">
        <v>32</v>
      </c>
      <c r="Q1614" s="17">
        <v>17099</v>
      </c>
      <c r="R1614" s="18">
        <v>45</v>
      </c>
      <c r="S1614" s="19">
        <v>10815.1175</v>
      </c>
      <c r="T1614" s="20" t="s">
        <v>75</v>
      </c>
      <c r="U1614" s="21" t="s">
        <v>165</v>
      </c>
      <c r="V1614" s="22">
        <v>50</v>
      </c>
      <c r="W1614" s="22">
        <v>7</v>
      </c>
      <c r="X1614" s="23"/>
    </row>
    <row r="1615" spans="1:24" s="1" customFormat="1" ht="108" customHeight="1" x14ac:dyDescent="0.3">
      <c r="A1615" s="11" t="s">
        <v>23</v>
      </c>
      <c r="B1615" s="11" t="s">
        <v>1256</v>
      </c>
      <c r="C1615" s="12" t="s">
        <v>1257</v>
      </c>
      <c r="D1615" s="13"/>
      <c r="E1615" s="43" t="str">
        <f>HYPERLINK("https://www.google.ru/search?q=A1959-0115&amp;newwindow=1&amp;tbm=isch","Еще фото")</f>
        <v>Еще фото</v>
      </c>
      <c r="F1615" s="14"/>
      <c r="G1615" s="11" t="s">
        <v>237</v>
      </c>
      <c r="H1615" s="11" t="s">
        <v>27</v>
      </c>
      <c r="I1615" s="15" t="s">
        <v>237</v>
      </c>
      <c r="J1615" s="15" t="s">
        <v>37</v>
      </c>
      <c r="K1615" s="16" t="s">
        <v>29</v>
      </c>
      <c r="L1615" s="15" t="s">
        <v>1255</v>
      </c>
      <c r="M1615" s="15"/>
      <c r="N1615" s="15" t="s">
        <v>138</v>
      </c>
      <c r="O1615" s="15"/>
      <c r="P1615" s="16" t="s">
        <v>32</v>
      </c>
      <c r="Q1615" s="17">
        <v>10299</v>
      </c>
      <c r="R1615" s="18">
        <v>45</v>
      </c>
      <c r="S1615" s="19">
        <v>6514.1174999999994</v>
      </c>
      <c r="T1615" s="20" t="s">
        <v>75</v>
      </c>
      <c r="U1615" s="21" t="s">
        <v>143</v>
      </c>
      <c r="V1615" s="22">
        <v>48</v>
      </c>
      <c r="W1615" s="22">
        <v>1</v>
      </c>
      <c r="X1615" s="23"/>
    </row>
    <row r="1616" spans="1:24" s="1" customFormat="1" ht="35" customHeight="1" x14ac:dyDescent="0.3">
      <c r="A1616" s="11" t="s">
        <v>23</v>
      </c>
      <c r="B1616" s="11" t="s">
        <v>1258</v>
      </c>
      <c r="C1616" s="12" t="s">
        <v>1259</v>
      </c>
      <c r="D1616" s="57"/>
      <c r="E1616" s="43" t="str">
        <f>HYPERLINK("https://www.google.ru/search?q=A2081-0078&amp;newwindow=1&amp;tbm=isch","Еще фото")</f>
        <v>Еще фото</v>
      </c>
      <c r="F1616" s="14"/>
      <c r="G1616" s="11" t="s">
        <v>237</v>
      </c>
      <c r="H1616" s="11" t="s">
        <v>27</v>
      </c>
      <c r="I1616" s="15" t="s">
        <v>237</v>
      </c>
      <c r="J1616" s="15" t="s">
        <v>37</v>
      </c>
      <c r="K1616" s="16" t="s">
        <v>57</v>
      </c>
      <c r="L1616" s="60" t="s">
        <v>533</v>
      </c>
      <c r="M1616" s="15"/>
      <c r="N1616" s="15" t="s">
        <v>138</v>
      </c>
      <c r="O1616" s="15"/>
      <c r="P1616" s="16" t="s">
        <v>1260</v>
      </c>
      <c r="Q1616" s="17">
        <v>17999</v>
      </c>
      <c r="R1616" s="18">
        <v>45</v>
      </c>
      <c r="S1616" s="19">
        <v>11384.3675</v>
      </c>
      <c r="T1616" s="20" t="s">
        <v>75</v>
      </c>
      <c r="U1616" s="21" t="s">
        <v>165</v>
      </c>
      <c r="V1616" s="22">
        <v>48</v>
      </c>
      <c r="W1616" s="22">
        <v>2</v>
      </c>
      <c r="X1616" s="23"/>
    </row>
    <row r="1617" spans="1:24" s="1" customFormat="1" ht="35" customHeight="1" x14ac:dyDescent="0.3">
      <c r="A1617" s="24" t="s">
        <v>23</v>
      </c>
      <c r="B1617" s="24" t="s">
        <v>1258</v>
      </c>
      <c r="C1617" s="12" t="s">
        <v>1259</v>
      </c>
      <c r="D1617" s="58"/>
      <c r="E1617" s="43" t="str">
        <f>HYPERLINK("https://www.google.ru/search?q=A2081-0078&amp;newwindow=1&amp;tbm=isch","Еще фото")</f>
        <v>Еще фото</v>
      </c>
      <c r="F1617" s="14"/>
      <c r="G1617" s="24" t="s">
        <v>237</v>
      </c>
      <c r="H1617" s="24" t="s">
        <v>27</v>
      </c>
      <c r="I1617" s="24" t="s">
        <v>237</v>
      </c>
      <c r="J1617" s="15" t="s">
        <v>37</v>
      </c>
      <c r="K1617" s="16" t="s">
        <v>57</v>
      </c>
      <c r="L1617" s="61"/>
      <c r="M1617" s="15"/>
      <c r="N1617" s="15" t="s">
        <v>138</v>
      </c>
      <c r="O1617" s="15"/>
      <c r="P1617" s="16" t="s">
        <v>1260</v>
      </c>
      <c r="Q1617" s="17">
        <v>17999</v>
      </c>
      <c r="R1617" s="18">
        <v>45</v>
      </c>
      <c r="S1617" s="19">
        <v>11384.3675</v>
      </c>
      <c r="T1617" s="20" t="s">
        <v>75</v>
      </c>
      <c r="U1617" s="21" t="s">
        <v>166</v>
      </c>
      <c r="V1617" s="25" t="s">
        <v>96</v>
      </c>
      <c r="W1617" s="22">
        <v>6</v>
      </c>
      <c r="X1617" s="23"/>
    </row>
    <row r="1618" spans="1:24" s="1" customFormat="1" ht="37.049999999999997" customHeight="1" x14ac:dyDescent="0.3">
      <c r="A1618" s="24" t="s">
        <v>23</v>
      </c>
      <c r="B1618" s="24" t="s">
        <v>1258</v>
      </c>
      <c r="C1618" s="12" t="s">
        <v>1259</v>
      </c>
      <c r="D1618" s="59"/>
      <c r="E1618" s="43" t="str">
        <f>HYPERLINK("https://www.google.ru/search?q=A2081-0078&amp;newwindow=1&amp;tbm=isch","Еще фото")</f>
        <v>Еще фото</v>
      </c>
      <c r="F1618" s="14"/>
      <c r="G1618" s="24" t="s">
        <v>237</v>
      </c>
      <c r="H1618" s="24" t="s">
        <v>27</v>
      </c>
      <c r="I1618" s="24" t="s">
        <v>237</v>
      </c>
      <c r="J1618" s="15" t="s">
        <v>37</v>
      </c>
      <c r="K1618" s="16" t="s">
        <v>57</v>
      </c>
      <c r="L1618" s="62"/>
      <c r="M1618" s="15"/>
      <c r="N1618" s="15" t="s">
        <v>138</v>
      </c>
      <c r="O1618" s="15"/>
      <c r="P1618" s="16" t="s">
        <v>1260</v>
      </c>
      <c r="Q1618" s="17">
        <v>17999</v>
      </c>
      <c r="R1618" s="18">
        <v>45</v>
      </c>
      <c r="S1618" s="19">
        <v>11384.3675</v>
      </c>
      <c r="T1618" s="20" t="s">
        <v>75</v>
      </c>
      <c r="U1618" s="21" t="s">
        <v>89</v>
      </c>
      <c r="V1618" s="22">
        <v>50</v>
      </c>
      <c r="W1618" s="22">
        <v>3</v>
      </c>
      <c r="X1618" s="23"/>
    </row>
    <row r="1619" spans="1:24" s="1" customFormat="1" ht="108" customHeight="1" x14ac:dyDescent="0.3">
      <c r="A1619" s="11" t="s">
        <v>23</v>
      </c>
      <c r="B1619" s="11" t="s">
        <v>1261</v>
      </c>
      <c r="C1619" s="12" t="s">
        <v>1262</v>
      </c>
      <c r="D1619" s="13"/>
      <c r="E1619" s="43" t="str">
        <f>HYPERLINK("https://www.google.ru/search?q=A3410-0014&amp;newwindow=1&amp;tbm=isch","Еще фото")</f>
        <v>Еще фото</v>
      </c>
      <c r="F1619" s="14" t="s">
        <v>182</v>
      </c>
      <c r="G1619" s="11" t="s">
        <v>237</v>
      </c>
      <c r="H1619" s="11" t="s">
        <v>27</v>
      </c>
      <c r="I1619" s="15" t="s">
        <v>237</v>
      </c>
      <c r="J1619" s="15" t="s">
        <v>37</v>
      </c>
      <c r="K1619" s="16" t="s">
        <v>29</v>
      </c>
      <c r="L1619" s="15" t="s">
        <v>1263</v>
      </c>
      <c r="M1619" s="15"/>
      <c r="N1619" s="15" t="s">
        <v>130</v>
      </c>
      <c r="O1619" s="15"/>
      <c r="P1619" s="16" t="s">
        <v>1264</v>
      </c>
      <c r="Q1619" s="17">
        <v>17499</v>
      </c>
      <c r="R1619" s="18">
        <v>45</v>
      </c>
      <c r="S1619" s="19">
        <v>11068.1175</v>
      </c>
      <c r="T1619" s="20" t="s">
        <v>75</v>
      </c>
      <c r="U1619" s="21" t="s">
        <v>46</v>
      </c>
      <c r="V1619" s="22">
        <v>42</v>
      </c>
      <c r="W1619" s="22">
        <v>1</v>
      </c>
      <c r="X1619" s="23"/>
    </row>
    <row r="1620" spans="1:24" s="1" customFormat="1" ht="108" customHeight="1" x14ac:dyDescent="0.3">
      <c r="A1620" s="11" t="s">
        <v>23</v>
      </c>
      <c r="B1620" s="11" t="s">
        <v>1265</v>
      </c>
      <c r="C1620" s="12" t="s">
        <v>1266</v>
      </c>
      <c r="D1620" s="13"/>
      <c r="E1620" s="43" t="str">
        <f>HYPERLINK("https://www.google.ru/search?q=A3494-0036&amp;newwindow=1&amp;tbm=isch","Еще фото")</f>
        <v>Еще фото</v>
      </c>
      <c r="F1620" s="14"/>
      <c r="G1620" s="11" t="s">
        <v>237</v>
      </c>
      <c r="H1620" s="11" t="s">
        <v>27</v>
      </c>
      <c r="I1620" s="15" t="s">
        <v>237</v>
      </c>
      <c r="J1620" s="15" t="s">
        <v>37</v>
      </c>
      <c r="K1620" s="16" t="s">
        <v>29</v>
      </c>
      <c r="L1620" s="15"/>
      <c r="M1620" s="15"/>
      <c r="N1620" s="15" t="s">
        <v>138</v>
      </c>
      <c r="O1620" s="15"/>
      <c r="P1620" s="16" t="s">
        <v>32</v>
      </c>
      <c r="Q1620" s="17">
        <v>10899</v>
      </c>
      <c r="R1620" s="18">
        <v>45</v>
      </c>
      <c r="S1620" s="19">
        <v>6893.6174999999994</v>
      </c>
      <c r="T1620" s="20" t="s">
        <v>75</v>
      </c>
      <c r="U1620" s="21" t="s">
        <v>230</v>
      </c>
      <c r="V1620" s="22">
        <v>46</v>
      </c>
      <c r="W1620" s="22">
        <v>1</v>
      </c>
      <c r="X1620" s="23"/>
    </row>
    <row r="1621" spans="1:24" s="1" customFormat="1" ht="108" customHeight="1" x14ac:dyDescent="0.3">
      <c r="A1621" s="11" t="s">
        <v>23</v>
      </c>
      <c r="B1621" s="11" t="s">
        <v>1267</v>
      </c>
      <c r="C1621" s="12" t="s">
        <v>1268</v>
      </c>
      <c r="D1621" s="13"/>
      <c r="E1621" s="43" t="str">
        <f>HYPERLINK("https://www.google.ru/search?q=A3494-0056&amp;newwindow=1&amp;tbm=isch","Еще фото")</f>
        <v>Еще фото</v>
      </c>
      <c r="F1621" s="14" t="s">
        <v>182</v>
      </c>
      <c r="G1621" s="11" t="s">
        <v>237</v>
      </c>
      <c r="H1621" s="11" t="s">
        <v>27</v>
      </c>
      <c r="I1621" s="15" t="s">
        <v>237</v>
      </c>
      <c r="J1621" s="15" t="s">
        <v>37</v>
      </c>
      <c r="K1621" s="16" t="s">
        <v>29</v>
      </c>
      <c r="L1621" s="15" t="s">
        <v>1269</v>
      </c>
      <c r="M1621" s="15"/>
      <c r="N1621" s="15" t="s">
        <v>39</v>
      </c>
      <c r="O1621" s="15"/>
      <c r="P1621" s="16" t="s">
        <v>32</v>
      </c>
      <c r="Q1621" s="17">
        <v>10899</v>
      </c>
      <c r="R1621" s="18">
        <v>45</v>
      </c>
      <c r="S1621" s="19">
        <v>6893.6174999999994</v>
      </c>
      <c r="T1621" s="20" t="s">
        <v>75</v>
      </c>
      <c r="U1621" s="21" t="s">
        <v>143</v>
      </c>
      <c r="V1621" s="22">
        <v>48</v>
      </c>
      <c r="W1621" s="22">
        <v>1</v>
      </c>
      <c r="X1621" s="23"/>
    </row>
    <row r="1622" spans="1:24" s="1" customFormat="1" ht="17" customHeight="1" x14ac:dyDescent="0.3">
      <c r="A1622" s="11" t="s">
        <v>23</v>
      </c>
      <c r="B1622" s="11" t="s">
        <v>1270</v>
      </c>
      <c r="C1622" s="12" t="s">
        <v>1271</v>
      </c>
      <c r="D1622" s="57"/>
      <c r="E1622" s="43" t="str">
        <f t="shared" ref="E1622:E1627" si="104">HYPERLINK("https://www.google.ru/search?q=A3494-0091&amp;newwindow=1&amp;tbm=isch","Еще фото")</f>
        <v>Еще фото</v>
      </c>
      <c r="F1622" s="14" t="s">
        <v>182</v>
      </c>
      <c r="G1622" s="11" t="s">
        <v>237</v>
      </c>
      <c r="H1622" s="11" t="s">
        <v>27</v>
      </c>
      <c r="I1622" s="15" t="s">
        <v>237</v>
      </c>
      <c r="J1622" s="15" t="s">
        <v>37</v>
      </c>
      <c r="K1622" s="16" t="s">
        <v>29</v>
      </c>
      <c r="L1622" s="60" t="s">
        <v>1272</v>
      </c>
      <c r="M1622" s="15"/>
      <c r="N1622" s="15" t="s">
        <v>130</v>
      </c>
      <c r="O1622" s="15"/>
      <c r="P1622" s="16" t="s">
        <v>32</v>
      </c>
      <c r="Q1622" s="17">
        <v>10899</v>
      </c>
      <c r="R1622" s="18">
        <v>45</v>
      </c>
      <c r="S1622" s="19">
        <v>6893.6174999999994</v>
      </c>
      <c r="T1622" s="20" t="s">
        <v>75</v>
      </c>
      <c r="U1622" s="21" t="s">
        <v>47</v>
      </c>
      <c r="V1622" s="25" t="s">
        <v>48</v>
      </c>
      <c r="W1622" s="22">
        <v>3</v>
      </c>
      <c r="X1622" s="23"/>
    </row>
    <row r="1623" spans="1:24" s="1" customFormat="1" ht="17" customHeight="1" x14ac:dyDescent="0.3">
      <c r="A1623" s="24" t="s">
        <v>23</v>
      </c>
      <c r="B1623" s="24" t="s">
        <v>1270</v>
      </c>
      <c r="C1623" s="12" t="s">
        <v>1271</v>
      </c>
      <c r="D1623" s="58"/>
      <c r="E1623" s="43" t="str">
        <f t="shared" si="104"/>
        <v>Еще фото</v>
      </c>
      <c r="F1623" s="14" t="s">
        <v>182</v>
      </c>
      <c r="G1623" s="24" t="s">
        <v>237</v>
      </c>
      <c r="H1623" s="24" t="s">
        <v>27</v>
      </c>
      <c r="I1623" s="24" t="s">
        <v>237</v>
      </c>
      <c r="J1623" s="15" t="s">
        <v>37</v>
      </c>
      <c r="K1623" s="16" t="s">
        <v>29</v>
      </c>
      <c r="L1623" s="61"/>
      <c r="M1623" s="15"/>
      <c r="N1623" s="15" t="s">
        <v>130</v>
      </c>
      <c r="O1623" s="15"/>
      <c r="P1623" s="16" t="s">
        <v>32</v>
      </c>
      <c r="Q1623" s="17">
        <v>10899</v>
      </c>
      <c r="R1623" s="18">
        <v>45</v>
      </c>
      <c r="S1623" s="19">
        <v>6893.6174999999994</v>
      </c>
      <c r="T1623" s="20" t="s">
        <v>75</v>
      </c>
      <c r="U1623" s="21" t="s">
        <v>50</v>
      </c>
      <c r="V1623" s="22">
        <v>44</v>
      </c>
      <c r="W1623" s="22">
        <v>1</v>
      </c>
      <c r="X1623" s="23"/>
    </row>
    <row r="1624" spans="1:24" s="1" customFormat="1" ht="17" customHeight="1" x14ac:dyDescent="0.3">
      <c r="A1624" s="24" t="s">
        <v>23</v>
      </c>
      <c r="B1624" s="24" t="s">
        <v>1270</v>
      </c>
      <c r="C1624" s="12" t="s">
        <v>1271</v>
      </c>
      <c r="D1624" s="58"/>
      <c r="E1624" s="43" t="str">
        <f t="shared" si="104"/>
        <v>Еще фото</v>
      </c>
      <c r="F1624" s="14" t="s">
        <v>182</v>
      </c>
      <c r="G1624" s="24" t="s">
        <v>237</v>
      </c>
      <c r="H1624" s="24" t="s">
        <v>27</v>
      </c>
      <c r="I1624" s="24" t="s">
        <v>237</v>
      </c>
      <c r="J1624" s="15" t="s">
        <v>37</v>
      </c>
      <c r="K1624" s="16" t="s">
        <v>29</v>
      </c>
      <c r="L1624" s="61"/>
      <c r="M1624" s="15"/>
      <c r="N1624" s="15" t="s">
        <v>130</v>
      </c>
      <c r="O1624" s="15"/>
      <c r="P1624" s="16" t="s">
        <v>32</v>
      </c>
      <c r="Q1624" s="17">
        <v>10899</v>
      </c>
      <c r="R1624" s="18">
        <v>45</v>
      </c>
      <c r="S1624" s="19">
        <v>6893.6174999999994</v>
      </c>
      <c r="T1624" s="20" t="s">
        <v>75</v>
      </c>
      <c r="U1624" s="21" t="s">
        <v>230</v>
      </c>
      <c r="V1624" s="22">
        <v>46</v>
      </c>
      <c r="W1624" s="22">
        <v>2</v>
      </c>
      <c r="X1624" s="23"/>
    </row>
    <row r="1625" spans="1:24" s="1" customFormat="1" ht="17" customHeight="1" x14ac:dyDescent="0.3">
      <c r="A1625" s="24" t="s">
        <v>23</v>
      </c>
      <c r="B1625" s="24" t="s">
        <v>1270</v>
      </c>
      <c r="C1625" s="12" t="s">
        <v>1271</v>
      </c>
      <c r="D1625" s="58"/>
      <c r="E1625" s="43" t="str">
        <f t="shared" si="104"/>
        <v>Еще фото</v>
      </c>
      <c r="F1625" s="14" t="s">
        <v>182</v>
      </c>
      <c r="G1625" s="24" t="s">
        <v>237</v>
      </c>
      <c r="H1625" s="24" t="s">
        <v>27</v>
      </c>
      <c r="I1625" s="24" t="s">
        <v>237</v>
      </c>
      <c r="J1625" s="15" t="s">
        <v>37</v>
      </c>
      <c r="K1625" s="16" t="s">
        <v>29</v>
      </c>
      <c r="L1625" s="61"/>
      <c r="M1625" s="15"/>
      <c r="N1625" s="15" t="s">
        <v>130</v>
      </c>
      <c r="O1625" s="15"/>
      <c r="P1625" s="16" t="s">
        <v>32</v>
      </c>
      <c r="Q1625" s="17">
        <v>10899</v>
      </c>
      <c r="R1625" s="18">
        <v>45</v>
      </c>
      <c r="S1625" s="19">
        <v>6893.6174999999994</v>
      </c>
      <c r="T1625" s="20" t="s">
        <v>75</v>
      </c>
      <c r="U1625" s="21" t="s">
        <v>173</v>
      </c>
      <c r="V1625" s="22">
        <v>46</v>
      </c>
      <c r="W1625" s="22">
        <v>1</v>
      </c>
      <c r="X1625" s="23"/>
    </row>
    <row r="1626" spans="1:24" s="1" customFormat="1" ht="17" customHeight="1" x14ac:dyDescent="0.3">
      <c r="A1626" s="24" t="s">
        <v>23</v>
      </c>
      <c r="B1626" s="24" t="s">
        <v>1270</v>
      </c>
      <c r="C1626" s="12" t="s">
        <v>1271</v>
      </c>
      <c r="D1626" s="58"/>
      <c r="E1626" s="43" t="str">
        <f t="shared" si="104"/>
        <v>Еще фото</v>
      </c>
      <c r="F1626" s="14" t="s">
        <v>182</v>
      </c>
      <c r="G1626" s="24" t="s">
        <v>237</v>
      </c>
      <c r="H1626" s="24" t="s">
        <v>27</v>
      </c>
      <c r="I1626" s="24" t="s">
        <v>237</v>
      </c>
      <c r="J1626" s="15" t="s">
        <v>37</v>
      </c>
      <c r="K1626" s="16" t="s">
        <v>29</v>
      </c>
      <c r="L1626" s="61"/>
      <c r="M1626" s="15"/>
      <c r="N1626" s="15" t="s">
        <v>130</v>
      </c>
      <c r="O1626" s="15"/>
      <c r="P1626" s="16" t="s">
        <v>32</v>
      </c>
      <c r="Q1626" s="17">
        <v>10899</v>
      </c>
      <c r="R1626" s="18">
        <v>45</v>
      </c>
      <c r="S1626" s="19">
        <v>6893.6174999999994</v>
      </c>
      <c r="T1626" s="20" t="s">
        <v>75</v>
      </c>
      <c r="U1626" s="21" t="s">
        <v>53</v>
      </c>
      <c r="V1626" s="22">
        <v>48</v>
      </c>
      <c r="W1626" s="22">
        <v>1</v>
      </c>
      <c r="X1626" s="23"/>
    </row>
    <row r="1627" spans="1:24" s="1" customFormat="1" ht="22.05" customHeight="1" x14ac:dyDescent="0.3">
      <c r="A1627" s="24" t="s">
        <v>23</v>
      </c>
      <c r="B1627" s="24" t="s">
        <v>1270</v>
      </c>
      <c r="C1627" s="12" t="s">
        <v>1271</v>
      </c>
      <c r="D1627" s="59"/>
      <c r="E1627" s="43" t="str">
        <f t="shared" si="104"/>
        <v>Еще фото</v>
      </c>
      <c r="F1627" s="14" t="s">
        <v>182</v>
      </c>
      <c r="G1627" s="24" t="s">
        <v>237</v>
      </c>
      <c r="H1627" s="24" t="s">
        <v>27</v>
      </c>
      <c r="I1627" s="24" t="s">
        <v>237</v>
      </c>
      <c r="J1627" s="15" t="s">
        <v>37</v>
      </c>
      <c r="K1627" s="16" t="s">
        <v>29</v>
      </c>
      <c r="L1627" s="62"/>
      <c r="M1627" s="15"/>
      <c r="N1627" s="15" t="s">
        <v>130</v>
      </c>
      <c r="O1627" s="15"/>
      <c r="P1627" s="16" t="s">
        <v>32</v>
      </c>
      <c r="Q1627" s="17">
        <v>10899</v>
      </c>
      <c r="R1627" s="18">
        <v>45</v>
      </c>
      <c r="S1627" s="19">
        <v>6893.6174999999994</v>
      </c>
      <c r="T1627" s="20" t="s">
        <v>75</v>
      </c>
      <c r="U1627" s="21" t="s">
        <v>165</v>
      </c>
      <c r="V1627" s="22">
        <v>50</v>
      </c>
      <c r="W1627" s="22">
        <v>1</v>
      </c>
      <c r="X1627" s="23"/>
    </row>
    <row r="1628" spans="1:24" s="1" customFormat="1" ht="17" customHeight="1" x14ac:dyDescent="0.3">
      <c r="A1628" s="11" t="s">
        <v>23</v>
      </c>
      <c r="B1628" s="11" t="s">
        <v>1273</v>
      </c>
      <c r="C1628" s="12" t="s">
        <v>1274</v>
      </c>
      <c r="D1628" s="57"/>
      <c r="E1628" s="43" t="str">
        <f t="shared" ref="E1628:E1633" si="105">HYPERLINK("https://www.google.ru/search?q=A3510-0102&amp;newwindow=1&amp;tbm=isch","Еще фото")</f>
        <v>Еще фото</v>
      </c>
      <c r="F1628" s="14"/>
      <c r="G1628" s="11" t="s">
        <v>237</v>
      </c>
      <c r="H1628" s="11" t="s">
        <v>27</v>
      </c>
      <c r="I1628" s="15" t="s">
        <v>237</v>
      </c>
      <c r="J1628" s="15" t="s">
        <v>37</v>
      </c>
      <c r="K1628" s="16" t="s">
        <v>29</v>
      </c>
      <c r="L1628" s="60" t="s">
        <v>1275</v>
      </c>
      <c r="M1628" s="15"/>
      <c r="N1628" s="15" t="s">
        <v>138</v>
      </c>
      <c r="O1628" s="15"/>
      <c r="P1628" s="16" t="s">
        <v>1276</v>
      </c>
      <c r="Q1628" s="17">
        <v>10899</v>
      </c>
      <c r="R1628" s="18">
        <v>45</v>
      </c>
      <c r="S1628" s="19">
        <v>6893.6174999999994</v>
      </c>
      <c r="T1628" s="20" t="s">
        <v>75</v>
      </c>
      <c r="U1628" s="21" t="s">
        <v>402</v>
      </c>
      <c r="V1628" s="22">
        <v>40</v>
      </c>
      <c r="W1628" s="22">
        <v>1</v>
      </c>
      <c r="X1628" s="23"/>
    </row>
    <row r="1629" spans="1:24" s="1" customFormat="1" ht="17" customHeight="1" x14ac:dyDescent="0.3">
      <c r="A1629" s="24" t="s">
        <v>23</v>
      </c>
      <c r="B1629" s="24" t="s">
        <v>1273</v>
      </c>
      <c r="C1629" s="12" t="s">
        <v>1274</v>
      </c>
      <c r="D1629" s="58"/>
      <c r="E1629" s="43" t="str">
        <f t="shared" si="105"/>
        <v>Еще фото</v>
      </c>
      <c r="F1629" s="14"/>
      <c r="G1629" s="24" t="s">
        <v>237</v>
      </c>
      <c r="H1629" s="24" t="s">
        <v>27</v>
      </c>
      <c r="I1629" s="24" t="s">
        <v>237</v>
      </c>
      <c r="J1629" s="15" t="s">
        <v>37</v>
      </c>
      <c r="K1629" s="16" t="s">
        <v>29</v>
      </c>
      <c r="L1629" s="61"/>
      <c r="M1629" s="15"/>
      <c r="N1629" s="15" t="s">
        <v>138</v>
      </c>
      <c r="O1629" s="15"/>
      <c r="P1629" s="16" t="s">
        <v>1276</v>
      </c>
      <c r="Q1629" s="17">
        <v>10899</v>
      </c>
      <c r="R1629" s="18">
        <v>45</v>
      </c>
      <c r="S1629" s="19">
        <v>6893.6174999999994</v>
      </c>
      <c r="T1629" s="20" t="s">
        <v>75</v>
      </c>
      <c r="U1629" s="21" t="s">
        <v>1277</v>
      </c>
      <c r="V1629" s="22">
        <v>40</v>
      </c>
      <c r="W1629" s="22">
        <v>1</v>
      </c>
      <c r="X1629" s="23"/>
    </row>
    <row r="1630" spans="1:24" s="1" customFormat="1" ht="17" customHeight="1" x14ac:dyDescent="0.3">
      <c r="A1630" s="24" t="s">
        <v>23</v>
      </c>
      <c r="B1630" s="24" t="s">
        <v>1273</v>
      </c>
      <c r="C1630" s="12" t="s">
        <v>1274</v>
      </c>
      <c r="D1630" s="58"/>
      <c r="E1630" s="43" t="str">
        <f t="shared" si="105"/>
        <v>Еще фото</v>
      </c>
      <c r="F1630" s="14"/>
      <c r="G1630" s="24" t="s">
        <v>237</v>
      </c>
      <c r="H1630" s="24" t="s">
        <v>27</v>
      </c>
      <c r="I1630" s="24" t="s">
        <v>237</v>
      </c>
      <c r="J1630" s="15" t="s">
        <v>37</v>
      </c>
      <c r="K1630" s="16" t="s">
        <v>29</v>
      </c>
      <c r="L1630" s="61"/>
      <c r="M1630" s="15"/>
      <c r="N1630" s="15" t="s">
        <v>138</v>
      </c>
      <c r="O1630" s="15"/>
      <c r="P1630" s="16" t="s">
        <v>1276</v>
      </c>
      <c r="Q1630" s="17">
        <v>10899</v>
      </c>
      <c r="R1630" s="18">
        <v>45</v>
      </c>
      <c r="S1630" s="19">
        <v>6893.6174999999994</v>
      </c>
      <c r="T1630" s="20" t="s">
        <v>75</v>
      </c>
      <c r="U1630" s="21" t="s">
        <v>1278</v>
      </c>
      <c r="V1630" s="22">
        <v>42</v>
      </c>
      <c r="W1630" s="22">
        <v>1</v>
      </c>
      <c r="X1630" s="23"/>
    </row>
    <row r="1631" spans="1:24" s="1" customFormat="1" ht="17" customHeight="1" x14ac:dyDescent="0.3">
      <c r="A1631" s="24" t="s">
        <v>23</v>
      </c>
      <c r="B1631" s="24" t="s">
        <v>1273</v>
      </c>
      <c r="C1631" s="12" t="s">
        <v>1274</v>
      </c>
      <c r="D1631" s="58"/>
      <c r="E1631" s="43" t="str">
        <f t="shared" si="105"/>
        <v>Еще фото</v>
      </c>
      <c r="F1631" s="14"/>
      <c r="G1631" s="24" t="s">
        <v>237</v>
      </c>
      <c r="H1631" s="24" t="s">
        <v>27</v>
      </c>
      <c r="I1631" s="24" t="s">
        <v>237</v>
      </c>
      <c r="J1631" s="15" t="s">
        <v>37</v>
      </c>
      <c r="K1631" s="16" t="s">
        <v>29</v>
      </c>
      <c r="L1631" s="61"/>
      <c r="M1631" s="15"/>
      <c r="N1631" s="15" t="s">
        <v>138</v>
      </c>
      <c r="O1631" s="15"/>
      <c r="P1631" s="16" t="s">
        <v>1276</v>
      </c>
      <c r="Q1631" s="17">
        <v>10899</v>
      </c>
      <c r="R1631" s="18">
        <v>45</v>
      </c>
      <c r="S1631" s="19">
        <v>6893.6174999999994</v>
      </c>
      <c r="T1631" s="20" t="s">
        <v>75</v>
      </c>
      <c r="U1631" s="21" t="s">
        <v>1279</v>
      </c>
      <c r="V1631" s="22">
        <v>42</v>
      </c>
      <c r="W1631" s="22">
        <v>1</v>
      </c>
      <c r="X1631" s="23"/>
    </row>
    <row r="1632" spans="1:24" s="1" customFormat="1" ht="17" customHeight="1" x14ac:dyDescent="0.3">
      <c r="A1632" s="24" t="s">
        <v>23</v>
      </c>
      <c r="B1632" s="24" t="s">
        <v>1273</v>
      </c>
      <c r="C1632" s="12" t="s">
        <v>1274</v>
      </c>
      <c r="D1632" s="58"/>
      <c r="E1632" s="43" t="str">
        <f t="shared" si="105"/>
        <v>Еще фото</v>
      </c>
      <c r="F1632" s="14"/>
      <c r="G1632" s="24" t="s">
        <v>237</v>
      </c>
      <c r="H1632" s="24" t="s">
        <v>27</v>
      </c>
      <c r="I1632" s="24" t="s">
        <v>237</v>
      </c>
      <c r="J1632" s="15" t="s">
        <v>37</v>
      </c>
      <c r="K1632" s="16" t="s">
        <v>29</v>
      </c>
      <c r="L1632" s="61"/>
      <c r="M1632" s="15"/>
      <c r="N1632" s="15" t="s">
        <v>138</v>
      </c>
      <c r="O1632" s="15"/>
      <c r="P1632" s="16" t="s">
        <v>1276</v>
      </c>
      <c r="Q1632" s="17">
        <v>10899</v>
      </c>
      <c r="R1632" s="18">
        <v>45</v>
      </c>
      <c r="S1632" s="19">
        <v>6893.6174999999994</v>
      </c>
      <c r="T1632" s="20" t="s">
        <v>75</v>
      </c>
      <c r="U1632" s="21" t="s">
        <v>773</v>
      </c>
      <c r="V1632" s="22">
        <v>44</v>
      </c>
      <c r="W1632" s="22">
        <v>3</v>
      </c>
      <c r="X1632" s="23"/>
    </row>
    <row r="1633" spans="1:24" s="1" customFormat="1" ht="22.05" customHeight="1" x14ac:dyDescent="0.3">
      <c r="A1633" s="24" t="s">
        <v>23</v>
      </c>
      <c r="B1633" s="24" t="s">
        <v>1273</v>
      </c>
      <c r="C1633" s="12" t="s">
        <v>1274</v>
      </c>
      <c r="D1633" s="59"/>
      <c r="E1633" s="43" t="str">
        <f t="shared" si="105"/>
        <v>Еще фото</v>
      </c>
      <c r="F1633" s="14"/>
      <c r="G1633" s="24" t="s">
        <v>237</v>
      </c>
      <c r="H1633" s="24" t="s">
        <v>27</v>
      </c>
      <c r="I1633" s="24" t="s">
        <v>237</v>
      </c>
      <c r="J1633" s="15" t="s">
        <v>37</v>
      </c>
      <c r="K1633" s="16" t="s">
        <v>29</v>
      </c>
      <c r="L1633" s="62"/>
      <c r="M1633" s="15"/>
      <c r="N1633" s="15" t="s">
        <v>138</v>
      </c>
      <c r="O1633" s="15"/>
      <c r="P1633" s="16" t="s">
        <v>1276</v>
      </c>
      <c r="Q1633" s="17">
        <v>10899</v>
      </c>
      <c r="R1633" s="18">
        <v>45</v>
      </c>
      <c r="S1633" s="19">
        <v>6893.6174999999994</v>
      </c>
      <c r="T1633" s="20" t="s">
        <v>75</v>
      </c>
      <c r="U1633" s="21" t="s">
        <v>774</v>
      </c>
      <c r="V1633" s="22">
        <v>46</v>
      </c>
      <c r="W1633" s="22">
        <v>1</v>
      </c>
      <c r="X1633" s="23"/>
    </row>
    <row r="1634" spans="1:24" s="1" customFormat="1" ht="35" customHeight="1" x14ac:dyDescent="0.3">
      <c r="A1634" s="11" t="s">
        <v>23</v>
      </c>
      <c r="B1634" s="11" t="s">
        <v>1280</v>
      </c>
      <c r="C1634" s="12" t="s">
        <v>1281</v>
      </c>
      <c r="D1634" s="57"/>
      <c r="E1634" s="43" t="str">
        <f>HYPERLINK("https://www.google.ru/search?q=A3510-0103&amp;newwindow=1&amp;tbm=isch","Еще фото")</f>
        <v>Еще фото</v>
      </c>
      <c r="F1634" s="14"/>
      <c r="G1634" s="11" t="s">
        <v>237</v>
      </c>
      <c r="H1634" s="11" t="s">
        <v>27</v>
      </c>
      <c r="I1634" s="15" t="s">
        <v>237</v>
      </c>
      <c r="J1634" s="15" t="s">
        <v>37</v>
      </c>
      <c r="K1634" s="16" t="s">
        <v>29</v>
      </c>
      <c r="L1634" s="60" t="s">
        <v>1275</v>
      </c>
      <c r="M1634" s="15"/>
      <c r="N1634" s="15" t="s">
        <v>130</v>
      </c>
      <c r="O1634" s="15"/>
      <c r="P1634" s="16" t="s">
        <v>1276</v>
      </c>
      <c r="Q1634" s="17">
        <v>10899</v>
      </c>
      <c r="R1634" s="18">
        <v>45</v>
      </c>
      <c r="S1634" s="19">
        <v>6893.6174999999994</v>
      </c>
      <c r="T1634" s="20" t="s">
        <v>75</v>
      </c>
      <c r="U1634" s="21" t="s">
        <v>1278</v>
      </c>
      <c r="V1634" s="22">
        <v>42</v>
      </c>
      <c r="W1634" s="22">
        <v>1</v>
      </c>
      <c r="X1634" s="23"/>
    </row>
    <row r="1635" spans="1:24" s="1" customFormat="1" ht="35" customHeight="1" x14ac:dyDescent="0.3">
      <c r="A1635" s="24" t="s">
        <v>23</v>
      </c>
      <c r="B1635" s="24" t="s">
        <v>1280</v>
      </c>
      <c r="C1635" s="12" t="s">
        <v>1281</v>
      </c>
      <c r="D1635" s="58"/>
      <c r="E1635" s="43" t="str">
        <f>HYPERLINK("https://www.google.ru/search?q=A3510-0103&amp;newwindow=1&amp;tbm=isch","Еще фото")</f>
        <v>Еще фото</v>
      </c>
      <c r="F1635" s="14"/>
      <c r="G1635" s="24" t="s">
        <v>237</v>
      </c>
      <c r="H1635" s="24" t="s">
        <v>27</v>
      </c>
      <c r="I1635" s="24" t="s">
        <v>237</v>
      </c>
      <c r="J1635" s="15" t="s">
        <v>37</v>
      </c>
      <c r="K1635" s="16" t="s">
        <v>29</v>
      </c>
      <c r="L1635" s="61"/>
      <c r="M1635" s="15"/>
      <c r="N1635" s="15" t="s">
        <v>130</v>
      </c>
      <c r="O1635" s="15"/>
      <c r="P1635" s="16" t="s">
        <v>1276</v>
      </c>
      <c r="Q1635" s="17">
        <v>10899</v>
      </c>
      <c r="R1635" s="18">
        <v>45</v>
      </c>
      <c r="S1635" s="19">
        <v>6893.6174999999994</v>
      </c>
      <c r="T1635" s="20" t="s">
        <v>75</v>
      </c>
      <c r="U1635" s="21" t="s">
        <v>773</v>
      </c>
      <c r="V1635" s="22">
        <v>44</v>
      </c>
      <c r="W1635" s="22">
        <v>2</v>
      </c>
      <c r="X1635" s="23"/>
    </row>
    <row r="1636" spans="1:24" s="1" customFormat="1" ht="37.049999999999997" customHeight="1" x14ac:dyDescent="0.3">
      <c r="A1636" s="24" t="s">
        <v>23</v>
      </c>
      <c r="B1636" s="24" t="s">
        <v>1280</v>
      </c>
      <c r="C1636" s="12" t="s">
        <v>1281</v>
      </c>
      <c r="D1636" s="59"/>
      <c r="E1636" s="43" t="str">
        <f>HYPERLINK("https://www.google.ru/search?q=A3510-0103&amp;newwindow=1&amp;tbm=isch","Еще фото")</f>
        <v>Еще фото</v>
      </c>
      <c r="F1636" s="14"/>
      <c r="G1636" s="24" t="s">
        <v>237</v>
      </c>
      <c r="H1636" s="24" t="s">
        <v>27</v>
      </c>
      <c r="I1636" s="24" t="s">
        <v>237</v>
      </c>
      <c r="J1636" s="15" t="s">
        <v>37</v>
      </c>
      <c r="K1636" s="16" t="s">
        <v>29</v>
      </c>
      <c r="L1636" s="62"/>
      <c r="M1636" s="15"/>
      <c r="N1636" s="15" t="s">
        <v>130</v>
      </c>
      <c r="O1636" s="15"/>
      <c r="P1636" s="16" t="s">
        <v>1276</v>
      </c>
      <c r="Q1636" s="17">
        <v>10899</v>
      </c>
      <c r="R1636" s="18">
        <v>45</v>
      </c>
      <c r="S1636" s="19">
        <v>6893.6174999999994</v>
      </c>
      <c r="T1636" s="20" t="s">
        <v>75</v>
      </c>
      <c r="U1636" s="21" t="s">
        <v>1282</v>
      </c>
      <c r="V1636" s="22">
        <v>48</v>
      </c>
      <c r="W1636" s="22">
        <v>1</v>
      </c>
      <c r="X1636" s="23"/>
    </row>
    <row r="1637" spans="1:24" s="1" customFormat="1" ht="108" customHeight="1" x14ac:dyDescent="0.3">
      <c r="A1637" s="11" t="s">
        <v>23</v>
      </c>
      <c r="B1637" s="11" t="s">
        <v>1283</v>
      </c>
      <c r="C1637" s="12" t="s">
        <v>1284</v>
      </c>
      <c r="D1637" s="13"/>
      <c r="E1637" s="43" t="str">
        <f>HYPERLINK("https://www.google.ru/search?q=A4679-0043&amp;newwindow=1&amp;tbm=isch","Еще фото")</f>
        <v>Еще фото</v>
      </c>
      <c r="F1637" s="14"/>
      <c r="G1637" s="11" t="s">
        <v>237</v>
      </c>
      <c r="H1637" s="11" t="s">
        <v>27</v>
      </c>
      <c r="I1637" s="15" t="s">
        <v>237</v>
      </c>
      <c r="J1637" s="15" t="s">
        <v>28</v>
      </c>
      <c r="K1637" s="16" t="s">
        <v>29</v>
      </c>
      <c r="L1637" s="15" t="s">
        <v>1285</v>
      </c>
      <c r="M1637" s="15"/>
      <c r="N1637" s="15" t="s">
        <v>130</v>
      </c>
      <c r="O1637" s="15"/>
      <c r="P1637" s="16" t="s">
        <v>1286</v>
      </c>
      <c r="Q1637" s="17">
        <v>11599</v>
      </c>
      <c r="R1637" s="18">
        <v>45</v>
      </c>
      <c r="S1637" s="19">
        <v>7336.3674999999994</v>
      </c>
      <c r="T1637" s="20" t="s">
        <v>75</v>
      </c>
      <c r="U1637" s="21" t="s">
        <v>51</v>
      </c>
      <c r="V1637" s="22">
        <v>44</v>
      </c>
      <c r="W1637" s="22">
        <v>1</v>
      </c>
      <c r="X1637" s="23"/>
    </row>
    <row r="1638" spans="1:24" s="1" customFormat="1" ht="21" customHeight="1" x14ac:dyDescent="0.3">
      <c r="A1638" s="11" t="s">
        <v>23</v>
      </c>
      <c r="B1638" s="11" t="s">
        <v>1287</v>
      </c>
      <c r="C1638" s="30" t="s">
        <v>1288</v>
      </c>
      <c r="D1638" s="57"/>
      <c r="E1638" s="43" t="str">
        <f>HYPERLINK("https://www.google.ru/search?q=A5566-0063&amp;newwindow=1&amp;tbm=isch","Еще фото")</f>
        <v>Еще фото</v>
      </c>
      <c r="F1638" s="14"/>
      <c r="G1638" s="11" t="s">
        <v>237</v>
      </c>
      <c r="H1638" s="11" t="s">
        <v>27</v>
      </c>
      <c r="I1638" s="15" t="s">
        <v>237</v>
      </c>
      <c r="J1638" s="15" t="s">
        <v>37</v>
      </c>
      <c r="K1638" s="16" t="s">
        <v>29</v>
      </c>
      <c r="L1638" s="60" t="s">
        <v>1289</v>
      </c>
      <c r="M1638" s="15"/>
      <c r="N1638" s="15" t="s">
        <v>130</v>
      </c>
      <c r="O1638" s="15"/>
      <c r="P1638" s="16" t="s">
        <v>1290</v>
      </c>
      <c r="Q1638" s="17">
        <v>10299</v>
      </c>
      <c r="R1638" s="18">
        <v>45</v>
      </c>
      <c r="S1638" s="19">
        <v>6514.1174999999994</v>
      </c>
      <c r="T1638" s="20" t="s">
        <v>75</v>
      </c>
      <c r="U1638" s="21" t="s">
        <v>46</v>
      </c>
      <c r="V1638" s="22">
        <v>42</v>
      </c>
      <c r="W1638" s="22">
        <v>1</v>
      </c>
      <c r="X1638" s="23"/>
    </row>
    <row r="1639" spans="1:24" s="1" customFormat="1" ht="21" customHeight="1" x14ac:dyDescent="0.3">
      <c r="A1639" s="24" t="s">
        <v>23</v>
      </c>
      <c r="B1639" s="24" t="s">
        <v>1287</v>
      </c>
      <c r="C1639" s="31" t="s">
        <v>1288</v>
      </c>
      <c r="D1639" s="58"/>
      <c r="E1639" s="43" t="str">
        <f>HYPERLINK("https://www.google.ru/search?q=A5566-0063&amp;newwindow=1&amp;tbm=isch","Еще фото")</f>
        <v>Еще фото</v>
      </c>
      <c r="F1639" s="14"/>
      <c r="G1639" s="24" t="s">
        <v>237</v>
      </c>
      <c r="H1639" s="24" t="s">
        <v>27</v>
      </c>
      <c r="I1639" s="24" t="s">
        <v>237</v>
      </c>
      <c r="J1639" s="15" t="s">
        <v>37</v>
      </c>
      <c r="K1639" s="16" t="s">
        <v>29</v>
      </c>
      <c r="L1639" s="61"/>
      <c r="M1639" s="15"/>
      <c r="N1639" s="15" t="s">
        <v>130</v>
      </c>
      <c r="O1639" s="15"/>
      <c r="P1639" s="16" t="s">
        <v>1290</v>
      </c>
      <c r="Q1639" s="17">
        <v>10299</v>
      </c>
      <c r="R1639" s="18">
        <v>45</v>
      </c>
      <c r="S1639" s="19">
        <v>6514.1174999999994</v>
      </c>
      <c r="T1639" s="20" t="s">
        <v>75</v>
      </c>
      <c r="U1639" s="21" t="s">
        <v>47</v>
      </c>
      <c r="V1639" s="25" t="s">
        <v>48</v>
      </c>
      <c r="W1639" s="22">
        <v>1</v>
      </c>
      <c r="X1639" s="23"/>
    </row>
    <row r="1640" spans="1:24" s="1" customFormat="1" ht="21" customHeight="1" x14ac:dyDescent="0.3">
      <c r="A1640" s="24" t="s">
        <v>23</v>
      </c>
      <c r="B1640" s="24" t="s">
        <v>1287</v>
      </c>
      <c r="C1640" s="31" t="s">
        <v>1288</v>
      </c>
      <c r="D1640" s="58"/>
      <c r="E1640" s="43" t="str">
        <f>HYPERLINK("https://www.google.ru/search?q=A5566-0063&amp;newwindow=1&amp;tbm=isch","Еще фото")</f>
        <v>Еще фото</v>
      </c>
      <c r="F1640" s="14"/>
      <c r="G1640" s="24" t="s">
        <v>237</v>
      </c>
      <c r="H1640" s="24" t="s">
        <v>27</v>
      </c>
      <c r="I1640" s="24" t="s">
        <v>237</v>
      </c>
      <c r="J1640" s="15" t="s">
        <v>37</v>
      </c>
      <c r="K1640" s="16" t="s">
        <v>29</v>
      </c>
      <c r="L1640" s="61"/>
      <c r="M1640" s="15"/>
      <c r="N1640" s="15" t="s">
        <v>130</v>
      </c>
      <c r="O1640" s="15"/>
      <c r="P1640" s="16" t="s">
        <v>1290</v>
      </c>
      <c r="Q1640" s="17">
        <v>10299</v>
      </c>
      <c r="R1640" s="18">
        <v>45</v>
      </c>
      <c r="S1640" s="19">
        <v>6514.1174999999994</v>
      </c>
      <c r="T1640" s="20" t="s">
        <v>75</v>
      </c>
      <c r="U1640" s="21" t="s">
        <v>173</v>
      </c>
      <c r="V1640" s="22">
        <v>46</v>
      </c>
      <c r="W1640" s="22">
        <v>2</v>
      </c>
      <c r="X1640" s="23"/>
    </row>
    <row r="1641" spans="1:24" s="1" customFormat="1" ht="21" customHeight="1" x14ac:dyDescent="0.3">
      <c r="A1641" s="24" t="s">
        <v>23</v>
      </c>
      <c r="B1641" s="24" t="s">
        <v>1287</v>
      </c>
      <c r="C1641" s="31" t="s">
        <v>1288</v>
      </c>
      <c r="D1641" s="58"/>
      <c r="E1641" s="43" t="str">
        <f>HYPERLINK("https://www.google.ru/search?q=A5566-0063&amp;newwindow=1&amp;tbm=isch","Еще фото")</f>
        <v>Еще фото</v>
      </c>
      <c r="F1641" s="14"/>
      <c r="G1641" s="24" t="s">
        <v>237</v>
      </c>
      <c r="H1641" s="24" t="s">
        <v>27</v>
      </c>
      <c r="I1641" s="24" t="s">
        <v>237</v>
      </c>
      <c r="J1641" s="15" t="s">
        <v>37</v>
      </c>
      <c r="K1641" s="16" t="s">
        <v>29</v>
      </c>
      <c r="L1641" s="61"/>
      <c r="M1641" s="15"/>
      <c r="N1641" s="15" t="s">
        <v>130</v>
      </c>
      <c r="O1641" s="15"/>
      <c r="P1641" s="16" t="s">
        <v>1290</v>
      </c>
      <c r="Q1641" s="17">
        <v>10299</v>
      </c>
      <c r="R1641" s="18">
        <v>45</v>
      </c>
      <c r="S1641" s="19">
        <v>6514.1174999999994</v>
      </c>
      <c r="T1641" s="20" t="s">
        <v>75</v>
      </c>
      <c r="U1641" s="21" t="s">
        <v>52</v>
      </c>
      <c r="V1641" s="22">
        <v>48</v>
      </c>
      <c r="W1641" s="22">
        <v>1</v>
      </c>
      <c r="X1641" s="23"/>
    </row>
    <row r="1642" spans="1:24" s="1" customFormat="1" ht="32" customHeight="1" x14ac:dyDescent="0.3">
      <c r="A1642" s="24" t="s">
        <v>23</v>
      </c>
      <c r="B1642" s="24" t="s">
        <v>1287</v>
      </c>
      <c r="C1642" s="31" t="s">
        <v>1288</v>
      </c>
      <c r="D1642" s="59"/>
      <c r="E1642" s="43" t="str">
        <f>HYPERLINK("https://www.google.ru/search?q=A5566-0063&amp;newwindow=1&amp;tbm=isch","Еще фото")</f>
        <v>Еще фото</v>
      </c>
      <c r="F1642" s="14"/>
      <c r="G1642" s="24" t="s">
        <v>237</v>
      </c>
      <c r="H1642" s="24" t="s">
        <v>27</v>
      </c>
      <c r="I1642" s="24" t="s">
        <v>237</v>
      </c>
      <c r="J1642" s="15" t="s">
        <v>37</v>
      </c>
      <c r="K1642" s="16" t="s">
        <v>29</v>
      </c>
      <c r="L1642" s="62"/>
      <c r="M1642" s="15"/>
      <c r="N1642" s="15" t="s">
        <v>130</v>
      </c>
      <c r="O1642" s="15"/>
      <c r="P1642" s="16" t="s">
        <v>1290</v>
      </c>
      <c r="Q1642" s="17">
        <v>10299</v>
      </c>
      <c r="R1642" s="18">
        <v>45</v>
      </c>
      <c r="S1642" s="19">
        <v>6514.1174999999994</v>
      </c>
      <c r="T1642" s="20" t="s">
        <v>75</v>
      </c>
      <c r="U1642" s="21" t="s">
        <v>188</v>
      </c>
      <c r="V1642" s="25" t="s">
        <v>96</v>
      </c>
      <c r="W1642" s="22">
        <v>1</v>
      </c>
      <c r="X1642" s="23"/>
    </row>
    <row r="1643" spans="1:24" s="1" customFormat="1" ht="17" customHeight="1" x14ac:dyDescent="0.3">
      <c r="A1643" s="11" t="s">
        <v>23</v>
      </c>
      <c r="B1643" s="11" t="s">
        <v>1291</v>
      </c>
      <c r="C1643" s="12" t="s">
        <v>1292</v>
      </c>
      <c r="D1643" s="57"/>
      <c r="E1643" s="43" t="str">
        <f t="shared" ref="E1643:E1648" si="106">HYPERLINK("https://www.google.ru/search?q=A5875-0007&amp;newwindow=1&amp;tbm=isch","Еще фото")</f>
        <v>Еще фото</v>
      </c>
      <c r="F1643" s="34" t="s">
        <v>469</v>
      </c>
      <c r="G1643" s="11" t="s">
        <v>237</v>
      </c>
      <c r="H1643" s="11" t="s">
        <v>27</v>
      </c>
      <c r="I1643" s="15" t="s">
        <v>237</v>
      </c>
      <c r="J1643" s="15" t="s">
        <v>37</v>
      </c>
      <c r="K1643" s="16" t="s">
        <v>57</v>
      </c>
      <c r="L1643" s="60" t="s">
        <v>1293</v>
      </c>
      <c r="M1643" s="15"/>
      <c r="N1643" s="15" t="s">
        <v>130</v>
      </c>
      <c r="O1643" s="15"/>
      <c r="P1643" s="16" t="s">
        <v>1223</v>
      </c>
      <c r="Q1643" s="17">
        <v>35499</v>
      </c>
      <c r="R1643" s="18">
        <v>45</v>
      </c>
      <c r="S1643" s="19">
        <v>22453.1175</v>
      </c>
      <c r="T1643" s="20" t="s">
        <v>75</v>
      </c>
      <c r="U1643" s="21" t="s">
        <v>165</v>
      </c>
      <c r="V1643" s="22">
        <v>48</v>
      </c>
      <c r="W1643" s="22">
        <v>22</v>
      </c>
      <c r="X1643" s="23"/>
    </row>
    <row r="1644" spans="1:24" s="1" customFormat="1" ht="17" customHeight="1" x14ac:dyDescent="0.3">
      <c r="A1644" s="24" t="s">
        <v>23</v>
      </c>
      <c r="B1644" s="24" t="s">
        <v>1291</v>
      </c>
      <c r="C1644" s="12" t="s">
        <v>1292</v>
      </c>
      <c r="D1644" s="58"/>
      <c r="E1644" s="43" t="str">
        <f t="shared" si="106"/>
        <v>Еще фото</v>
      </c>
      <c r="F1644" s="34" t="s">
        <v>469</v>
      </c>
      <c r="G1644" s="24" t="s">
        <v>237</v>
      </c>
      <c r="H1644" s="24" t="s">
        <v>27</v>
      </c>
      <c r="I1644" s="24" t="s">
        <v>237</v>
      </c>
      <c r="J1644" s="15" t="s">
        <v>37</v>
      </c>
      <c r="K1644" s="16" t="s">
        <v>57</v>
      </c>
      <c r="L1644" s="61"/>
      <c r="M1644" s="15"/>
      <c r="N1644" s="15" t="s">
        <v>130</v>
      </c>
      <c r="O1644" s="15"/>
      <c r="P1644" s="16" t="s">
        <v>1223</v>
      </c>
      <c r="Q1644" s="17">
        <v>35499</v>
      </c>
      <c r="R1644" s="18">
        <v>45</v>
      </c>
      <c r="S1644" s="19">
        <v>22453.1175</v>
      </c>
      <c r="T1644" s="20" t="s">
        <v>75</v>
      </c>
      <c r="U1644" s="21" t="s">
        <v>104</v>
      </c>
      <c r="V1644" s="22">
        <v>48</v>
      </c>
      <c r="W1644" s="22">
        <v>5</v>
      </c>
      <c r="X1644" s="23"/>
    </row>
    <row r="1645" spans="1:24" s="1" customFormat="1" ht="17" customHeight="1" x14ac:dyDescent="0.3">
      <c r="A1645" s="24" t="s">
        <v>23</v>
      </c>
      <c r="B1645" s="24" t="s">
        <v>1291</v>
      </c>
      <c r="C1645" s="12" t="s">
        <v>1292</v>
      </c>
      <c r="D1645" s="58"/>
      <c r="E1645" s="43" t="str">
        <f t="shared" si="106"/>
        <v>Еще фото</v>
      </c>
      <c r="F1645" s="34" t="s">
        <v>469</v>
      </c>
      <c r="G1645" s="24" t="s">
        <v>237</v>
      </c>
      <c r="H1645" s="24" t="s">
        <v>27</v>
      </c>
      <c r="I1645" s="24" t="s">
        <v>237</v>
      </c>
      <c r="J1645" s="15" t="s">
        <v>37</v>
      </c>
      <c r="K1645" s="16" t="s">
        <v>57</v>
      </c>
      <c r="L1645" s="61"/>
      <c r="M1645" s="15"/>
      <c r="N1645" s="15" t="s">
        <v>130</v>
      </c>
      <c r="O1645" s="15"/>
      <c r="P1645" s="16" t="s">
        <v>1223</v>
      </c>
      <c r="Q1645" s="17">
        <v>35499</v>
      </c>
      <c r="R1645" s="18">
        <v>45</v>
      </c>
      <c r="S1645" s="19">
        <v>22453.1175</v>
      </c>
      <c r="T1645" s="20" t="s">
        <v>75</v>
      </c>
      <c r="U1645" s="21" t="s">
        <v>166</v>
      </c>
      <c r="V1645" s="25" t="s">
        <v>96</v>
      </c>
      <c r="W1645" s="22">
        <v>6</v>
      </c>
      <c r="X1645" s="23"/>
    </row>
    <row r="1646" spans="1:24" s="1" customFormat="1" ht="17" customHeight="1" x14ac:dyDescent="0.3">
      <c r="A1646" s="24" t="s">
        <v>23</v>
      </c>
      <c r="B1646" s="24" t="s">
        <v>1291</v>
      </c>
      <c r="C1646" s="12" t="s">
        <v>1292</v>
      </c>
      <c r="D1646" s="58"/>
      <c r="E1646" s="43" t="str">
        <f t="shared" si="106"/>
        <v>Еще фото</v>
      </c>
      <c r="F1646" s="34" t="s">
        <v>469</v>
      </c>
      <c r="G1646" s="24" t="s">
        <v>237</v>
      </c>
      <c r="H1646" s="24" t="s">
        <v>27</v>
      </c>
      <c r="I1646" s="24" t="s">
        <v>237</v>
      </c>
      <c r="J1646" s="15" t="s">
        <v>37</v>
      </c>
      <c r="K1646" s="16" t="s">
        <v>57</v>
      </c>
      <c r="L1646" s="61"/>
      <c r="M1646" s="15"/>
      <c r="N1646" s="15" t="s">
        <v>130</v>
      </c>
      <c r="O1646" s="15"/>
      <c r="P1646" s="16" t="s">
        <v>1223</v>
      </c>
      <c r="Q1646" s="17">
        <v>35499</v>
      </c>
      <c r="R1646" s="18">
        <v>45</v>
      </c>
      <c r="S1646" s="19">
        <v>22453.1175</v>
      </c>
      <c r="T1646" s="20" t="s">
        <v>75</v>
      </c>
      <c r="U1646" s="21" t="s">
        <v>359</v>
      </c>
      <c r="V1646" s="25" t="s">
        <v>96</v>
      </c>
      <c r="W1646" s="22">
        <v>3</v>
      </c>
      <c r="X1646" s="23"/>
    </row>
    <row r="1647" spans="1:24" s="1" customFormat="1" ht="17" customHeight="1" x14ac:dyDescent="0.3">
      <c r="A1647" s="24" t="s">
        <v>23</v>
      </c>
      <c r="B1647" s="24" t="s">
        <v>1291</v>
      </c>
      <c r="C1647" s="12" t="s">
        <v>1292</v>
      </c>
      <c r="D1647" s="58"/>
      <c r="E1647" s="43" t="str">
        <f t="shared" si="106"/>
        <v>Еще фото</v>
      </c>
      <c r="F1647" s="34" t="s">
        <v>469</v>
      </c>
      <c r="G1647" s="24" t="s">
        <v>237</v>
      </c>
      <c r="H1647" s="24" t="s">
        <v>27</v>
      </c>
      <c r="I1647" s="24" t="s">
        <v>237</v>
      </c>
      <c r="J1647" s="15" t="s">
        <v>37</v>
      </c>
      <c r="K1647" s="16" t="s">
        <v>57</v>
      </c>
      <c r="L1647" s="61"/>
      <c r="M1647" s="15"/>
      <c r="N1647" s="15" t="s">
        <v>130</v>
      </c>
      <c r="O1647" s="15"/>
      <c r="P1647" s="16" t="s">
        <v>1223</v>
      </c>
      <c r="Q1647" s="17">
        <v>35499</v>
      </c>
      <c r="R1647" s="18">
        <v>45</v>
      </c>
      <c r="S1647" s="19">
        <v>22453.1175</v>
      </c>
      <c r="T1647" s="20" t="s">
        <v>75</v>
      </c>
      <c r="U1647" s="21" t="s">
        <v>89</v>
      </c>
      <c r="V1647" s="22">
        <v>50</v>
      </c>
      <c r="W1647" s="22">
        <v>21</v>
      </c>
      <c r="X1647" s="23"/>
    </row>
    <row r="1648" spans="1:24" s="1" customFormat="1" ht="22.05" customHeight="1" x14ac:dyDescent="0.3">
      <c r="A1648" s="24" t="s">
        <v>23</v>
      </c>
      <c r="B1648" s="24" t="s">
        <v>1291</v>
      </c>
      <c r="C1648" s="12" t="s">
        <v>1292</v>
      </c>
      <c r="D1648" s="59"/>
      <c r="E1648" s="43" t="str">
        <f t="shared" si="106"/>
        <v>Еще фото</v>
      </c>
      <c r="F1648" s="34" t="s">
        <v>469</v>
      </c>
      <c r="G1648" s="24" t="s">
        <v>237</v>
      </c>
      <c r="H1648" s="24" t="s">
        <v>27</v>
      </c>
      <c r="I1648" s="24" t="s">
        <v>237</v>
      </c>
      <c r="J1648" s="15" t="s">
        <v>37</v>
      </c>
      <c r="K1648" s="16" t="s">
        <v>57</v>
      </c>
      <c r="L1648" s="62"/>
      <c r="M1648" s="15"/>
      <c r="N1648" s="15" t="s">
        <v>130</v>
      </c>
      <c r="O1648" s="15"/>
      <c r="P1648" s="16" t="s">
        <v>1223</v>
      </c>
      <c r="Q1648" s="17">
        <v>35499</v>
      </c>
      <c r="R1648" s="18">
        <v>45</v>
      </c>
      <c r="S1648" s="19">
        <v>22453.1175</v>
      </c>
      <c r="T1648" s="20" t="s">
        <v>75</v>
      </c>
      <c r="U1648" s="21" t="s">
        <v>100</v>
      </c>
      <c r="V1648" s="22">
        <v>50</v>
      </c>
      <c r="W1648" s="22">
        <v>5</v>
      </c>
      <c r="X1648" s="23"/>
    </row>
    <row r="1649" spans="1:24" s="1" customFormat="1" ht="21" customHeight="1" x14ac:dyDescent="0.3">
      <c r="A1649" s="11" t="s">
        <v>23</v>
      </c>
      <c r="B1649" s="11" t="s">
        <v>1294</v>
      </c>
      <c r="C1649" s="30" t="s">
        <v>1295</v>
      </c>
      <c r="D1649" s="57"/>
      <c r="E1649" s="43" t="str">
        <f>HYPERLINK("https://www.google.ru/search?q=A5877-0002&amp;newwindow=1&amp;tbm=isch","Еще фото")</f>
        <v>Еще фото</v>
      </c>
      <c r="F1649" s="14"/>
      <c r="G1649" s="11" t="s">
        <v>237</v>
      </c>
      <c r="H1649" s="11" t="s">
        <v>27</v>
      </c>
      <c r="I1649" s="15" t="s">
        <v>237</v>
      </c>
      <c r="J1649" s="15" t="s">
        <v>37</v>
      </c>
      <c r="K1649" s="16" t="s">
        <v>57</v>
      </c>
      <c r="L1649" s="60" t="s">
        <v>1296</v>
      </c>
      <c r="M1649" s="15"/>
      <c r="N1649" s="15" t="s">
        <v>39</v>
      </c>
      <c r="O1649" s="15"/>
      <c r="P1649" s="16" t="s">
        <v>1223</v>
      </c>
      <c r="Q1649" s="17">
        <v>28399</v>
      </c>
      <c r="R1649" s="18">
        <v>45</v>
      </c>
      <c r="S1649" s="19">
        <v>17962.3675</v>
      </c>
      <c r="T1649" s="20" t="s">
        <v>75</v>
      </c>
      <c r="U1649" s="21" t="s">
        <v>165</v>
      </c>
      <c r="V1649" s="22">
        <v>48</v>
      </c>
      <c r="W1649" s="22">
        <v>11</v>
      </c>
      <c r="X1649" s="23"/>
    </row>
    <row r="1650" spans="1:24" s="1" customFormat="1" ht="21" customHeight="1" x14ac:dyDescent="0.3">
      <c r="A1650" s="24" t="s">
        <v>23</v>
      </c>
      <c r="B1650" s="24" t="s">
        <v>1294</v>
      </c>
      <c r="C1650" s="31" t="s">
        <v>1295</v>
      </c>
      <c r="D1650" s="58"/>
      <c r="E1650" s="43" t="str">
        <f>HYPERLINK("https://www.google.ru/search?q=A5877-0002&amp;newwindow=1&amp;tbm=isch","Еще фото")</f>
        <v>Еще фото</v>
      </c>
      <c r="F1650" s="14"/>
      <c r="G1650" s="24" t="s">
        <v>237</v>
      </c>
      <c r="H1650" s="24" t="s">
        <v>27</v>
      </c>
      <c r="I1650" s="24" t="s">
        <v>237</v>
      </c>
      <c r="J1650" s="15" t="s">
        <v>37</v>
      </c>
      <c r="K1650" s="16" t="s">
        <v>57</v>
      </c>
      <c r="L1650" s="61"/>
      <c r="M1650" s="15"/>
      <c r="N1650" s="15" t="s">
        <v>39</v>
      </c>
      <c r="O1650" s="15"/>
      <c r="P1650" s="16" t="s">
        <v>1223</v>
      </c>
      <c r="Q1650" s="17">
        <v>28399</v>
      </c>
      <c r="R1650" s="18">
        <v>45</v>
      </c>
      <c r="S1650" s="19">
        <v>17962.3675</v>
      </c>
      <c r="T1650" s="20" t="s">
        <v>75</v>
      </c>
      <c r="U1650" s="21" t="s">
        <v>104</v>
      </c>
      <c r="V1650" s="22">
        <v>48</v>
      </c>
      <c r="W1650" s="22">
        <v>5</v>
      </c>
      <c r="X1650" s="23"/>
    </row>
    <row r="1651" spans="1:24" s="1" customFormat="1" ht="21" customHeight="1" x14ac:dyDescent="0.3">
      <c r="A1651" s="24" t="s">
        <v>23</v>
      </c>
      <c r="B1651" s="24" t="s">
        <v>1294</v>
      </c>
      <c r="C1651" s="31" t="s">
        <v>1295</v>
      </c>
      <c r="D1651" s="58"/>
      <c r="E1651" s="43" t="str">
        <f>HYPERLINK("https://www.google.ru/search?q=A5877-0002&amp;newwindow=1&amp;tbm=isch","Еще фото")</f>
        <v>Еще фото</v>
      </c>
      <c r="F1651" s="14"/>
      <c r="G1651" s="24" t="s">
        <v>237</v>
      </c>
      <c r="H1651" s="24" t="s">
        <v>27</v>
      </c>
      <c r="I1651" s="24" t="s">
        <v>237</v>
      </c>
      <c r="J1651" s="15" t="s">
        <v>37</v>
      </c>
      <c r="K1651" s="16" t="s">
        <v>57</v>
      </c>
      <c r="L1651" s="61"/>
      <c r="M1651" s="15"/>
      <c r="N1651" s="15" t="s">
        <v>39</v>
      </c>
      <c r="O1651" s="15"/>
      <c r="P1651" s="16" t="s">
        <v>1223</v>
      </c>
      <c r="Q1651" s="17">
        <v>28399</v>
      </c>
      <c r="R1651" s="18">
        <v>45</v>
      </c>
      <c r="S1651" s="19">
        <v>17962.3675</v>
      </c>
      <c r="T1651" s="20" t="s">
        <v>75</v>
      </c>
      <c r="U1651" s="21" t="s">
        <v>166</v>
      </c>
      <c r="V1651" s="25" t="s">
        <v>96</v>
      </c>
      <c r="W1651" s="22">
        <v>10</v>
      </c>
      <c r="X1651" s="23"/>
    </row>
    <row r="1652" spans="1:24" s="1" customFormat="1" ht="21" customHeight="1" x14ac:dyDescent="0.3">
      <c r="A1652" s="24" t="s">
        <v>23</v>
      </c>
      <c r="B1652" s="24" t="s">
        <v>1294</v>
      </c>
      <c r="C1652" s="31" t="s">
        <v>1295</v>
      </c>
      <c r="D1652" s="58"/>
      <c r="E1652" s="43" t="str">
        <f>HYPERLINK("https://www.google.ru/search?q=A5877-0002&amp;newwindow=1&amp;tbm=isch","Еще фото")</f>
        <v>Еще фото</v>
      </c>
      <c r="F1652" s="14"/>
      <c r="G1652" s="24" t="s">
        <v>237</v>
      </c>
      <c r="H1652" s="24" t="s">
        <v>27</v>
      </c>
      <c r="I1652" s="24" t="s">
        <v>237</v>
      </c>
      <c r="J1652" s="15" t="s">
        <v>37</v>
      </c>
      <c r="K1652" s="16" t="s">
        <v>57</v>
      </c>
      <c r="L1652" s="61"/>
      <c r="M1652" s="15"/>
      <c r="N1652" s="15" t="s">
        <v>39</v>
      </c>
      <c r="O1652" s="15"/>
      <c r="P1652" s="16" t="s">
        <v>1223</v>
      </c>
      <c r="Q1652" s="17">
        <v>28399</v>
      </c>
      <c r="R1652" s="18">
        <v>45</v>
      </c>
      <c r="S1652" s="19">
        <v>17962.3675</v>
      </c>
      <c r="T1652" s="20" t="s">
        <v>75</v>
      </c>
      <c r="U1652" s="21" t="s">
        <v>89</v>
      </c>
      <c r="V1652" s="22">
        <v>50</v>
      </c>
      <c r="W1652" s="22">
        <v>15</v>
      </c>
      <c r="X1652" s="23"/>
    </row>
    <row r="1653" spans="1:24" s="1" customFormat="1" ht="32" customHeight="1" x14ac:dyDescent="0.3">
      <c r="A1653" s="24" t="s">
        <v>23</v>
      </c>
      <c r="B1653" s="24" t="s">
        <v>1294</v>
      </c>
      <c r="C1653" s="31" t="s">
        <v>1295</v>
      </c>
      <c r="D1653" s="59"/>
      <c r="E1653" s="43" t="str">
        <f>HYPERLINK("https://www.google.ru/search?q=A5877-0002&amp;newwindow=1&amp;tbm=isch","Еще фото")</f>
        <v>Еще фото</v>
      </c>
      <c r="F1653" s="14"/>
      <c r="G1653" s="24" t="s">
        <v>237</v>
      </c>
      <c r="H1653" s="24" t="s">
        <v>27</v>
      </c>
      <c r="I1653" s="24" t="s">
        <v>237</v>
      </c>
      <c r="J1653" s="15" t="s">
        <v>37</v>
      </c>
      <c r="K1653" s="16" t="s">
        <v>57</v>
      </c>
      <c r="L1653" s="62"/>
      <c r="M1653" s="15"/>
      <c r="N1653" s="15" t="s">
        <v>39</v>
      </c>
      <c r="O1653" s="15"/>
      <c r="P1653" s="16" t="s">
        <v>1223</v>
      </c>
      <c r="Q1653" s="17">
        <v>28399</v>
      </c>
      <c r="R1653" s="18">
        <v>45</v>
      </c>
      <c r="S1653" s="19">
        <v>17962.3675</v>
      </c>
      <c r="T1653" s="20" t="s">
        <v>75</v>
      </c>
      <c r="U1653" s="21" t="s">
        <v>100</v>
      </c>
      <c r="V1653" s="22">
        <v>50</v>
      </c>
      <c r="W1653" s="22">
        <v>6</v>
      </c>
      <c r="X1653" s="23"/>
    </row>
    <row r="1654" spans="1:24" s="1" customFormat="1" ht="11" customHeight="1" x14ac:dyDescent="0.3">
      <c r="A1654" s="11" t="s">
        <v>23</v>
      </c>
      <c r="B1654" s="11" t="s">
        <v>1297</v>
      </c>
      <c r="C1654" s="12" t="s">
        <v>1298</v>
      </c>
      <c r="D1654" s="57"/>
      <c r="E1654" s="43" t="str">
        <f t="shared" ref="E1654:E1663" si="107">HYPERLINK("https://www.google.ru/search?q=A5881-0003&amp;newwindow=1&amp;tbm=isch","Еще фото")</f>
        <v>Еще фото</v>
      </c>
      <c r="F1654" s="34" t="s">
        <v>469</v>
      </c>
      <c r="G1654" s="11" t="s">
        <v>237</v>
      </c>
      <c r="H1654" s="11" t="s">
        <v>27</v>
      </c>
      <c r="I1654" s="15" t="s">
        <v>237</v>
      </c>
      <c r="J1654" s="15" t="s">
        <v>37</v>
      </c>
      <c r="K1654" s="16" t="s">
        <v>57</v>
      </c>
      <c r="L1654" s="60" t="s">
        <v>1299</v>
      </c>
      <c r="M1654" s="15"/>
      <c r="N1654" s="15" t="s">
        <v>130</v>
      </c>
      <c r="O1654" s="15"/>
      <c r="P1654" s="16" t="s">
        <v>1223</v>
      </c>
      <c r="Q1654" s="17">
        <v>35499</v>
      </c>
      <c r="R1654" s="18">
        <v>45</v>
      </c>
      <c r="S1654" s="19">
        <v>22453.1175</v>
      </c>
      <c r="T1654" s="20" t="s">
        <v>75</v>
      </c>
      <c r="U1654" s="21" t="s">
        <v>53</v>
      </c>
      <c r="V1654" s="22">
        <v>46</v>
      </c>
      <c r="W1654" s="22">
        <v>15</v>
      </c>
      <c r="X1654" s="23"/>
    </row>
    <row r="1655" spans="1:24" s="1" customFormat="1" ht="11" customHeight="1" x14ac:dyDescent="0.3">
      <c r="A1655" s="24" t="s">
        <v>23</v>
      </c>
      <c r="B1655" s="24" t="s">
        <v>1297</v>
      </c>
      <c r="C1655" s="12" t="s">
        <v>1298</v>
      </c>
      <c r="D1655" s="58"/>
      <c r="E1655" s="43" t="str">
        <f t="shared" si="107"/>
        <v>Еще фото</v>
      </c>
      <c r="F1655" s="34" t="s">
        <v>469</v>
      </c>
      <c r="G1655" s="24" t="s">
        <v>237</v>
      </c>
      <c r="H1655" s="24" t="s">
        <v>27</v>
      </c>
      <c r="I1655" s="24" t="s">
        <v>237</v>
      </c>
      <c r="J1655" s="15" t="s">
        <v>37</v>
      </c>
      <c r="K1655" s="16" t="s">
        <v>57</v>
      </c>
      <c r="L1655" s="61"/>
      <c r="M1655" s="15"/>
      <c r="N1655" s="15" t="s">
        <v>130</v>
      </c>
      <c r="O1655" s="15"/>
      <c r="P1655" s="16" t="s">
        <v>1223</v>
      </c>
      <c r="Q1655" s="17">
        <v>35499</v>
      </c>
      <c r="R1655" s="18">
        <v>45</v>
      </c>
      <c r="S1655" s="19">
        <v>22453.1175</v>
      </c>
      <c r="T1655" s="20" t="s">
        <v>75</v>
      </c>
      <c r="U1655" s="21" t="s">
        <v>109</v>
      </c>
      <c r="V1655" s="25" t="s">
        <v>65</v>
      </c>
      <c r="W1655" s="22">
        <v>5</v>
      </c>
      <c r="X1655" s="23"/>
    </row>
    <row r="1656" spans="1:24" s="1" customFormat="1" ht="11" customHeight="1" x14ac:dyDescent="0.3">
      <c r="A1656" s="24" t="s">
        <v>23</v>
      </c>
      <c r="B1656" s="24" t="s">
        <v>1297</v>
      </c>
      <c r="C1656" s="12" t="s">
        <v>1298</v>
      </c>
      <c r="D1656" s="58"/>
      <c r="E1656" s="43" t="str">
        <f t="shared" si="107"/>
        <v>Еще фото</v>
      </c>
      <c r="F1656" s="34" t="s">
        <v>469</v>
      </c>
      <c r="G1656" s="24" t="s">
        <v>237</v>
      </c>
      <c r="H1656" s="24" t="s">
        <v>27</v>
      </c>
      <c r="I1656" s="24" t="s">
        <v>237</v>
      </c>
      <c r="J1656" s="15" t="s">
        <v>37</v>
      </c>
      <c r="K1656" s="16" t="s">
        <v>57</v>
      </c>
      <c r="L1656" s="61"/>
      <c r="M1656" s="15"/>
      <c r="N1656" s="15" t="s">
        <v>130</v>
      </c>
      <c r="O1656" s="15"/>
      <c r="P1656" s="16" t="s">
        <v>1223</v>
      </c>
      <c r="Q1656" s="17">
        <v>35499</v>
      </c>
      <c r="R1656" s="18">
        <v>45</v>
      </c>
      <c r="S1656" s="19">
        <v>22453.1175</v>
      </c>
      <c r="T1656" s="20" t="s">
        <v>75</v>
      </c>
      <c r="U1656" s="21" t="s">
        <v>165</v>
      </c>
      <c r="V1656" s="22">
        <v>48</v>
      </c>
      <c r="W1656" s="22">
        <v>32</v>
      </c>
      <c r="X1656" s="23"/>
    </row>
    <row r="1657" spans="1:24" s="1" customFormat="1" ht="11" customHeight="1" x14ac:dyDescent="0.3">
      <c r="A1657" s="24" t="s">
        <v>23</v>
      </c>
      <c r="B1657" s="24" t="s">
        <v>1297</v>
      </c>
      <c r="C1657" s="12" t="s">
        <v>1298</v>
      </c>
      <c r="D1657" s="58"/>
      <c r="E1657" s="43" t="str">
        <f t="shared" si="107"/>
        <v>Еще фото</v>
      </c>
      <c r="F1657" s="34" t="s">
        <v>469</v>
      </c>
      <c r="G1657" s="24" t="s">
        <v>237</v>
      </c>
      <c r="H1657" s="24" t="s">
        <v>27</v>
      </c>
      <c r="I1657" s="24" t="s">
        <v>237</v>
      </c>
      <c r="J1657" s="15" t="s">
        <v>37</v>
      </c>
      <c r="K1657" s="16" t="s">
        <v>57</v>
      </c>
      <c r="L1657" s="61"/>
      <c r="M1657" s="15"/>
      <c r="N1657" s="15" t="s">
        <v>130</v>
      </c>
      <c r="O1657" s="15"/>
      <c r="P1657" s="16" t="s">
        <v>1223</v>
      </c>
      <c r="Q1657" s="17">
        <v>35499</v>
      </c>
      <c r="R1657" s="18">
        <v>45</v>
      </c>
      <c r="S1657" s="19">
        <v>22453.1175</v>
      </c>
      <c r="T1657" s="20" t="s">
        <v>75</v>
      </c>
      <c r="U1657" s="21" t="s">
        <v>104</v>
      </c>
      <c r="V1657" s="22">
        <v>48</v>
      </c>
      <c r="W1657" s="22">
        <v>7</v>
      </c>
      <c r="X1657" s="23"/>
    </row>
    <row r="1658" spans="1:24" s="1" customFormat="1" ht="11" customHeight="1" x14ac:dyDescent="0.3">
      <c r="A1658" s="24" t="s">
        <v>23</v>
      </c>
      <c r="B1658" s="24" t="s">
        <v>1297</v>
      </c>
      <c r="C1658" s="12" t="s">
        <v>1298</v>
      </c>
      <c r="D1658" s="58"/>
      <c r="E1658" s="43" t="str">
        <f t="shared" si="107"/>
        <v>Еще фото</v>
      </c>
      <c r="F1658" s="34" t="s">
        <v>469</v>
      </c>
      <c r="G1658" s="24" t="s">
        <v>237</v>
      </c>
      <c r="H1658" s="24" t="s">
        <v>27</v>
      </c>
      <c r="I1658" s="24" t="s">
        <v>237</v>
      </c>
      <c r="J1658" s="15" t="s">
        <v>37</v>
      </c>
      <c r="K1658" s="16" t="s">
        <v>57</v>
      </c>
      <c r="L1658" s="61"/>
      <c r="M1658" s="15"/>
      <c r="N1658" s="15" t="s">
        <v>130</v>
      </c>
      <c r="O1658" s="15"/>
      <c r="P1658" s="16" t="s">
        <v>1223</v>
      </c>
      <c r="Q1658" s="17">
        <v>35499</v>
      </c>
      <c r="R1658" s="18">
        <v>45</v>
      </c>
      <c r="S1658" s="19">
        <v>22453.1175</v>
      </c>
      <c r="T1658" s="20" t="s">
        <v>75</v>
      </c>
      <c r="U1658" s="21" t="s">
        <v>166</v>
      </c>
      <c r="V1658" s="25" t="s">
        <v>96</v>
      </c>
      <c r="W1658" s="22">
        <v>13</v>
      </c>
      <c r="X1658" s="23"/>
    </row>
    <row r="1659" spans="1:24" s="1" customFormat="1" ht="11" customHeight="1" x14ac:dyDescent="0.3">
      <c r="A1659" s="24" t="s">
        <v>23</v>
      </c>
      <c r="B1659" s="24" t="s">
        <v>1297</v>
      </c>
      <c r="C1659" s="12" t="s">
        <v>1298</v>
      </c>
      <c r="D1659" s="58"/>
      <c r="E1659" s="43" t="str">
        <f t="shared" si="107"/>
        <v>Еще фото</v>
      </c>
      <c r="F1659" s="34" t="s">
        <v>469</v>
      </c>
      <c r="G1659" s="24" t="s">
        <v>237</v>
      </c>
      <c r="H1659" s="24" t="s">
        <v>27</v>
      </c>
      <c r="I1659" s="24" t="s">
        <v>237</v>
      </c>
      <c r="J1659" s="15" t="s">
        <v>37</v>
      </c>
      <c r="K1659" s="16" t="s">
        <v>57</v>
      </c>
      <c r="L1659" s="61"/>
      <c r="M1659" s="15"/>
      <c r="N1659" s="15" t="s">
        <v>130</v>
      </c>
      <c r="O1659" s="15"/>
      <c r="P1659" s="16" t="s">
        <v>1223</v>
      </c>
      <c r="Q1659" s="17">
        <v>35499</v>
      </c>
      <c r="R1659" s="18">
        <v>45</v>
      </c>
      <c r="S1659" s="19">
        <v>22453.1175</v>
      </c>
      <c r="T1659" s="20" t="s">
        <v>75</v>
      </c>
      <c r="U1659" s="21" t="s">
        <v>359</v>
      </c>
      <c r="V1659" s="25" t="s">
        <v>96</v>
      </c>
      <c r="W1659" s="22">
        <v>7</v>
      </c>
      <c r="X1659" s="23"/>
    </row>
    <row r="1660" spans="1:24" s="1" customFormat="1" ht="11" customHeight="1" x14ac:dyDescent="0.3">
      <c r="A1660" s="24" t="s">
        <v>23</v>
      </c>
      <c r="B1660" s="24" t="s">
        <v>1297</v>
      </c>
      <c r="C1660" s="12" t="s">
        <v>1298</v>
      </c>
      <c r="D1660" s="58"/>
      <c r="E1660" s="43" t="str">
        <f t="shared" si="107"/>
        <v>Еще фото</v>
      </c>
      <c r="F1660" s="34" t="s">
        <v>469</v>
      </c>
      <c r="G1660" s="24" t="s">
        <v>237</v>
      </c>
      <c r="H1660" s="24" t="s">
        <v>27</v>
      </c>
      <c r="I1660" s="24" t="s">
        <v>237</v>
      </c>
      <c r="J1660" s="15" t="s">
        <v>37</v>
      </c>
      <c r="K1660" s="16" t="s">
        <v>57</v>
      </c>
      <c r="L1660" s="61"/>
      <c r="M1660" s="15"/>
      <c r="N1660" s="15" t="s">
        <v>130</v>
      </c>
      <c r="O1660" s="15"/>
      <c r="P1660" s="16" t="s">
        <v>1223</v>
      </c>
      <c r="Q1660" s="17">
        <v>35499</v>
      </c>
      <c r="R1660" s="18">
        <v>45</v>
      </c>
      <c r="S1660" s="19">
        <v>22453.1175</v>
      </c>
      <c r="T1660" s="20" t="s">
        <v>75</v>
      </c>
      <c r="U1660" s="21" t="s">
        <v>89</v>
      </c>
      <c r="V1660" s="22">
        <v>50</v>
      </c>
      <c r="W1660" s="22">
        <v>34</v>
      </c>
      <c r="X1660" s="23"/>
    </row>
    <row r="1661" spans="1:24" s="1" customFormat="1" ht="11" customHeight="1" x14ac:dyDescent="0.3">
      <c r="A1661" s="24" t="s">
        <v>23</v>
      </c>
      <c r="B1661" s="24" t="s">
        <v>1297</v>
      </c>
      <c r="C1661" s="12" t="s">
        <v>1298</v>
      </c>
      <c r="D1661" s="58"/>
      <c r="E1661" s="43" t="str">
        <f t="shared" si="107"/>
        <v>Еще фото</v>
      </c>
      <c r="F1661" s="34" t="s">
        <v>469</v>
      </c>
      <c r="G1661" s="24" t="s">
        <v>237</v>
      </c>
      <c r="H1661" s="24" t="s">
        <v>27</v>
      </c>
      <c r="I1661" s="24" t="s">
        <v>237</v>
      </c>
      <c r="J1661" s="15" t="s">
        <v>37</v>
      </c>
      <c r="K1661" s="16" t="s">
        <v>57</v>
      </c>
      <c r="L1661" s="61"/>
      <c r="M1661" s="15"/>
      <c r="N1661" s="15" t="s">
        <v>130</v>
      </c>
      <c r="O1661" s="15"/>
      <c r="P1661" s="16" t="s">
        <v>1223</v>
      </c>
      <c r="Q1661" s="17">
        <v>35499</v>
      </c>
      <c r="R1661" s="18">
        <v>45</v>
      </c>
      <c r="S1661" s="19">
        <v>22453.1175</v>
      </c>
      <c r="T1661" s="20" t="s">
        <v>75</v>
      </c>
      <c r="U1661" s="21" t="s">
        <v>100</v>
      </c>
      <c r="V1661" s="22">
        <v>50</v>
      </c>
      <c r="W1661" s="22">
        <v>7</v>
      </c>
      <c r="X1661" s="23"/>
    </row>
    <row r="1662" spans="1:24" s="1" customFormat="1" ht="11" customHeight="1" x14ac:dyDescent="0.3">
      <c r="A1662" s="24" t="s">
        <v>23</v>
      </c>
      <c r="B1662" s="24" t="s">
        <v>1297</v>
      </c>
      <c r="C1662" s="12" t="s">
        <v>1298</v>
      </c>
      <c r="D1662" s="58"/>
      <c r="E1662" s="43" t="str">
        <f t="shared" si="107"/>
        <v>Еще фото</v>
      </c>
      <c r="F1662" s="34" t="s">
        <v>469</v>
      </c>
      <c r="G1662" s="24" t="s">
        <v>237</v>
      </c>
      <c r="H1662" s="24" t="s">
        <v>27</v>
      </c>
      <c r="I1662" s="24" t="s">
        <v>237</v>
      </c>
      <c r="J1662" s="15" t="s">
        <v>37</v>
      </c>
      <c r="K1662" s="16" t="s">
        <v>57</v>
      </c>
      <c r="L1662" s="61"/>
      <c r="M1662" s="15"/>
      <c r="N1662" s="15" t="s">
        <v>130</v>
      </c>
      <c r="O1662" s="15"/>
      <c r="P1662" s="16" t="s">
        <v>1223</v>
      </c>
      <c r="Q1662" s="17">
        <v>35499</v>
      </c>
      <c r="R1662" s="18">
        <v>45</v>
      </c>
      <c r="S1662" s="19">
        <v>22453.1175</v>
      </c>
      <c r="T1662" s="20" t="s">
        <v>75</v>
      </c>
      <c r="U1662" s="21" t="s">
        <v>167</v>
      </c>
      <c r="V1662" s="22">
        <v>52</v>
      </c>
      <c r="W1662" s="22">
        <v>13</v>
      </c>
      <c r="X1662" s="23"/>
    </row>
    <row r="1663" spans="1:24" s="1" customFormat="1" ht="11" customHeight="1" x14ac:dyDescent="0.3">
      <c r="A1663" s="15" t="s">
        <v>23</v>
      </c>
      <c r="B1663" s="15" t="s">
        <v>1297</v>
      </c>
      <c r="C1663" s="12" t="s">
        <v>1298</v>
      </c>
      <c r="D1663" s="59"/>
      <c r="E1663" s="43" t="str">
        <f t="shared" si="107"/>
        <v>Еще фото</v>
      </c>
      <c r="F1663" s="35" t="s">
        <v>469</v>
      </c>
      <c r="G1663" s="15" t="s">
        <v>237</v>
      </c>
      <c r="H1663" s="15" t="s">
        <v>27</v>
      </c>
      <c r="I1663" s="15" t="s">
        <v>237</v>
      </c>
      <c r="J1663" s="15" t="s">
        <v>37</v>
      </c>
      <c r="K1663" s="15" t="s">
        <v>57</v>
      </c>
      <c r="L1663" s="62"/>
      <c r="M1663" s="15"/>
      <c r="N1663" s="15" t="s">
        <v>130</v>
      </c>
      <c r="O1663" s="15"/>
      <c r="P1663" s="15" t="s">
        <v>1223</v>
      </c>
      <c r="Q1663" s="27">
        <v>35499</v>
      </c>
      <c r="R1663" s="28">
        <v>45</v>
      </c>
      <c r="S1663" s="29">
        <v>22453.1175</v>
      </c>
      <c r="T1663" s="20" t="s">
        <v>75</v>
      </c>
      <c r="U1663" s="21" t="s">
        <v>168</v>
      </c>
      <c r="V1663" s="22">
        <v>52</v>
      </c>
      <c r="W1663" s="22">
        <v>7</v>
      </c>
      <c r="X1663" s="23"/>
    </row>
    <row r="1664" spans="1:24" s="1" customFormat="1" ht="108" customHeight="1" x14ac:dyDescent="0.3">
      <c r="A1664" s="11" t="s">
        <v>23</v>
      </c>
      <c r="B1664" s="11" t="s">
        <v>738</v>
      </c>
      <c r="C1664" s="12" t="s">
        <v>1300</v>
      </c>
      <c r="D1664" s="13"/>
      <c r="E1664" s="43" t="str">
        <f>HYPERLINK("https://www.google.ru/search?q=A6081-0001&amp;newwindow=1&amp;tbm=isch","Еще фото")</f>
        <v>Еще фото</v>
      </c>
      <c r="F1664" s="14" t="s">
        <v>182</v>
      </c>
      <c r="G1664" s="11" t="s">
        <v>237</v>
      </c>
      <c r="H1664" s="11" t="s">
        <v>27</v>
      </c>
      <c r="I1664" s="15" t="s">
        <v>237</v>
      </c>
      <c r="J1664" s="15" t="s">
        <v>37</v>
      </c>
      <c r="K1664" s="16" t="s">
        <v>29</v>
      </c>
      <c r="L1664" s="15" t="s">
        <v>740</v>
      </c>
      <c r="M1664" s="15"/>
      <c r="N1664" s="15" t="s">
        <v>39</v>
      </c>
      <c r="O1664" s="15"/>
      <c r="P1664" s="16" t="s">
        <v>32</v>
      </c>
      <c r="Q1664" s="17">
        <v>18899</v>
      </c>
      <c r="R1664" s="18">
        <v>45</v>
      </c>
      <c r="S1664" s="19">
        <v>11953.6175</v>
      </c>
      <c r="T1664" s="20" t="s">
        <v>75</v>
      </c>
      <c r="U1664" s="21" t="s">
        <v>53</v>
      </c>
      <c r="V1664" s="22">
        <v>48</v>
      </c>
      <c r="W1664" s="22">
        <v>1</v>
      </c>
      <c r="X1664" s="23"/>
    </row>
    <row r="1665" spans="1:24" s="1" customFormat="1" ht="108" customHeight="1" x14ac:dyDescent="0.3">
      <c r="A1665" s="11" t="s">
        <v>23</v>
      </c>
      <c r="B1665" s="11" t="s">
        <v>738</v>
      </c>
      <c r="C1665" s="12" t="s">
        <v>1301</v>
      </c>
      <c r="D1665" s="13"/>
      <c r="E1665" s="43" t="str">
        <f>HYPERLINK("https://www.google.ru/search?q=A6081-0009&amp;newwindow=1&amp;tbm=isch","Еще фото")</f>
        <v>Еще фото</v>
      </c>
      <c r="F1665" s="14" t="s">
        <v>182</v>
      </c>
      <c r="G1665" s="11" t="s">
        <v>237</v>
      </c>
      <c r="H1665" s="11" t="s">
        <v>27</v>
      </c>
      <c r="I1665" s="15" t="s">
        <v>237</v>
      </c>
      <c r="J1665" s="15" t="s">
        <v>37</v>
      </c>
      <c r="K1665" s="16" t="s">
        <v>29</v>
      </c>
      <c r="L1665" s="15" t="s">
        <v>740</v>
      </c>
      <c r="M1665" s="15"/>
      <c r="N1665" s="15" t="s">
        <v>31</v>
      </c>
      <c r="O1665" s="15"/>
      <c r="P1665" s="16" t="s">
        <v>32</v>
      </c>
      <c r="Q1665" s="17">
        <v>19199</v>
      </c>
      <c r="R1665" s="18">
        <v>45</v>
      </c>
      <c r="S1665" s="19">
        <v>12143.3675</v>
      </c>
      <c r="T1665" s="20" t="s">
        <v>75</v>
      </c>
      <c r="U1665" s="21" t="s">
        <v>95</v>
      </c>
      <c r="V1665" s="22">
        <v>50</v>
      </c>
      <c r="W1665" s="22">
        <v>2</v>
      </c>
      <c r="X1665" s="23"/>
    </row>
    <row r="1666" spans="1:24" s="1" customFormat="1" ht="108" customHeight="1" x14ac:dyDescent="0.3">
      <c r="A1666" s="11" t="s">
        <v>23</v>
      </c>
      <c r="B1666" s="11" t="s">
        <v>738</v>
      </c>
      <c r="C1666" s="12" t="s">
        <v>1302</v>
      </c>
      <c r="D1666" s="13"/>
      <c r="E1666" s="43" t="str">
        <f>HYPERLINK("https://www.google.ru/search?q=A6081-0019&amp;newwindow=1&amp;tbm=isch","Еще фото")</f>
        <v>Еще фото</v>
      </c>
      <c r="F1666" s="14" t="s">
        <v>182</v>
      </c>
      <c r="G1666" s="11" t="s">
        <v>237</v>
      </c>
      <c r="H1666" s="11" t="s">
        <v>27</v>
      </c>
      <c r="I1666" s="15" t="s">
        <v>237</v>
      </c>
      <c r="J1666" s="15" t="s">
        <v>37</v>
      </c>
      <c r="K1666" s="16" t="s">
        <v>29</v>
      </c>
      <c r="L1666" s="15" t="s">
        <v>740</v>
      </c>
      <c r="M1666" s="15"/>
      <c r="N1666" s="15" t="s">
        <v>130</v>
      </c>
      <c r="O1666" s="15"/>
      <c r="P1666" s="16" t="s">
        <v>172</v>
      </c>
      <c r="Q1666" s="17">
        <v>16799</v>
      </c>
      <c r="R1666" s="18">
        <v>45</v>
      </c>
      <c r="S1666" s="19">
        <v>10625.3675</v>
      </c>
      <c r="T1666" s="20" t="s">
        <v>75</v>
      </c>
      <c r="U1666" s="21" t="s">
        <v>47</v>
      </c>
      <c r="V1666" s="25" t="s">
        <v>48</v>
      </c>
      <c r="W1666" s="22">
        <v>1</v>
      </c>
      <c r="X1666" s="23"/>
    </row>
    <row r="1667" spans="1:24" s="1" customFormat="1" ht="52.05" customHeight="1" x14ac:dyDescent="0.3">
      <c r="A1667" s="11" t="s">
        <v>23</v>
      </c>
      <c r="B1667" s="11" t="s">
        <v>738</v>
      </c>
      <c r="C1667" s="12" t="s">
        <v>1303</v>
      </c>
      <c r="D1667" s="63"/>
      <c r="E1667" s="43" t="str">
        <f>HYPERLINK("https://www.google.ru/search?q=A6081-0020&amp;newwindow=1&amp;tbm=isch","Еще фото")</f>
        <v>Еще фото</v>
      </c>
      <c r="F1667" s="14" t="s">
        <v>182</v>
      </c>
      <c r="G1667" s="11" t="s">
        <v>237</v>
      </c>
      <c r="H1667" s="11" t="s">
        <v>27</v>
      </c>
      <c r="I1667" s="15" t="s">
        <v>237</v>
      </c>
      <c r="J1667" s="15" t="s">
        <v>37</v>
      </c>
      <c r="K1667" s="16" t="s">
        <v>29</v>
      </c>
      <c r="L1667" s="60" t="s">
        <v>740</v>
      </c>
      <c r="M1667" s="15"/>
      <c r="N1667" s="15" t="s">
        <v>130</v>
      </c>
      <c r="O1667" s="15"/>
      <c r="P1667" s="16" t="s">
        <v>32</v>
      </c>
      <c r="Q1667" s="17">
        <v>20399</v>
      </c>
      <c r="R1667" s="18">
        <v>45</v>
      </c>
      <c r="S1667" s="19">
        <v>12902.3675</v>
      </c>
      <c r="T1667" s="20" t="s">
        <v>75</v>
      </c>
      <c r="U1667" s="21" t="s">
        <v>313</v>
      </c>
      <c r="V1667" s="22">
        <v>44</v>
      </c>
      <c r="W1667" s="22">
        <v>1</v>
      </c>
      <c r="X1667" s="23"/>
    </row>
    <row r="1668" spans="1:24" s="1" customFormat="1" ht="61.05" customHeight="1" x14ac:dyDescent="0.3">
      <c r="A1668" s="24" t="s">
        <v>23</v>
      </c>
      <c r="B1668" s="24" t="s">
        <v>738</v>
      </c>
      <c r="C1668" s="12" t="s">
        <v>1303</v>
      </c>
      <c r="D1668" s="64"/>
      <c r="E1668" s="43" t="str">
        <f>HYPERLINK("https://www.google.ru/search?q=A6081-0020&amp;newwindow=1&amp;tbm=isch","Еще фото")</f>
        <v>Еще фото</v>
      </c>
      <c r="F1668" s="14" t="s">
        <v>182</v>
      </c>
      <c r="G1668" s="24" t="s">
        <v>237</v>
      </c>
      <c r="H1668" s="24" t="s">
        <v>27</v>
      </c>
      <c r="I1668" s="24" t="s">
        <v>237</v>
      </c>
      <c r="J1668" s="15" t="s">
        <v>37</v>
      </c>
      <c r="K1668" s="16" t="s">
        <v>29</v>
      </c>
      <c r="L1668" s="62"/>
      <c r="M1668" s="15"/>
      <c r="N1668" s="15" t="s">
        <v>130</v>
      </c>
      <c r="O1668" s="15"/>
      <c r="P1668" s="16" t="s">
        <v>32</v>
      </c>
      <c r="Q1668" s="17">
        <v>20399</v>
      </c>
      <c r="R1668" s="18">
        <v>45</v>
      </c>
      <c r="S1668" s="19">
        <v>12902.3675</v>
      </c>
      <c r="T1668" s="20" t="s">
        <v>75</v>
      </c>
      <c r="U1668" s="21" t="s">
        <v>188</v>
      </c>
      <c r="V1668" s="25" t="s">
        <v>96</v>
      </c>
      <c r="W1668" s="22">
        <v>1</v>
      </c>
      <c r="X1668" s="23"/>
    </row>
    <row r="1669" spans="1:24" s="1" customFormat="1" ht="108" customHeight="1" x14ac:dyDescent="0.3">
      <c r="A1669" s="11" t="s">
        <v>23</v>
      </c>
      <c r="B1669" s="11" t="s">
        <v>1304</v>
      </c>
      <c r="C1669" s="12" t="s">
        <v>1305</v>
      </c>
      <c r="D1669" s="13"/>
      <c r="E1669" s="43" t="str">
        <f>HYPERLINK("https://www.google.ru/search?q=A7221-0028&amp;newwindow=1&amp;tbm=isch","Еще фото")</f>
        <v>Еще фото</v>
      </c>
      <c r="F1669" s="14"/>
      <c r="G1669" s="11" t="s">
        <v>237</v>
      </c>
      <c r="H1669" s="11" t="s">
        <v>27</v>
      </c>
      <c r="I1669" s="15" t="s">
        <v>237</v>
      </c>
      <c r="J1669" s="15" t="s">
        <v>37</v>
      </c>
      <c r="K1669" s="16" t="s">
        <v>57</v>
      </c>
      <c r="L1669" s="15" t="s">
        <v>1306</v>
      </c>
      <c r="M1669" s="15"/>
      <c r="N1669" s="15" t="s">
        <v>130</v>
      </c>
      <c r="O1669" s="15"/>
      <c r="P1669" s="16" t="s">
        <v>32</v>
      </c>
      <c r="Q1669" s="17">
        <v>11399</v>
      </c>
      <c r="R1669" s="18">
        <v>45</v>
      </c>
      <c r="S1669" s="19">
        <v>7209.8674999999994</v>
      </c>
      <c r="T1669" s="20" t="s">
        <v>75</v>
      </c>
      <c r="U1669" s="21" t="s">
        <v>53</v>
      </c>
      <c r="V1669" s="22">
        <v>46</v>
      </c>
      <c r="W1669" s="22">
        <v>1</v>
      </c>
      <c r="X1669" s="23"/>
    </row>
    <row r="1670" spans="1:24" s="1" customFormat="1" ht="52.05" customHeight="1" x14ac:dyDescent="0.3">
      <c r="A1670" s="11" t="s">
        <v>23</v>
      </c>
      <c r="B1670" s="11" t="s">
        <v>1307</v>
      </c>
      <c r="C1670" s="12" t="s">
        <v>1308</v>
      </c>
      <c r="D1670" s="63"/>
      <c r="E1670" s="43" t="str">
        <f>HYPERLINK("https://www.google.ru/search?q=A7222-0002&amp;newwindow=1&amp;tbm=isch","Еще фото")</f>
        <v>Еще фото</v>
      </c>
      <c r="F1670" s="14" t="s">
        <v>182</v>
      </c>
      <c r="G1670" s="11" t="s">
        <v>237</v>
      </c>
      <c r="H1670" s="11" t="s">
        <v>27</v>
      </c>
      <c r="I1670" s="15" t="s">
        <v>237</v>
      </c>
      <c r="J1670" s="15" t="s">
        <v>37</v>
      </c>
      <c r="K1670" s="16" t="s">
        <v>57</v>
      </c>
      <c r="L1670" s="60" t="s">
        <v>1309</v>
      </c>
      <c r="M1670" s="15"/>
      <c r="N1670" s="15" t="s">
        <v>138</v>
      </c>
      <c r="O1670" s="15"/>
      <c r="P1670" s="16" t="s">
        <v>1310</v>
      </c>
      <c r="Q1670" s="17">
        <v>10199</v>
      </c>
      <c r="R1670" s="18">
        <v>45</v>
      </c>
      <c r="S1670" s="19">
        <v>6450.8674999999994</v>
      </c>
      <c r="T1670" s="20" t="s">
        <v>75</v>
      </c>
      <c r="U1670" s="21" t="s">
        <v>53</v>
      </c>
      <c r="V1670" s="22">
        <v>46</v>
      </c>
      <c r="W1670" s="22">
        <v>1</v>
      </c>
      <c r="X1670" s="23"/>
    </row>
    <row r="1671" spans="1:24" s="1" customFormat="1" ht="61.05" customHeight="1" x14ac:dyDescent="0.3">
      <c r="A1671" s="24" t="s">
        <v>23</v>
      </c>
      <c r="B1671" s="24" t="s">
        <v>1307</v>
      </c>
      <c r="C1671" s="12" t="s">
        <v>1308</v>
      </c>
      <c r="D1671" s="64"/>
      <c r="E1671" s="43" t="str">
        <f>HYPERLINK("https://www.google.ru/search?q=A7222-0002&amp;newwindow=1&amp;tbm=isch","Еще фото")</f>
        <v>Еще фото</v>
      </c>
      <c r="F1671" s="14" t="s">
        <v>182</v>
      </c>
      <c r="G1671" s="24" t="s">
        <v>237</v>
      </c>
      <c r="H1671" s="24" t="s">
        <v>27</v>
      </c>
      <c r="I1671" s="24" t="s">
        <v>237</v>
      </c>
      <c r="J1671" s="15" t="s">
        <v>37</v>
      </c>
      <c r="K1671" s="16" t="s">
        <v>57</v>
      </c>
      <c r="L1671" s="62"/>
      <c r="M1671" s="15"/>
      <c r="N1671" s="15" t="s">
        <v>138</v>
      </c>
      <c r="O1671" s="15"/>
      <c r="P1671" s="16" t="s">
        <v>1310</v>
      </c>
      <c r="Q1671" s="17">
        <v>10199</v>
      </c>
      <c r="R1671" s="18">
        <v>45</v>
      </c>
      <c r="S1671" s="19">
        <v>6450.8674999999994</v>
      </c>
      <c r="T1671" s="20" t="s">
        <v>75</v>
      </c>
      <c r="U1671" s="21" t="s">
        <v>166</v>
      </c>
      <c r="V1671" s="25" t="s">
        <v>96</v>
      </c>
      <c r="W1671" s="22">
        <v>1</v>
      </c>
      <c r="X1671" s="23"/>
    </row>
    <row r="1672" spans="1:24" s="1" customFormat="1" ht="52.05" customHeight="1" x14ac:dyDescent="0.3">
      <c r="A1672" s="11" t="s">
        <v>23</v>
      </c>
      <c r="B1672" s="11" t="s">
        <v>1311</v>
      </c>
      <c r="C1672" s="12" t="s">
        <v>1312</v>
      </c>
      <c r="D1672" s="63"/>
      <c r="E1672" s="43" t="str">
        <f>HYPERLINK("https://www.google.ru/search?q=A7222-0003&amp;newwindow=1&amp;tbm=isch","Еще фото")</f>
        <v>Еще фото</v>
      </c>
      <c r="F1672" s="14"/>
      <c r="G1672" s="11" t="s">
        <v>237</v>
      </c>
      <c r="H1672" s="11" t="s">
        <v>27</v>
      </c>
      <c r="I1672" s="15" t="s">
        <v>237</v>
      </c>
      <c r="J1672" s="15" t="s">
        <v>37</v>
      </c>
      <c r="K1672" s="16" t="s">
        <v>57</v>
      </c>
      <c r="L1672" s="60" t="s">
        <v>1309</v>
      </c>
      <c r="M1672" s="15"/>
      <c r="N1672" s="15" t="s">
        <v>39</v>
      </c>
      <c r="O1672" s="15"/>
      <c r="P1672" s="16" t="s">
        <v>891</v>
      </c>
      <c r="Q1672" s="17">
        <v>13399</v>
      </c>
      <c r="R1672" s="18">
        <v>45</v>
      </c>
      <c r="S1672" s="19">
        <v>8474.8674999999985</v>
      </c>
      <c r="T1672" s="20" t="s">
        <v>75</v>
      </c>
      <c r="U1672" s="21" t="s">
        <v>89</v>
      </c>
      <c r="V1672" s="22">
        <v>50</v>
      </c>
      <c r="W1672" s="22">
        <v>2</v>
      </c>
      <c r="X1672" s="23"/>
    </row>
    <row r="1673" spans="1:24" s="1" customFormat="1" ht="61.05" customHeight="1" x14ac:dyDescent="0.3">
      <c r="A1673" s="24" t="s">
        <v>23</v>
      </c>
      <c r="B1673" s="24" t="s">
        <v>1311</v>
      </c>
      <c r="C1673" s="12" t="s">
        <v>1312</v>
      </c>
      <c r="D1673" s="64"/>
      <c r="E1673" s="43" t="str">
        <f>HYPERLINK("https://www.google.ru/search?q=A7222-0003&amp;newwindow=1&amp;tbm=isch","Еще фото")</f>
        <v>Еще фото</v>
      </c>
      <c r="F1673" s="14"/>
      <c r="G1673" s="24" t="s">
        <v>237</v>
      </c>
      <c r="H1673" s="24" t="s">
        <v>27</v>
      </c>
      <c r="I1673" s="24" t="s">
        <v>237</v>
      </c>
      <c r="J1673" s="15" t="s">
        <v>37</v>
      </c>
      <c r="K1673" s="16" t="s">
        <v>57</v>
      </c>
      <c r="L1673" s="62"/>
      <c r="M1673" s="15"/>
      <c r="N1673" s="15" t="s">
        <v>39</v>
      </c>
      <c r="O1673" s="15"/>
      <c r="P1673" s="16" t="s">
        <v>891</v>
      </c>
      <c r="Q1673" s="17">
        <v>13399</v>
      </c>
      <c r="R1673" s="18">
        <v>45</v>
      </c>
      <c r="S1673" s="19">
        <v>8474.8674999999985</v>
      </c>
      <c r="T1673" s="20" t="s">
        <v>75</v>
      </c>
      <c r="U1673" s="21" t="s">
        <v>167</v>
      </c>
      <c r="V1673" s="22">
        <v>52</v>
      </c>
      <c r="W1673" s="22">
        <v>2</v>
      </c>
      <c r="X1673" s="23"/>
    </row>
    <row r="1674" spans="1:24" s="1" customFormat="1" ht="11" customHeight="1" x14ac:dyDescent="0.3">
      <c r="A1674" s="11" t="s">
        <v>23</v>
      </c>
      <c r="B1674" s="11" t="s">
        <v>1307</v>
      </c>
      <c r="C1674" s="12" t="s">
        <v>1313</v>
      </c>
      <c r="D1674" s="57"/>
      <c r="E1674" s="43" t="str">
        <f t="shared" ref="E1674:E1684" si="108">HYPERLINK("https://www.google.ru/search?q=A7222-0004&amp;newwindow=1&amp;tbm=isch","Еще фото")</f>
        <v>Еще фото</v>
      </c>
      <c r="F1674" s="14"/>
      <c r="G1674" s="11" t="s">
        <v>237</v>
      </c>
      <c r="H1674" s="11" t="s">
        <v>27</v>
      </c>
      <c r="I1674" s="15" t="s">
        <v>237</v>
      </c>
      <c r="J1674" s="15" t="s">
        <v>37</v>
      </c>
      <c r="K1674" s="16" t="s">
        <v>57</v>
      </c>
      <c r="L1674" s="60" t="s">
        <v>1309</v>
      </c>
      <c r="M1674" s="15"/>
      <c r="N1674" s="15" t="s">
        <v>138</v>
      </c>
      <c r="O1674" s="15"/>
      <c r="P1674" s="16" t="s">
        <v>1310</v>
      </c>
      <c r="Q1674" s="17">
        <v>12099</v>
      </c>
      <c r="R1674" s="18">
        <v>45</v>
      </c>
      <c r="S1674" s="19">
        <v>7652.6174999999994</v>
      </c>
      <c r="T1674" s="20" t="s">
        <v>75</v>
      </c>
      <c r="U1674" s="21" t="s">
        <v>51</v>
      </c>
      <c r="V1674" s="22">
        <v>44</v>
      </c>
      <c r="W1674" s="22">
        <v>2</v>
      </c>
      <c r="X1674" s="23"/>
    </row>
    <row r="1675" spans="1:24" s="1" customFormat="1" ht="11" customHeight="1" x14ac:dyDescent="0.3">
      <c r="A1675" s="24" t="s">
        <v>23</v>
      </c>
      <c r="B1675" s="24" t="s">
        <v>1307</v>
      </c>
      <c r="C1675" s="12" t="s">
        <v>1313</v>
      </c>
      <c r="D1675" s="58"/>
      <c r="E1675" s="43" t="str">
        <f t="shared" si="108"/>
        <v>Еще фото</v>
      </c>
      <c r="F1675" s="14"/>
      <c r="G1675" s="24" t="s">
        <v>237</v>
      </c>
      <c r="H1675" s="24" t="s">
        <v>27</v>
      </c>
      <c r="I1675" s="24" t="s">
        <v>237</v>
      </c>
      <c r="J1675" s="15" t="s">
        <v>37</v>
      </c>
      <c r="K1675" s="16" t="s">
        <v>57</v>
      </c>
      <c r="L1675" s="61"/>
      <c r="M1675" s="15"/>
      <c r="N1675" s="15" t="s">
        <v>138</v>
      </c>
      <c r="O1675" s="15"/>
      <c r="P1675" s="16" t="s">
        <v>1310</v>
      </c>
      <c r="Q1675" s="17">
        <v>12099</v>
      </c>
      <c r="R1675" s="18">
        <v>45</v>
      </c>
      <c r="S1675" s="19">
        <v>7652.6174999999994</v>
      </c>
      <c r="T1675" s="20" t="s">
        <v>75</v>
      </c>
      <c r="U1675" s="21" t="s">
        <v>173</v>
      </c>
      <c r="V1675" s="25" t="s">
        <v>63</v>
      </c>
      <c r="W1675" s="22">
        <v>1</v>
      </c>
      <c r="X1675" s="23"/>
    </row>
    <row r="1676" spans="1:24" s="1" customFormat="1" ht="11" customHeight="1" x14ac:dyDescent="0.3">
      <c r="A1676" s="24" t="s">
        <v>23</v>
      </c>
      <c r="B1676" s="24" t="s">
        <v>1307</v>
      </c>
      <c r="C1676" s="12" t="s">
        <v>1313</v>
      </c>
      <c r="D1676" s="58"/>
      <c r="E1676" s="43" t="str">
        <f t="shared" si="108"/>
        <v>Еще фото</v>
      </c>
      <c r="F1676" s="14"/>
      <c r="G1676" s="24" t="s">
        <v>237</v>
      </c>
      <c r="H1676" s="24" t="s">
        <v>27</v>
      </c>
      <c r="I1676" s="24" t="s">
        <v>237</v>
      </c>
      <c r="J1676" s="15" t="s">
        <v>37</v>
      </c>
      <c r="K1676" s="16" t="s">
        <v>57</v>
      </c>
      <c r="L1676" s="61"/>
      <c r="M1676" s="15"/>
      <c r="N1676" s="15" t="s">
        <v>138</v>
      </c>
      <c r="O1676" s="15"/>
      <c r="P1676" s="16" t="s">
        <v>1310</v>
      </c>
      <c r="Q1676" s="17">
        <v>12099</v>
      </c>
      <c r="R1676" s="18">
        <v>45</v>
      </c>
      <c r="S1676" s="19">
        <v>7652.6174999999994</v>
      </c>
      <c r="T1676" s="20" t="s">
        <v>75</v>
      </c>
      <c r="U1676" s="21" t="s">
        <v>52</v>
      </c>
      <c r="V1676" s="22">
        <v>46</v>
      </c>
      <c r="W1676" s="22">
        <v>1</v>
      </c>
      <c r="X1676" s="23"/>
    </row>
    <row r="1677" spans="1:24" s="1" customFormat="1" ht="11" customHeight="1" x14ac:dyDescent="0.3">
      <c r="A1677" s="24" t="s">
        <v>23</v>
      </c>
      <c r="B1677" s="24" t="s">
        <v>1307</v>
      </c>
      <c r="C1677" s="12" t="s">
        <v>1313</v>
      </c>
      <c r="D1677" s="58"/>
      <c r="E1677" s="43" t="str">
        <f t="shared" si="108"/>
        <v>Еще фото</v>
      </c>
      <c r="F1677" s="14"/>
      <c r="G1677" s="24" t="s">
        <v>237</v>
      </c>
      <c r="H1677" s="24" t="s">
        <v>27</v>
      </c>
      <c r="I1677" s="24" t="s">
        <v>237</v>
      </c>
      <c r="J1677" s="15" t="s">
        <v>37</v>
      </c>
      <c r="K1677" s="16" t="s">
        <v>57</v>
      </c>
      <c r="L1677" s="61"/>
      <c r="M1677" s="15"/>
      <c r="N1677" s="15" t="s">
        <v>138</v>
      </c>
      <c r="O1677" s="15"/>
      <c r="P1677" s="16" t="s">
        <v>1310</v>
      </c>
      <c r="Q1677" s="17">
        <v>12099</v>
      </c>
      <c r="R1677" s="18">
        <v>45</v>
      </c>
      <c r="S1677" s="19">
        <v>7652.6174999999994</v>
      </c>
      <c r="T1677" s="20" t="s">
        <v>75</v>
      </c>
      <c r="U1677" s="21" t="s">
        <v>53</v>
      </c>
      <c r="V1677" s="22">
        <v>46</v>
      </c>
      <c r="W1677" s="22">
        <v>2</v>
      </c>
      <c r="X1677" s="23"/>
    </row>
    <row r="1678" spans="1:24" s="1" customFormat="1" ht="11" customHeight="1" x14ac:dyDescent="0.3">
      <c r="A1678" s="24" t="s">
        <v>23</v>
      </c>
      <c r="B1678" s="24" t="s">
        <v>1307</v>
      </c>
      <c r="C1678" s="12" t="s">
        <v>1313</v>
      </c>
      <c r="D1678" s="58"/>
      <c r="E1678" s="43" t="str">
        <f t="shared" si="108"/>
        <v>Еще фото</v>
      </c>
      <c r="F1678" s="14"/>
      <c r="G1678" s="24" t="s">
        <v>237</v>
      </c>
      <c r="H1678" s="24" t="s">
        <v>27</v>
      </c>
      <c r="I1678" s="24" t="s">
        <v>237</v>
      </c>
      <c r="J1678" s="15" t="s">
        <v>37</v>
      </c>
      <c r="K1678" s="16" t="s">
        <v>57</v>
      </c>
      <c r="L1678" s="61"/>
      <c r="M1678" s="15"/>
      <c r="N1678" s="15" t="s">
        <v>138</v>
      </c>
      <c r="O1678" s="15"/>
      <c r="P1678" s="16" t="s">
        <v>1310</v>
      </c>
      <c r="Q1678" s="17">
        <v>12099</v>
      </c>
      <c r="R1678" s="18">
        <v>45</v>
      </c>
      <c r="S1678" s="19">
        <v>7652.6174999999994</v>
      </c>
      <c r="T1678" s="20" t="s">
        <v>75</v>
      </c>
      <c r="U1678" s="21" t="s">
        <v>143</v>
      </c>
      <c r="V1678" s="22">
        <v>46</v>
      </c>
      <c r="W1678" s="22">
        <v>1</v>
      </c>
      <c r="X1678" s="23"/>
    </row>
    <row r="1679" spans="1:24" s="1" customFormat="1" ht="11" customHeight="1" x14ac:dyDescent="0.3">
      <c r="A1679" s="24" t="s">
        <v>23</v>
      </c>
      <c r="B1679" s="24" t="s">
        <v>1307</v>
      </c>
      <c r="C1679" s="12" t="s">
        <v>1313</v>
      </c>
      <c r="D1679" s="58"/>
      <c r="E1679" s="43" t="str">
        <f t="shared" si="108"/>
        <v>Еще фото</v>
      </c>
      <c r="F1679" s="14"/>
      <c r="G1679" s="24" t="s">
        <v>237</v>
      </c>
      <c r="H1679" s="24" t="s">
        <v>27</v>
      </c>
      <c r="I1679" s="24" t="s">
        <v>237</v>
      </c>
      <c r="J1679" s="15" t="s">
        <v>37</v>
      </c>
      <c r="K1679" s="16" t="s">
        <v>57</v>
      </c>
      <c r="L1679" s="61"/>
      <c r="M1679" s="15"/>
      <c r="N1679" s="15" t="s">
        <v>138</v>
      </c>
      <c r="O1679" s="15"/>
      <c r="P1679" s="16" t="s">
        <v>1310</v>
      </c>
      <c r="Q1679" s="17">
        <v>12099</v>
      </c>
      <c r="R1679" s="18">
        <v>45</v>
      </c>
      <c r="S1679" s="19">
        <v>7652.6174999999994</v>
      </c>
      <c r="T1679" s="20" t="s">
        <v>75</v>
      </c>
      <c r="U1679" s="21" t="s">
        <v>109</v>
      </c>
      <c r="V1679" s="25" t="s">
        <v>65</v>
      </c>
      <c r="W1679" s="22">
        <v>1</v>
      </c>
      <c r="X1679" s="23"/>
    </row>
    <row r="1680" spans="1:24" s="1" customFormat="1" ht="11" customHeight="1" x14ac:dyDescent="0.3">
      <c r="A1680" s="24" t="s">
        <v>23</v>
      </c>
      <c r="B1680" s="24" t="s">
        <v>1307</v>
      </c>
      <c r="C1680" s="12" t="s">
        <v>1313</v>
      </c>
      <c r="D1680" s="58"/>
      <c r="E1680" s="43" t="str">
        <f t="shared" si="108"/>
        <v>Еще фото</v>
      </c>
      <c r="F1680" s="14"/>
      <c r="G1680" s="24" t="s">
        <v>237</v>
      </c>
      <c r="H1680" s="24" t="s">
        <v>27</v>
      </c>
      <c r="I1680" s="24" t="s">
        <v>237</v>
      </c>
      <c r="J1680" s="15" t="s">
        <v>37</v>
      </c>
      <c r="K1680" s="16" t="s">
        <v>57</v>
      </c>
      <c r="L1680" s="61"/>
      <c r="M1680" s="15"/>
      <c r="N1680" s="15" t="s">
        <v>138</v>
      </c>
      <c r="O1680" s="15"/>
      <c r="P1680" s="16" t="s">
        <v>1310</v>
      </c>
      <c r="Q1680" s="17">
        <v>12099</v>
      </c>
      <c r="R1680" s="18">
        <v>45</v>
      </c>
      <c r="S1680" s="19">
        <v>7652.6174999999994</v>
      </c>
      <c r="T1680" s="20" t="s">
        <v>75</v>
      </c>
      <c r="U1680" s="21" t="s">
        <v>95</v>
      </c>
      <c r="V1680" s="22">
        <v>48</v>
      </c>
      <c r="W1680" s="22">
        <v>1</v>
      </c>
      <c r="X1680" s="23"/>
    </row>
    <row r="1681" spans="1:24" s="1" customFormat="1" ht="11" customHeight="1" x14ac:dyDescent="0.3">
      <c r="A1681" s="24" t="s">
        <v>23</v>
      </c>
      <c r="B1681" s="24" t="s">
        <v>1307</v>
      </c>
      <c r="C1681" s="12" t="s">
        <v>1313</v>
      </c>
      <c r="D1681" s="58"/>
      <c r="E1681" s="43" t="str">
        <f t="shared" si="108"/>
        <v>Еще фото</v>
      </c>
      <c r="F1681" s="14"/>
      <c r="G1681" s="24" t="s">
        <v>237</v>
      </c>
      <c r="H1681" s="24" t="s">
        <v>27</v>
      </c>
      <c r="I1681" s="24" t="s">
        <v>237</v>
      </c>
      <c r="J1681" s="15" t="s">
        <v>37</v>
      </c>
      <c r="K1681" s="16" t="s">
        <v>57</v>
      </c>
      <c r="L1681" s="61"/>
      <c r="M1681" s="15"/>
      <c r="N1681" s="15" t="s">
        <v>138</v>
      </c>
      <c r="O1681" s="15"/>
      <c r="P1681" s="16" t="s">
        <v>1310</v>
      </c>
      <c r="Q1681" s="17">
        <v>12099</v>
      </c>
      <c r="R1681" s="18">
        <v>45</v>
      </c>
      <c r="S1681" s="19">
        <v>7652.6174999999994</v>
      </c>
      <c r="T1681" s="20" t="s">
        <v>75</v>
      </c>
      <c r="U1681" s="21" t="s">
        <v>165</v>
      </c>
      <c r="V1681" s="22">
        <v>48</v>
      </c>
      <c r="W1681" s="22">
        <v>2</v>
      </c>
      <c r="X1681" s="23"/>
    </row>
    <row r="1682" spans="1:24" s="1" customFormat="1" ht="11" customHeight="1" x14ac:dyDescent="0.3">
      <c r="A1682" s="24" t="s">
        <v>23</v>
      </c>
      <c r="B1682" s="24" t="s">
        <v>1307</v>
      </c>
      <c r="C1682" s="12" t="s">
        <v>1313</v>
      </c>
      <c r="D1682" s="58"/>
      <c r="E1682" s="43" t="str">
        <f t="shared" si="108"/>
        <v>Еще фото</v>
      </c>
      <c r="F1682" s="14"/>
      <c r="G1682" s="24" t="s">
        <v>237</v>
      </c>
      <c r="H1682" s="24" t="s">
        <v>27</v>
      </c>
      <c r="I1682" s="24" t="s">
        <v>237</v>
      </c>
      <c r="J1682" s="15" t="s">
        <v>37</v>
      </c>
      <c r="K1682" s="16" t="s">
        <v>57</v>
      </c>
      <c r="L1682" s="61"/>
      <c r="M1682" s="15"/>
      <c r="N1682" s="15" t="s">
        <v>138</v>
      </c>
      <c r="O1682" s="15"/>
      <c r="P1682" s="16" t="s">
        <v>1310</v>
      </c>
      <c r="Q1682" s="17">
        <v>12099</v>
      </c>
      <c r="R1682" s="18">
        <v>45</v>
      </c>
      <c r="S1682" s="19">
        <v>7652.6174999999994</v>
      </c>
      <c r="T1682" s="20" t="s">
        <v>75</v>
      </c>
      <c r="U1682" s="21" t="s">
        <v>104</v>
      </c>
      <c r="V1682" s="22">
        <v>48</v>
      </c>
      <c r="W1682" s="22">
        <v>1</v>
      </c>
      <c r="X1682" s="23"/>
    </row>
    <row r="1683" spans="1:24" s="1" customFormat="1" ht="11" customHeight="1" x14ac:dyDescent="0.3">
      <c r="A1683" s="15" t="s">
        <v>23</v>
      </c>
      <c r="B1683" s="15" t="s">
        <v>1307</v>
      </c>
      <c r="C1683" s="12" t="s">
        <v>1313</v>
      </c>
      <c r="D1683" s="58"/>
      <c r="E1683" s="43" t="str">
        <f t="shared" si="108"/>
        <v>Еще фото</v>
      </c>
      <c r="F1683" s="26"/>
      <c r="G1683" s="15" t="s">
        <v>237</v>
      </c>
      <c r="H1683" s="15" t="s">
        <v>27</v>
      </c>
      <c r="I1683" s="15" t="s">
        <v>237</v>
      </c>
      <c r="J1683" s="15" t="s">
        <v>37</v>
      </c>
      <c r="K1683" s="15" t="s">
        <v>57</v>
      </c>
      <c r="L1683" s="61"/>
      <c r="M1683" s="15"/>
      <c r="N1683" s="15" t="s">
        <v>138</v>
      </c>
      <c r="O1683" s="15"/>
      <c r="P1683" s="15" t="s">
        <v>1310</v>
      </c>
      <c r="Q1683" s="27">
        <v>12099</v>
      </c>
      <c r="R1683" s="28">
        <v>45</v>
      </c>
      <c r="S1683" s="29">
        <v>7652.6174999999994</v>
      </c>
      <c r="T1683" s="20" t="s">
        <v>75</v>
      </c>
      <c r="U1683" s="21" t="s">
        <v>89</v>
      </c>
      <c r="V1683" s="22">
        <v>50</v>
      </c>
      <c r="W1683" s="22">
        <v>1</v>
      </c>
      <c r="X1683" s="23"/>
    </row>
    <row r="1684" spans="1:24" s="1" customFormat="1" ht="11" customHeight="1" x14ac:dyDescent="0.3">
      <c r="A1684" s="15" t="s">
        <v>23</v>
      </c>
      <c r="B1684" s="15" t="s">
        <v>1307</v>
      </c>
      <c r="C1684" s="12" t="s">
        <v>1313</v>
      </c>
      <c r="D1684" s="59"/>
      <c r="E1684" s="43" t="str">
        <f t="shared" si="108"/>
        <v>Еще фото</v>
      </c>
      <c r="F1684" s="26"/>
      <c r="G1684" s="15" t="s">
        <v>237</v>
      </c>
      <c r="H1684" s="15" t="s">
        <v>27</v>
      </c>
      <c r="I1684" s="15" t="s">
        <v>237</v>
      </c>
      <c r="J1684" s="15" t="s">
        <v>37</v>
      </c>
      <c r="K1684" s="15" t="s">
        <v>57</v>
      </c>
      <c r="L1684" s="62"/>
      <c r="M1684" s="15"/>
      <c r="N1684" s="15" t="s">
        <v>138</v>
      </c>
      <c r="O1684" s="15"/>
      <c r="P1684" s="15" t="s">
        <v>1310</v>
      </c>
      <c r="Q1684" s="27">
        <v>12099</v>
      </c>
      <c r="R1684" s="28">
        <v>45</v>
      </c>
      <c r="S1684" s="29">
        <v>7652.6174999999994</v>
      </c>
      <c r="T1684" s="20" t="s">
        <v>75</v>
      </c>
      <c r="U1684" s="21" t="s">
        <v>100</v>
      </c>
      <c r="V1684" s="22">
        <v>50</v>
      </c>
      <c r="W1684" s="22">
        <v>2</v>
      </c>
      <c r="X1684" s="23"/>
    </row>
    <row r="1685" spans="1:24" s="1" customFormat="1" ht="11" customHeight="1" x14ac:dyDescent="0.3">
      <c r="A1685" s="11" t="s">
        <v>23</v>
      </c>
      <c r="B1685" s="11" t="s">
        <v>1314</v>
      </c>
      <c r="C1685" s="12" t="s">
        <v>1315</v>
      </c>
      <c r="D1685" s="57"/>
      <c r="E1685" s="43" t="str">
        <f t="shared" ref="E1685:E1696" si="109">HYPERLINK("https://www.google.ru/search?q=A7498-0027&amp;newwindow=1&amp;tbm=isch","Еще фото")</f>
        <v>Еще фото</v>
      </c>
      <c r="F1685" s="14"/>
      <c r="G1685" s="11" t="s">
        <v>237</v>
      </c>
      <c r="H1685" s="11" t="s">
        <v>27</v>
      </c>
      <c r="I1685" s="15" t="s">
        <v>237</v>
      </c>
      <c r="J1685" s="15" t="s">
        <v>37</v>
      </c>
      <c r="K1685" s="16" t="s">
        <v>29</v>
      </c>
      <c r="L1685" s="60"/>
      <c r="M1685" s="15"/>
      <c r="N1685" s="15" t="s">
        <v>39</v>
      </c>
      <c r="O1685" s="15"/>
      <c r="P1685" s="16" t="s">
        <v>32</v>
      </c>
      <c r="Q1685" s="17">
        <v>11599</v>
      </c>
      <c r="R1685" s="18">
        <v>45</v>
      </c>
      <c r="S1685" s="19">
        <v>7336.3674999999994</v>
      </c>
      <c r="T1685" s="20" t="s">
        <v>75</v>
      </c>
      <c r="U1685" s="21" t="s">
        <v>46</v>
      </c>
      <c r="V1685" s="22">
        <v>42</v>
      </c>
      <c r="W1685" s="22">
        <v>12</v>
      </c>
      <c r="X1685" s="23"/>
    </row>
    <row r="1686" spans="1:24" s="1" customFormat="1" ht="11" customHeight="1" x14ac:dyDescent="0.3">
      <c r="A1686" s="24" t="s">
        <v>23</v>
      </c>
      <c r="B1686" s="24" t="s">
        <v>1314</v>
      </c>
      <c r="C1686" s="12" t="s">
        <v>1315</v>
      </c>
      <c r="D1686" s="58"/>
      <c r="E1686" s="43" t="str">
        <f t="shared" si="109"/>
        <v>Еще фото</v>
      </c>
      <c r="F1686" s="14"/>
      <c r="G1686" s="24" t="s">
        <v>237</v>
      </c>
      <c r="H1686" s="24" t="s">
        <v>27</v>
      </c>
      <c r="I1686" s="24" t="s">
        <v>237</v>
      </c>
      <c r="J1686" s="15" t="s">
        <v>37</v>
      </c>
      <c r="K1686" s="16" t="s">
        <v>29</v>
      </c>
      <c r="L1686" s="61"/>
      <c r="M1686" s="15"/>
      <c r="N1686" s="15" t="s">
        <v>39</v>
      </c>
      <c r="O1686" s="15"/>
      <c r="P1686" s="16" t="s">
        <v>32</v>
      </c>
      <c r="Q1686" s="17">
        <v>11599</v>
      </c>
      <c r="R1686" s="18">
        <v>45</v>
      </c>
      <c r="S1686" s="19">
        <v>7336.3674999999994</v>
      </c>
      <c r="T1686" s="20" t="s">
        <v>75</v>
      </c>
      <c r="U1686" s="21" t="s">
        <v>158</v>
      </c>
      <c r="V1686" s="22">
        <v>42</v>
      </c>
      <c r="W1686" s="22">
        <v>8</v>
      </c>
      <c r="X1686" s="23"/>
    </row>
    <row r="1687" spans="1:24" s="1" customFormat="1" ht="11" customHeight="1" x14ac:dyDescent="0.3">
      <c r="A1687" s="24" t="s">
        <v>23</v>
      </c>
      <c r="B1687" s="24" t="s">
        <v>1314</v>
      </c>
      <c r="C1687" s="12" t="s">
        <v>1315</v>
      </c>
      <c r="D1687" s="58"/>
      <c r="E1687" s="43" t="str">
        <f t="shared" si="109"/>
        <v>Еще фото</v>
      </c>
      <c r="F1687" s="14"/>
      <c r="G1687" s="24" t="s">
        <v>237</v>
      </c>
      <c r="H1687" s="24" t="s">
        <v>27</v>
      </c>
      <c r="I1687" s="24" t="s">
        <v>237</v>
      </c>
      <c r="J1687" s="15" t="s">
        <v>37</v>
      </c>
      <c r="K1687" s="16" t="s">
        <v>29</v>
      </c>
      <c r="L1687" s="61"/>
      <c r="M1687" s="15"/>
      <c r="N1687" s="15" t="s">
        <v>39</v>
      </c>
      <c r="O1687" s="15"/>
      <c r="P1687" s="16" t="s">
        <v>32</v>
      </c>
      <c r="Q1687" s="17">
        <v>11599</v>
      </c>
      <c r="R1687" s="18">
        <v>45</v>
      </c>
      <c r="S1687" s="19">
        <v>7336.3674999999994</v>
      </c>
      <c r="T1687" s="20" t="s">
        <v>75</v>
      </c>
      <c r="U1687" s="21" t="s">
        <v>47</v>
      </c>
      <c r="V1687" s="25" t="s">
        <v>48</v>
      </c>
      <c r="W1687" s="22">
        <v>14</v>
      </c>
      <c r="X1687" s="23"/>
    </row>
    <row r="1688" spans="1:24" s="1" customFormat="1" ht="11" customHeight="1" x14ac:dyDescent="0.3">
      <c r="A1688" s="24" t="s">
        <v>23</v>
      </c>
      <c r="B1688" s="24" t="s">
        <v>1314</v>
      </c>
      <c r="C1688" s="12" t="s">
        <v>1315</v>
      </c>
      <c r="D1688" s="58"/>
      <c r="E1688" s="43" t="str">
        <f t="shared" si="109"/>
        <v>Еще фото</v>
      </c>
      <c r="F1688" s="14"/>
      <c r="G1688" s="24" t="s">
        <v>237</v>
      </c>
      <c r="H1688" s="24" t="s">
        <v>27</v>
      </c>
      <c r="I1688" s="24" t="s">
        <v>237</v>
      </c>
      <c r="J1688" s="15" t="s">
        <v>37</v>
      </c>
      <c r="K1688" s="16" t="s">
        <v>29</v>
      </c>
      <c r="L1688" s="61"/>
      <c r="M1688" s="15"/>
      <c r="N1688" s="15" t="s">
        <v>39</v>
      </c>
      <c r="O1688" s="15"/>
      <c r="P1688" s="16" t="s">
        <v>32</v>
      </c>
      <c r="Q1688" s="17">
        <v>11599</v>
      </c>
      <c r="R1688" s="18">
        <v>45</v>
      </c>
      <c r="S1688" s="19">
        <v>7336.3674999999994</v>
      </c>
      <c r="T1688" s="20" t="s">
        <v>75</v>
      </c>
      <c r="U1688" s="21" t="s">
        <v>49</v>
      </c>
      <c r="V1688" s="25" t="s">
        <v>48</v>
      </c>
      <c r="W1688" s="22">
        <v>8</v>
      </c>
      <c r="X1688" s="23"/>
    </row>
    <row r="1689" spans="1:24" s="1" customFormat="1" ht="11" customHeight="1" x14ac:dyDescent="0.3">
      <c r="A1689" s="24" t="s">
        <v>23</v>
      </c>
      <c r="B1689" s="24" t="s">
        <v>1314</v>
      </c>
      <c r="C1689" s="12" t="s">
        <v>1315</v>
      </c>
      <c r="D1689" s="58"/>
      <c r="E1689" s="43" t="str">
        <f t="shared" si="109"/>
        <v>Еще фото</v>
      </c>
      <c r="F1689" s="14"/>
      <c r="G1689" s="24" t="s">
        <v>237</v>
      </c>
      <c r="H1689" s="24" t="s">
        <v>27</v>
      </c>
      <c r="I1689" s="24" t="s">
        <v>237</v>
      </c>
      <c r="J1689" s="15" t="s">
        <v>37</v>
      </c>
      <c r="K1689" s="16" t="s">
        <v>29</v>
      </c>
      <c r="L1689" s="61"/>
      <c r="M1689" s="15"/>
      <c r="N1689" s="15" t="s">
        <v>39</v>
      </c>
      <c r="O1689" s="15"/>
      <c r="P1689" s="16" t="s">
        <v>32</v>
      </c>
      <c r="Q1689" s="17">
        <v>11599</v>
      </c>
      <c r="R1689" s="18">
        <v>45</v>
      </c>
      <c r="S1689" s="19">
        <v>7336.3674999999994</v>
      </c>
      <c r="T1689" s="20" t="s">
        <v>75</v>
      </c>
      <c r="U1689" s="21" t="s">
        <v>50</v>
      </c>
      <c r="V1689" s="22">
        <v>44</v>
      </c>
      <c r="W1689" s="22">
        <v>20</v>
      </c>
      <c r="X1689" s="23"/>
    </row>
    <row r="1690" spans="1:24" s="1" customFormat="1" ht="11" customHeight="1" x14ac:dyDescent="0.3">
      <c r="A1690" s="24" t="s">
        <v>23</v>
      </c>
      <c r="B1690" s="24" t="s">
        <v>1314</v>
      </c>
      <c r="C1690" s="12" t="s">
        <v>1315</v>
      </c>
      <c r="D1690" s="58"/>
      <c r="E1690" s="43" t="str">
        <f t="shared" si="109"/>
        <v>Еще фото</v>
      </c>
      <c r="F1690" s="14"/>
      <c r="G1690" s="24" t="s">
        <v>237</v>
      </c>
      <c r="H1690" s="24" t="s">
        <v>27</v>
      </c>
      <c r="I1690" s="24" t="s">
        <v>237</v>
      </c>
      <c r="J1690" s="15" t="s">
        <v>37</v>
      </c>
      <c r="K1690" s="16" t="s">
        <v>29</v>
      </c>
      <c r="L1690" s="61"/>
      <c r="M1690" s="15"/>
      <c r="N1690" s="15" t="s">
        <v>39</v>
      </c>
      <c r="O1690" s="15"/>
      <c r="P1690" s="16" t="s">
        <v>32</v>
      </c>
      <c r="Q1690" s="17">
        <v>11599</v>
      </c>
      <c r="R1690" s="18">
        <v>45</v>
      </c>
      <c r="S1690" s="19">
        <v>7336.3674999999994</v>
      </c>
      <c r="T1690" s="20" t="s">
        <v>75</v>
      </c>
      <c r="U1690" s="21" t="s">
        <v>51</v>
      </c>
      <c r="V1690" s="22">
        <v>44</v>
      </c>
      <c r="W1690" s="22">
        <v>12</v>
      </c>
      <c r="X1690" s="23"/>
    </row>
    <row r="1691" spans="1:24" s="1" customFormat="1" ht="11" customHeight="1" x14ac:dyDescent="0.3">
      <c r="A1691" s="24" t="s">
        <v>23</v>
      </c>
      <c r="B1691" s="24" t="s">
        <v>1314</v>
      </c>
      <c r="C1691" s="12" t="s">
        <v>1315</v>
      </c>
      <c r="D1691" s="58"/>
      <c r="E1691" s="43" t="str">
        <f t="shared" si="109"/>
        <v>Еще фото</v>
      </c>
      <c r="F1691" s="14"/>
      <c r="G1691" s="24" t="s">
        <v>237</v>
      </c>
      <c r="H1691" s="24" t="s">
        <v>27</v>
      </c>
      <c r="I1691" s="24" t="s">
        <v>237</v>
      </c>
      <c r="J1691" s="15" t="s">
        <v>37</v>
      </c>
      <c r="K1691" s="16" t="s">
        <v>29</v>
      </c>
      <c r="L1691" s="61"/>
      <c r="M1691" s="15"/>
      <c r="N1691" s="15" t="s">
        <v>39</v>
      </c>
      <c r="O1691" s="15"/>
      <c r="P1691" s="16" t="s">
        <v>32</v>
      </c>
      <c r="Q1691" s="17">
        <v>11599</v>
      </c>
      <c r="R1691" s="18">
        <v>45</v>
      </c>
      <c r="S1691" s="19">
        <v>7336.3674999999994</v>
      </c>
      <c r="T1691" s="20" t="s">
        <v>75</v>
      </c>
      <c r="U1691" s="21" t="s">
        <v>230</v>
      </c>
      <c r="V1691" s="22">
        <v>46</v>
      </c>
      <c r="W1691" s="22">
        <v>17</v>
      </c>
      <c r="X1691" s="23"/>
    </row>
    <row r="1692" spans="1:24" s="1" customFormat="1" ht="11" customHeight="1" x14ac:dyDescent="0.3">
      <c r="A1692" s="24" t="s">
        <v>23</v>
      </c>
      <c r="B1692" s="24" t="s">
        <v>1314</v>
      </c>
      <c r="C1692" s="12" t="s">
        <v>1315</v>
      </c>
      <c r="D1692" s="58"/>
      <c r="E1692" s="43" t="str">
        <f t="shared" si="109"/>
        <v>Еще фото</v>
      </c>
      <c r="F1692" s="14"/>
      <c r="G1692" s="24" t="s">
        <v>237</v>
      </c>
      <c r="H1692" s="24" t="s">
        <v>27</v>
      </c>
      <c r="I1692" s="24" t="s">
        <v>237</v>
      </c>
      <c r="J1692" s="15" t="s">
        <v>37</v>
      </c>
      <c r="K1692" s="16" t="s">
        <v>29</v>
      </c>
      <c r="L1692" s="61"/>
      <c r="M1692" s="15"/>
      <c r="N1692" s="15" t="s">
        <v>39</v>
      </c>
      <c r="O1692" s="15"/>
      <c r="P1692" s="16" t="s">
        <v>32</v>
      </c>
      <c r="Q1692" s="17">
        <v>11599</v>
      </c>
      <c r="R1692" s="18">
        <v>45</v>
      </c>
      <c r="S1692" s="19">
        <v>7336.3674999999994</v>
      </c>
      <c r="T1692" s="20" t="s">
        <v>75</v>
      </c>
      <c r="U1692" s="21" t="s">
        <v>173</v>
      </c>
      <c r="V1692" s="22">
        <v>46</v>
      </c>
      <c r="W1692" s="22">
        <v>8</v>
      </c>
      <c r="X1692" s="23"/>
    </row>
    <row r="1693" spans="1:24" s="1" customFormat="1" ht="11" customHeight="1" x14ac:dyDescent="0.3">
      <c r="A1693" s="24" t="s">
        <v>23</v>
      </c>
      <c r="B1693" s="24" t="s">
        <v>1314</v>
      </c>
      <c r="C1693" s="12" t="s">
        <v>1315</v>
      </c>
      <c r="D1693" s="58"/>
      <c r="E1693" s="43" t="str">
        <f t="shared" si="109"/>
        <v>Еще фото</v>
      </c>
      <c r="F1693" s="14"/>
      <c r="G1693" s="24" t="s">
        <v>237</v>
      </c>
      <c r="H1693" s="24" t="s">
        <v>27</v>
      </c>
      <c r="I1693" s="24" t="s">
        <v>237</v>
      </c>
      <c r="J1693" s="15" t="s">
        <v>37</v>
      </c>
      <c r="K1693" s="16" t="s">
        <v>29</v>
      </c>
      <c r="L1693" s="61"/>
      <c r="M1693" s="15"/>
      <c r="N1693" s="15" t="s">
        <v>39</v>
      </c>
      <c r="O1693" s="15"/>
      <c r="P1693" s="16" t="s">
        <v>32</v>
      </c>
      <c r="Q1693" s="17">
        <v>11599</v>
      </c>
      <c r="R1693" s="18">
        <v>45</v>
      </c>
      <c r="S1693" s="19">
        <v>7336.3674999999994</v>
      </c>
      <c r="T1693" s="20" t="s">
        <v>75</v>
      </c>
      <c r="U1693" s="21" t="s">
        <v>52</v>
      </c>
      <c r="V1693" s="22">
        <v>48</v>
      </c>
      <c r="W1693" s="22">
        <v>18</v>
      </c>
      <c r="X1693" s="23"/>
    </row>
    <row r="1694" spans="1:24" s="1" customFormat="1" ht="11" customHeight="1" x14ac:dyDescent="0.3">
      <c r="A1694" s="15" t="s">
        <v>23</v>
      </c>
      <c r="B1694" s="15" t="s">
        <v>1314</v>
      </c>
      <c r="C1694" s="12" t="s">
        <v>1315</v>
      </c>
      <c r="D1694" s="58"/>
      <c r="E1694" s="43" t="str">
        <f t="shared" si="109"/>
        <v>Еще фото</v>
      </c>
      <c r="F1694" s="26"/>
      <c r="G1694" s="15" t="s">
        <v>237</v>
      </c>
      <c r="H1694" s="15" t="s">
        <v>27</v>
      </c>
      <c r="I1694" s="15" t="s">
        <v>237</v>
      </c>
      <c r="J1694" s="15" t="s">
        <v>37</v>
      </c>
      <c r="K1694" s="15" t="s">
        <v>29</v>
      </c>
      <c r="L1694" s="61"/>
      <c r="M1694" s="15"/>
      <c r="N1694" s="15" t="s">
        <v>39</v>
      </c>
      <c r="O1694" s="15"/>
      <c r="P1694" s="15" t="s">
        <v>32</v>
      </c>
      <c r="Q1694" s="27">
        <v>11599</v>
      </c>
      <c r="R1694" s="28">
        <v>45</v>
      </c>
      <c r="S1694" s="29">
        <v>7336.3674999999994</v>
      </c>
      <c r="T1694" s="20" t="s">
        <v>75</v>
      </c>
      <c r="U1694" s="21" t="s">
        <v>53</v>
      </c>
      <c r="V1694" s="22">
        <v>48</v>
      </c>
      <c r="W1694" s="22">
        <v>8</v>
      </c>
      <c r="X1694" s="23"/>
    </row>
    <row r="1695" spans="1:24" s="1" customFormat="1" ht="11" customHeight="1" x14ac:dyDescent="0.3">
      <c r="A1695" s="15" t="s">
        <v>23</v>
      </c>
      <c r="B1695" s="15" t="s">
        <v>1314</v>
      </c>
      <c r="C1695" s="12" t="s">
        <v>1315</v>
      </c>
      <c r="D1695" s="58"/>
      <c r="E1695" s="43" t="str">
        <f t="shared" si="109"/>
        <v>Еще фото</v>
      </c>
      <c r="F1695" s="26"/>
      <c r="G1695" s="15" t="s">
        <v>237</v>
      </c>
      <c r="H1695" s="15" t="s">
        <v>27</v>
      </c>
      <c r="I1695" s="15" t="s">
        <v>237</v>
      </c>
      <c r="J1695" s="15" t="s">
        <v>37</v>
      </c>
      <c r="K1695" s="15" t="s">
        <v>29</v>
      </c>
      <c r="L1695" s="61"/>
      <c r="M1695" s="15"/>
      <c r="N1695" s="15" t="s">
        <v>39</v>
      </c>
      <c r="O1695" s="15"/>
      <c r="P1695" s="15" t="s">
        <v>32</v>
      </c>
      <c r="Q1695" s="27">
        <v>11599</v>
      </c>
      <c r="R1695" s="28">
        <v>45</v>
      </c>
      <c r="S1695" s="29">
        <v>7336.3674999999994</v>
      </c>
      <c r="T1695" s="20" t="s">
        <v>75</v>
      </c>
      <c r="U1695" s="21" t="s">
        <v>188</v>
      </c>
      <c r="V1695" s="25" t="s">
        <v>96</v>
      </c>
      <c r="W1695" s="22">
        <v>12</v>
      </c>
      <c r="X1695" s="23"/>
    </row>
    <row r="1696" spans="1:24" s="1" customFormat="1" ht="11" customHeight="1" x14ac:dyDescent="0.3">
      <c r="A1696" s="15" t="s">
        <v>23</v>
      </c>
      <c r="B1696" s="15" t="s">
        <v>1314</v>
      </c>
      <c r="C1696" s="12" t="s">
        <v>1315</v>
      </c>
      <c r="D1696" s="59"/>
      <c r="E1696" s="43" t="str">
        <f t="shared" si="109"/>
        <v>Еще фото</v>
      </c>
      <c r="F1696" s="26"/>
      <c r="G1696" s="15" t="s">
        <v>237</v>
      </c>
      <c r="H1696" s="15" t="s">
        <v>27</v>
      </c>
      <c r="I1696" s="15" t="s">
        <v>237</v>
      </c>
      <c r="J1696" s="15" t="s">
        <v>37</v>
      </c>
      <c r="K1696" s="15" t="s">
        <v>29</v>
      </c>
      <c r="L1696" s="62"/>
      <c r="M1696" s="15"/>
      <c r="N1696" s="15" t="s">
        <v>39</v>
      </c>
      <c r="O1696" s="15"/>
      <c r="P1696" s="15" t="s">
        <v>32</v>
      </c>
      <c r="Q1696" s="27">
        <v>11599</v>
      </c>
      <c r="R1696" s="28">
        <v>45</v>
      </c>
      <c r="S1696" s="29">
        <v>7336.3674999999994</v>
      </c>
      <c r="T1696" s="20" t="s">
        <v>75</v>
      </c>
      <c r="U1696" s="21" t="s">
        <v>109</v>
      </c>
      <c r="V1696" s="25" t="s">
        <v>96</v>
      </c>
      <c r="W1696" s="22">
        <v>8</v>
      </c>
      <c r="X1696" s="23"/>
    </row>
    <row r="1697" spans="1:24" s="1" customFormat="1" ht="14" customHeight="1" x14ac:dyDescent="0.3">
      <c r="A1697" s="11" t="s">
        <v>23</v>
      </c>
      <c r="B1697" s="11" t="s">
        <v>1316</v>
      </c>
      <c r="C1697" s="12" t="s">
        <v>1317</v>
      </c>
      <c r="D1697" s="57"/>
      <c r="E1697" s="43" t="str">
        <f t="shared" ref="E1697:E1703" si="110">HYPERLINK("https://www.google.ru/search?q=A7503-0021&amp;newwindow=1&amp;tbm=isch","Еще фото")</f>
        <v>Еще фото</v>
      </c>
      <c r="F1697" s="34" t="s">
        <v>469</v>
      </c>
      <c r="G1697" s="11" t="s">
        <v>237</v>
      </c>
      <c r="H1697" s="11" t="s">
        <v>27</v>
      </c>
      <c r="I1697" s="15" t="s">
        <v>237</v>
      </c>
      <c r="J1697" s="15" t="s">
        <v>37</v>
      </c>
      <c r="K1697" s="16" t="s">
        <v>29</v>
      </c>
      <c r="L1697" s="60" t="s">
        <v>743</v>
      </c>
      <c r="M1697" s="15"/>
      <c r="N1697" s="15" t="s">
        <v>130</v>
      </c>
      <c r="O1697" s="15"/>
      <c r="P1697" s="16" t="s">
        <v>254</v>
      </c>
      <c r="Q1697" s="17">
        <v>23299</v>
      </c>
      <c r="R1697" s="18">
        <v>45</v>
      </c>
      <c r="S1697" s="19">
        <v>14736.6175</v>
      </c>
      <c r="T1697" s="20" t="s">
        <v>75</v>
      </c>
      <c r="U1697" s="21" t="s">
        <v>50</v>
      </c>
      <c r="V1697" s="22">
        <v>44</v>
      </c>
      <c r="W1697" s="22">
        <v>2</v>
      </c>
      <c r="X1697" s="23"/>
    </row>
    <row r="1698" spans="1:24" s="1" customFormat="1" ht="14" customHeight="1" x14ac:dyDescent="0.3">
      <c r="A1698" s="24" t="s">
        <v>23</v>
      </c>
      <c r="B1698" s="24" t="s">
        <v>1316</v>
      </c>
      <c r="C1698" s="12" t="s">
        <v>1317</v>
      </c>
      <c r="D1698" s="58"/>
      <c r="E1698" s="43" t="str">
        <f t="shared" si="110"/>
        <v>Еще фото</v>
      </c>
      <c r="F1698" s="34" t="s">
        <v>469</v>
      </c>
      <c r="G1698" s="24" t="s">
        <v>237</v>
      </c>
      <c r="H1698" s="24" t="s">
        <v>27</v>
      </c>
      <c r="I1698" s="24" t="s">
        <v>237</v>
      </c>
      <c r="J1698" s="15" t="s">
        <v>37</v>
      </c>
      <c r="K1698" s="16" t="s">
        <v>29</v>
      </c>
      <c r="L1698" s="61"/>
      <c r="M1698" s="15"/>
      <c r="N1698" s="15" t="s">
        <v>130</v>
      </c>
      <c r="O1698" s="15"/>
      <c r="P1698" s="16" t="s">
        <v>254</v>
      </c>
      <c r="Q1698" s="17">
        <v>23299</v>
      </c>
      <c r="R1698" s="18">
        <v>45</v>
      </c>
      <c r="S1698" s="19">
        <v>14736.6175</v>
      </c>
      <c r="T1698" s="20" t="s">
        <v>75</v>
      </c>
      <c r="U1698" s="21" t="s">
        <v>230</v>
      </c>
      <c r="V1698" s="22">
        <v>46</v>
      </c>
      <c r="W1698" s="22">
        <v>5</v>
      </c>
      <c r="X1698" s="23"/>
    </row>
    <row r="1699" spans="1:24" s="1" customFormat="1" ht="14" customHeight="1" x14ac:dyDescent="0.3">
      <c r="A1699" s="24" t="s">
        <v>23</v>
      </c>
      <c r="B1699" s="24" t="s">
        <v>1316</v>
      </c>
      <c r="C1699" s="12" t="s">
        <v>1317</v>
      </c>
      <c r="D1699" s="58"/>
      <c r="E1699" s="43" t="str">
        <f t="shared" si="110"/>
        <v>Еще фото</v>
      </c>
      <c r="F1699" s="34" t="s">
        <v>469</v>
      </c>
      <c r="G1699" s="24" t="s">
        <v>237</v>
      </c>
      <c r="H1699" s="24" t="s">
        <v>27</v>
      </c>
      <c r="I1699" s="24" t="s">
        <v>237</v>
      </c>
      <c r="J1699" s="15" t="s">
        <v>37</v>
      </c>
      <c r="K1699" s="16" t="s">
        <v>29</v>
      </c>
      <c r="L1699" s="61"/>
      <c r="M1699" s="15"/>
      <c r="N1699" s="15" t="s">
        <v>130</v>
      </c>
      <c r="O1699" s="15"/>
      <c r="P1699" s="16" t="s">
        <v>254</v>
      </c>
      <c r="Q1699" s="17">
        <v>23299</v>
      </c>
      <c r="R1699" s="18">
        <v>45</v>
      </c>
      <c r="S1699" s="19">
        <v>14736.6175</v>
      </c>
      <c r="T1699" s="20" t="s">
        <v>75</v>
      </c>
      <c r="U1699" s="21" t="s">
        <v>173</v>
      </c>
      <c r="V1699" s="22">
        <v>46</v>
      </c>
      <c r="W1699" s="22">
        <v>1</v>
      </c>
      <c r="X1699" s="23"/>
    </row>
    <row r="1700" spans="1:24" s="1" customFormat="1" ht="14" customHeight="1" x14ac:dyDescent="0.3">
      <c r="A1700" s="24" t="s">
        <v>23</v>
      </c>
      <c r="B1700" s="24" t="s">
        <v>1316</v>
      </c>
      <c r="C1700" s="12" t="s">
        <v>1317</v>
      </c>
      <c r="D1700" s="58"/>
      <c r="E1700" s="43" t="str">
        <f t="shared" si="110"/>
        <v>Еще фото</v>
      </c>
      <c r="F1700" s="34" t="s">
        <v>469</v>
      </c>
      <c r="G1700" s="24" t="s">
        <v>237</v>
      </c>
      <c r="H1700" s="24" t="s">
        <v>27</v>
      </c>
      <c r="I1700" s="24" t="s">
        <v>237</v>
      </c>
      <c r="J1700" s="15" t="s">
        <v>37</v>
      </c>
      <c r="K1700" s="16" t="s">
        <v>29</v>
      </c>
      <c r="L1700" s="61"/>
      <c r="M1700" s="15"/>
      <c r="N1700" s="15" t="s">
        <v>130</v>
      </c>
      <c r="O1700" s="15"/>
      <c r="P1700" s="16" t="s">
        <v>254</v>
      </c>
      <c r="Q1700" s="17">
        <v>23299</v>
      </c>
      <c r="R1700" s="18">
        <v>45</v>
      </c>
      <c r="S1700" s="19">
        <v>14736.6175</v>
      </c>
      <c r="T1700" s="20" t="s">
        <v>75</v>
      </c>
      <c r="U1700" s="21" t="s">
        <v>52</v>
      </c>
      <c r="V1700" s="22">
        <v>48</v>
      </c>
      <c r="W1700" s="22">
        <v>3</v>
      </c>
      <c r="X1700" s="23"/>
    </row>
    <row r="1701" spans="1:24" s="1" customFormat="1" ht="14" customHeight="1" x14ac:dyDescent="0.3">
      <c r="A1701" s="24" t="s">
        <v>23</v>
      </c>
      <c r="B1701" s="24" t="s">
        <v>1316</v>
      </c>
      <c r="C1701" s="12" t="s">
        <v>1317</v>
      </c>
      <c r="D1701" s="58"/>
      <c r="E1701" s="43" t="str">
        <f t="shared" si="110"/>
        <v>Еще фото</v>
      </c>
      <c r="F1701" s="34" t="s">
        <v>469</v>
      </c>
      <c r="G1701" s="24" t="s">
        <v>237</v>
      </c>
      <c r="H1701" s="24" t="s">
        <v>27</v>
      </c>
      <c r="I1701" s="24" t="s">
        <v>237</v>
      </c>
      <c r="J1701" s="15" t="s">
        <v>37</v>
      </c>
      <c r="K1701" s="16" t="s">
        <v>29</v>
      </c>
      <c r="L1701" s="61"/>
      <c r="M1701" s="15"/>
      <c r="N1701" s="15" t="s">
        <v>130</v>
      </c>
      <c r="O1701" s="15"/>
      <c r="P1701" s="16" t="s">
        <v>254</v>
      </c>
      <c r="Q1701" s="17">
        <v>23299</v>
      </c>
      <c r="R1701" s="18">
        <v>45</v>
      </c>
      <c r="S1701" s="19">
        <v>14736.6175</v>
      </c>
      <c r="T1701" s="20" t="s">
        <v>75</v>
      </c>
      <c r="U1701" s="21" t="s">
        <v>109</v>
      </c>
      <c r="V1701" s="25" t="s">
        <v>96</v>
      </c>
      <c r="W1701" s="22">
        <v>1</v>
      </c>
      <c r="X1701" s="23"/>
    </row>
    <row r="1702" spans="1:24" s="1" customFormat="1" ht="14" customHeight="1" x14ac:dyDescent="0.3">
      <c r="A1702" s="24" t="s">
        <v>23</v>
      </c>
      <c r="B1702" s="24" t="s">
        <v>1316</v>
      </c>
      <c r="C1702" s="12" t="s">
        <v>1317</v>
      </c>
      <c r="D1702" s="58"/>
      <c r="E1702" s="43" t="str">
        <f t="shared" si="110"/>
        <v>Еще фото</v>
      </c>
      <c r="F1702" s="34" t="s">
        <v>469</v>
      </c>
      <c r="G1702" s="24" t="s">
        <v>237</v>
      </c>
      <c r="H1702" s="24" t="s">
        <v>27</v>
      </c>
      <c r="I1702" s="24" t="s">
        <v>237</v>
      </c>
      <c r="J1702" s="15" t="s">
        <v>37</v>
      </c>
      <c r="K1702" s="16" t="s">
        <v>29</v>
      </c>
      <c r="L1702" s="61"/>
      <c r="M1702" s="15"/>
      <c r="N1702" s="15" t="s">
        <v>130</v>
      </c>
      <c r="O1702" s="15"/>
      <c r="P1702" s="16" t="s">
        <v>254</v>
      </c>
      <c r="Q1702" s="17">
        <v>23299</v>
      </c>
      <c r="R1702" s="18">
        <v>45</v>
      </c>
      <c r="S1702" s="19">
        <v>14736.6175</v>
      </c>
      <c r="T1702" s="20" t="s">
        <v>75</v>
      </c>
      <c r="U1702" s="21" t="s">
        <v>95</v>
      </c>
      <c r="V1702" s="22">
        <v>50</v>
      </c>
      <c r="W1702" s="22">
        <v>1</v>
      </c>
      <c r="X1702" s="23"/>
    </row>
    <row r="1703" spans="1:24" s="1" customFormat="1" ht="17" customHeight="1" x14ac:dyDescent="0.3">
      <c r="A1703" s="24" t="s">
        <v>23</v>
      </c>
      <c r="B1703" s="24" t="s">
        <v>1316</v>
      </c>
      <c r="C1703" s="12" t="s">
        <v>1317</v>
      </c>
      <c r="D1703" s="59"/>
      <c r="E1703" s="43" t="str">
        <f t="shared" si="110"/>
        <v>Еще фото</v>
      </c>
      <c r="F1703" s="34" t="s">
        <v>469</v>
      </c>
      <c r="G1703" s="24" t="s">
        <v>237</v>
      </c>
      <c r="H1703" s="24" t="s">
        <v>27</v>
      </c>
      <c r="I1703" s="24" t="s">
        <v>237</v>
      </c>
      <c r="J1703" s="15" t="s">
        <v>37</v>
      </c>
      <c r="K1703" s="16" t="s">
        <v>29</v>
      </c>
      <c r="L1703" s="62"/>
      <c r="M1703" s="15"/>
      <c r="N1703" s="15" t="s">
        <v>130</v>
      </c>
      <c r="O1703" s="15"/>
      <c r="P1703" s="16" t="s">
        <v>254</v>
      </c>
      <c r="Q1703" s="17">
        <v>23299</v>
      </c>
      <c r="R1703" s="18">
        <v>45</v>
      </c>
      <c r="S1703" s="19">
        <v>14736.6175</v>
      </c>
      <c r="T1703" s="20" t="s">
        <v>75</v>
      </c>
      <c r="U1703" s="21" t="s">
        <v>165</v>
      </c>
      <c r="V1703" s="22">
        <v>50</v>
      </c>
      <c r="W1703" s="22">
        <v>2</v>
      </c>
      <c r="X1703" s="23"/>
    </row>
    <row r="1704" spans="1:24" s="1" customFormat="1" ht="52.05" customHeight="1" x14ac:dyDescent="0.3">
      <c r="A1704" s="11" t="s">
        <v>23</v>
      </c>
      <c r="B1704" s="11" t="s">
        <v>1318</v>
      </c>
      <c r="C1704" s="12" t="s">
        <v>1319</v>
      </c>
      <c r="D1704" s="63"/>
      <c r="E1704" s="43" t="str">
        <f>HYPERLINK("https://www.google.ru/search?q=A8421-0014&amp;newwindow=1&amp;tbm=isch","Еще фото")</f>
        <v>Еще фото</v>
      </c>
      <c r="F1704" s="14"/>
      <c r="G1704" s="11" t="s">
        <v>237</v>
      </c>
      <c r="H1704" s="11" t="s">
        <v>27</v>
      </c>
      <c r="I1704" s="15" t="s">
        <v>237</v>
      </c>
      <c r="J1704" s="15" t="s">
        <v>37</v>
      </c>
      <c r="K1704" s="16" t="s">
        <v>29</v>
      </c>
      <c r="L1704" s="60" t="s">
        <v>1320</v>
      </c>
      <c r="M1704" s="15"/>
      <c r="N1704" s="15" t="s">
        <v>130</v>
      </c>
      <c r="O1704" s="15"/>
      <c r="P1704" s="16" t="s">
        <v>790</v>
      </c>
      <c r="Q1704" s="17">
        <v>14699</v>
      </c>
      <c r="R1704" s="18">
        <v>45</v>
      </c>
      <c r="S1704" s="19">
        <v>9297.1174999999985</v>
      </c>
      <c r="T1704" s="20" t="s">
        <v>75</v>
      </c>
      <c r="U1704" s="21" t="s">
        <v>158</v>
      </c>
      <c r="V1704" s="22">
        <v>42</v>
      </c>
      <c r="W1704" s="22">
        <v>1</v>
      </c>
      <c r="X1704" s="23"/>
    </row>
    <row r="1705" spans="1:24" s="1" customFormat="1" ht="61.05" customHeight="1" x14ac:dyDescent="0.3">
      <c r="A1705" s="24" t="s">
        <v>23</v>
      </c>
      <c r="B1705" s="24" t="s">
        <v>1318</v>
      </c>
      <c r="C1705" s="12" t="s">
        <v>1319</v>
      </c>
      <c r="D1705" s="64"/>
      <c r="E1705" s="43" t="str">
        <f>HYPERLINK("https://www.google.ru/search?q=A8421-0014&amp;newwindow=1&amp;tbm=isch","Еще фото")</f>
        <v>Еще фото</v>
      </c>
      <c r="F1705" s="14"/>
      <c r="G1705" s="24" t="s">
        <v>237</v>
      </c>
      <c r="H1705" s="24" t="s">
        <v>27</v>
      </c>
      <c r="I1705" s="24" t="s">
        <v>237</v>
      </c>
      <c r="J1705" s="15" t="s">
        <v>37</v>
      </c>
      <c r="K1705" s="16" t="s">
        <v>29</v>
      </c>
      <c r="L1705" s="62"/>
      <c r="M1705" s="15"/>
      <c r="N1705" s="15" t="s">
        <v>130</v>
      </c>
      <c r="O1705" s="15"/>
      <c r="P1705" s="16" t="s">
        <v>790</v>
      </c>
      <c r="Q1705" s="17">
        <v>14699</v>
      </c>
      <c r="R1705" s="18">
        <v>45</v>
      </c>
      <c r="S1705" s="19">
        <v>9297.1174999999985</v>
      </c>
      <c r="T1705" s="20" t="s">
        <v>75</v>
      </c>
      <c r="U1705" s="21" t="s">
        <v>53</v>
      </c>
      <c r="V1705" s="22">
        <v>48</v>
      </c>
      <c r="W1705" s="22">
        <v>1</v>
      </c>
      <c r="X1705" s="23"/>
    </row>
    <row r="1706" spans="1:24" s="1" customFormat="1" ht="108" customHeight="1" x14ac:dyDescent="0.3">
      <c r="A1706" s="11" t="s">
        <v>23</v>
      </c>
      <c r="B1706" s="11" t="s">
        <v>1321</v>
      </c>
      <c r="C1706" s="12" t="s">
        <v>1322</v>
      </c>
      <c r="D1706" s="13"/>
      <c r="E1706" s="43" t="str">
        <f>HYPERLINK("https://www.google.ru/search?q=A8421-0020&amp;newwindow=1&amp;tbm=isch","Еще фото")</f>
        <v>Еще фото</v>
      </c>
      <c r="F1706" s="14"/>
      <c r="G1706" s="11" t="s">
        <v>237</v>
      </c>
      <c r="H1706" s="11" t="s">
        <v>27</v>
      </c>
      <c r="I1706" s="15" t="s">
        <v>237</v>
      </c>
      <c r="J1706" s="15" t="s">
        <v>37</v>
      </c>
      <c r="K1706" s="16" t="s">
        <v>29</v>
      </c>
      <c r="L1706" s="15" t="s">
        <v>1255</v>
      </c>
      <c r="M1706" s="15"/>
      <c r="N1706" s="15" t="s">
        <v>138</v>
      </c>
      <c r="O1706" s="15"/>
      <c r="P1706" s="16" t="s">
        <v>1323</v>
      </c>
      <c r="Q1706" s="17">
        <v>9399</v>
      </c>
      <c r="R1706" s="18">
        <v>45</v>
      </c>
      <c r="S1706" s="19">
        <v>5944.8674999999994</v>
      </c>
      <c r="T1706" s="20" t="s">
        <v>75</v>
      </c>
      <c r="U1706" s="21" t="s">
        <v>52</v>
      </c>
      <c r="V1706" s="22">
        <v>48</v>
      </c>
      <c r="W1706" s="22">
        <v>1</v>
      </c>
      <c r="X1706" s="23"/>
    </row>
    <row r="1707" spans="1:24" s="1" customFormat="1" ht="108" customHeight="1" x14ac:dyDescent="0.3">
      <c r="A1707" s="11" t="s">
        <v>23</v>
      </c>
      <c r="B1707" s="11" t="s">
        <v>1324</v>
      </c>
      <c r="C1707" s="12" t="s">
        <v>1325</v>
      </c>
      <c r="D1707" s="13"/>
      <c r="E1707" s="43" t="str">
        <f>HYPERLINK("https://www.google.ru/search?q=A8701-0041&amp;newwindow=1&amp;tbm=isch","Еще фото")</f>
        <v>Еще фото</v>
      </c>
      <c r="F1707" s="14"/>
      <c r="G1707" s="11" t="s">
        <v>237</v>
      </c>
      <c r="H1707" s="11" t="s">
        <v>27</v>
      </c>
      <c r="I1707" s="15" t="s">
        <v>237</v>
      </c>
      <c r="J1707" s="15" t="s">
        <v>37</v>
      </c>
      <c r="K1707" s="16" t="s">
        <v>29</v>
      </c>
      <c r="L1707" s="15" t="s">
        <v>716</v>
      </c>
      <c r="M1707" s="15"/>
      <c r="N1707" s="15" t="s">
        <v>130</v>
      </c>
      <c r="O1707" s="15"/>
      <c r="P1707" s="16" t="s">
        <v>1326</v>
      </c>
      <c r="Q1707" s="17">
        <v>10299</v>
      </c>
      <c r="R1707" s="18">
        <v>45</v>
      </c>
      <c r="S1707" s="19">
        <v>6514.1174999999994</v>
      </c>
      <c r="T1707" s="20" t="s">
        <v>75</v>
      </c>
      <c r="U1707" s="21" t="s">
        <v>1278</v>
      </c>
      <c r="V1707" s="22">
        <v>42</v>
      </c>
      <c r="W1707" s="22">
        <v>1</v>
      </c>
      <c r="X1707" s="23"/>
    </row>
    <row r="1708" spans="1:24" s="1" customFormat="1" ht="108" customHeight="1" x14ac:dyDescent="0.3">
      <c r="A1708" s="11" t="s">
        <v>23</v>
      </c>
      <c r="B1708" s="11" t="s">
        <v>1327</v>
      </c>
      <c r="C1708" s="12" t="s">
        <v>1328</v>
      </c>
      <c r="D1708" s="13"/>
      <c r="E1708" s="43" t="str">
        <f>HYPERLINK("https://www.google.ru/search?q=D5381-0009&amp;newwindow=1&amp;tbm=isch","Еще фото")</f>
        <v>Еще фото</v>
      </c>
      <c r="F1708" s="14"/>
      <c r="G1708" s="11" t="s">
        <v>1329</v>
      </c>
      <c r="H1708" s="11" t="s">
        <v>1330</v>
      </c>
      <c r="I1708" s="15" t="s">
        <v>1331</v>
      </c>
      <c r="J1708" s="15" t="s">
        <v>28</v>
      </c>
      <c r="K1708" s="16" t="s">
        <v>29</v>
      </c>
      <c r="L1708" s="15" t="s">
        <v>1332</v>
      </c>
      <c r="M1708" s="15"/>
      <c r="N1708" s="15" t="s">
        <v>39</v>
      </c>
      <c r="O1708" s="15"/>
      <c r="P1708" s="16" t="s">
        <v>1333</v>
      </c>
      <c r="Q1708" s="17">
        <v>17799</v>
      </c>
      <c r="R1708" s="18">
        <v>45</v>
      </c>
      <c r="S1708" s="19">
        <v>11257.8675</v>
      </c>
      <c r="T1708" s="20" t="s">
        <v>33</v>
      </c>
      <c r="U1708" s="21" t="s">
        <v>1334</v>
      </c>
      <c r="V1708" s="22">
        <v>41</v>
      </c>
      <c r="W1708" s="22">
        <v>4</v>
      </c>
      <c r="X1708" s="23"/>
    </row>
    <row r="1709" spans="1:24" s="1" customFormat="1" ht="108" customHeight="1" x14ac:dyDescent="0.3">
      <c r="A1709" s="11" t="s">
        <v>23</v>
      </c>
      <c r="B1709" s="11" t="s">
        <v>1335</v>
      </c>
      <c r="C1709" s="12" t="s">
        <v>1336</v>
      </c>
      <c r="D1709" s="13"/>
      <c r="E1709" s="43" t="str">
        <f>HYPERLINK("https://www.google.ru/search?q=000AG-0002&amp;newwindow=1&amp;tbm=isch","Еще фото")</f>
        <v>Еще фото</v>
      </c>
      <c r="F1709" s="14"/>
      <c r="G1709" s="11" t="s">
        <v>1337</v>
      </c>
      <c r="H1709" s="11" t="s">
        <v>1338</v>
      </c>
      <c r="I1709" s="15" t="s">
        <v>1339</v>
      </c>
      <c r="J1709" s="15" t="s">
        <v>28</v>
      </c>
      <c r="K1709" s="16" t="s">
        <v>29</v>
      </c>
      <c r="L1709" s="15" t="s">
        <v>1340</v>
      </c>
      <c r="M1709" s="15"/>
      <c r="N1709" s="15" t="s">
        <v>156</v>
      </c>
      <c r="O1709" s="15"/>
      <c r="P1709" s="16" t="s">
        <v>32</v>
      </c>
      <c r="Q1709" s="17">
        <v>3799</v>
      </c>
      <c r="R1709" s="18">
        <v>45</v>
      </c>
      <c r="S1709" s="19">
        <v>2402.8674999999994</v>
      </c>
      <c r="T1709" s="20" t="s">
        <v>1341</v>
      </c>
      <c r="U1709" s="21" t="s">
        <v>1342</v>
      </c>
      <c r="V1709" s="25" t="s">
        <v>1343</v>
      </c>
      <c r="W1709" s="22">
        <v>1</v>
      </c>
      <c r="X1709" s="23"/>
    </row>
    <row r="1710" spans="1:24" s="1" customFormat="1" ht="108" customHeight="1" x14ac:dyDescent="0.3">
      <c r="A1710" s="11" t="s">
        <v>23</v>
      </c>
      <c r="B1710" s="11" t="s">
        <v>1344</v>
      </c>
      <c r="C1710" s="12" t="s">
        <v>1345</v>
      </c>
      <c r="D1710" s="13"/>
      <c r="E1710" s="43" t="str">
        <f>HYPERLINK("https://www.google.ru/search?q=003S4-0001&amp;newwindow=1&amp;tbm=isch","Еще фото")</f>
        <v>Еще фото</v>
      </c>
      <c r="F1710" s="14"/>
      <c r="G1710" s="11" t="s">
        <v>1346</v>
      </c>
      <c r="H1710" s="11" t="s">
        <v>27</v>
      </c>
      <c r="I1710" s="15" t="s">
        <v>1347</v>
      </c>
      <c r="J1710" s="15" t="s">
        <v>28</v>
      </c>
      <c r="K1710" s="16" t="s">
        <v>29</v>
      </c>
      <c r="L1710" s="15"/>
      <c r="M1710" s="15"/>
      <c r="N1710" s="15" t="s">
        <v>39</v>
      </c>
      <c r="O1710" s="15"/>
      <c r="P1710" s="16" t="s">
        <v>32</v>
      </c>
      <c r="Q1710" s="17">
        <v>19499</v>
      </c>
      <c r="R1710" s="18">
        <v>45.13</v>
      </c>
      <c r="S1710" s="19">
        <v>12304.988499999999</v>
      </c>
      <c r="T1710" s="20" t="s">
        <v>33</v>
      </c>
      <c r="U1710" s="21" t="s">
        <v>34</v>
      </c>
      <c r="V1710" s="22">
        <v>48</v>
      </c>
      <c r="W1710" s="22">
        <v>1</v>
      </c>
      <c r="X1710" s="23"/>
    </row>
    <row r="1711" spans="1:24" s="1" customFormat="1" ht="35" customHeight="1" x14ac:dyDescent="0.3">
      <c r="A1711" s="11" t="s">
        <v>23</v>
      </c>
      <c r="B1711" s="11" t="s">
        <v>1348</v>
      </c>
      <c r="C1711" s="12" t="s">
        <v>1349</v>
      </c>
      <c r="D1711" s="57"/>
      <c r="E1711" s="43" t="str">
        <f>HYPERLINK("https://www.google.ru/search?q=LM2RU419-ICE&amp;newwindow=1&amp;tbm=isch","Еще фото")</f>
        <v>Еще фото</v>
      </c>
      <c r="F1711" s="14"/>
      <c r="G1711" s="11" t="s">
        <v>1350</v>
      </c>
      <c r="H1711" s="11" t="s">
        <v>27</v>
      </c>
      <c r="I1711" s="15" t="s">
        <v>1351</v>
      </c>
      <c r="J1711" s="15" t="s">
        <v>28</v>
      </c>
      <c r="K1711" s="16" t="s">
        <v>57</v>
      </c>
      <c r="L1711" s="60" t="s">
        <v>1352</v>
      </c>
      <c r="M1711" s="15"/>
      <c r="N1711" s="15" t="s">
        <v>31</v>
      </c>
      <c r="O1711" s="15"/>
      <c r="P1711" s="16" t="s">
        <v>1353</v>
      </c>
      <c r="Q1711" s="17">
        <v>26299</v>
      </c>
      <c r="R1711" s="18">
        <v>73.349999999999994</v>
      </c>
      <c r="S1711" s="19">
        <v>8058.9354999999996</v>
      </c>
      <c r="T1711" s="20" t="s">
        <v>75</v>
      </c>
      <c r="U1711" s="21" t="s">
        <v>62</v>
      </c>
      <c r="V1711" s="22">
        <v>46</v>
      </c>
      <c r="W1711" s="22">
        <v>9</v>
      </c>
      <c r="X1711" s="23"/>
    </row>
    <row r="1712" spans="1:24" s="1" customFormat="1" ht="35" customHeight="1" x14ac:dyDescent="0.3">
      <c r="A1712" s="24" t="s">
        <v>23</v>
      </c>
      <c r="B1712" s="24" t="s">
        <v>1348</v>
      </c>
      <c r="C1712" s="12" t="s">
        <v>1349</v>
      </c>
      <c r="D1712" s="58"/>
      <c r="E1712" s="43" t="str">
        <f>HYPERLINK("https://www.google.ru/search?q=LM2RU419-ICE&amp;newwindow=1&amp;tbm=isch","Еще фото")</f>
        <v>Еще фото</v>
      </c>
      <c r="F1712" s="14"/>
      <c r="G1712" s="24" t="s">
        <v>1350</v>
      </c>
      <c r="H1712" s="24" t="s">
        <v>27</v>
      </c>
      <c r="I1712" s="24" t="s">
        <v>1351</v>
      </c>
      <c r="J1712" s="15" t="s">
        <v>28</v>
      </c>
      <c r="K1712" s="16" t="s">
        <v>57</v>
      </c>
      <c r="L1712" s="61"/>
      <c r="M1712" s="15"/>
      <c r="N1712" s="15" t="s">
        <v>31</v>
      </c>
      <c r="O1712" s="15"/>
      <c r="P1712" s="16" t="s">
        <v>1353</v>
      </c>
      <c r="Q1712" s="17">
        <v>26299</v>
      </c>
      <c r="R1712" s="18">
        <v>73.349999999999994</v>
      </c>
      <c r="S1712" s="19">
        <v>8058.9354999999996</v>
      </c>
      <c r="T1712" s="20" t="s">
        <v>75</v>
      </c>
      <c r="U1712" s="21" t="s">
        <v>64</v>
      </c>
      <c r="V1712" s="22">
        <v>48</v>
      </c>
      <c r="W1712" s="22">
        <v>15</v>
      </c>
      <c r="X1712" s="23"/>
    </row>
    <row r="1713" spans="1:24" s="1" customFormat="1" ht="37.049999999999997" customHeight="1" x14ac:dyDescent="0.3">
      <c r="A1713" s="24" t="s">
        <v>23</v>
      </c>
      <c r="B1713" s="24" t="s">
        <v>1348</v>
      </c>
      <c r="C1713" s="12" t="s">
        <v>1349</v>
      </c>
      <c r="D1713" s="59"/>
      <c r="E1713" s="43" t="str">
        <f>HYPERLINK("https://www.google.ru/search?q=LM2RU419-ICE&amp;newwindow=1&amp;tbm=isch","Еще фото")</f>
        <v>Еще фото</v>
      </c>
      <c r="F1713" s="14"/>
      <c r="G1713" s="24" t="s">
        <v>1350</v>
      </c>
      <c r="H1713" s="24" t="s">
        <v>27</v>
      </c>
      <c r="I1713" s="24" t="s">
        <v>1351</v>
      </c>
      <c r="J1713" s="15" t="s">
        <v>28</v>
      </c>
      <c r="K1713" s="16" t="s">
        <v>57</v>
      </c>
      <c r="L1713" s="62"/>
      <c r="M1713" s="15"/>
      <c r="N1713" s="15" t="s">
        <v>31</v>
      </c>
      <c r="O1713" s="15"/>
      <c r="P1713" s="16" t="s">
        <v>1353</v>
      </c>
      <c r="Q1713" s="17">
        <v>26299</v>
      </c>
      <c r="R1713" s="18">
        <v>73.349999999999994</v>
      </c>
      <c r="S1713" s="19">
        <v>8058.9354999999996</v>
      </c>
      <c r="T1713" s="20" t="s">
        <v>75</v>
      </c>
      <c r="U1713" s="21" t="s">
        <v>34</v>
      </c>
      <c r="V1713" s="25" t="s">
        <v>90</v>
      </c>
      <c r="W1713" s="22">
        <v>1</v>
      </c>
      <c r="X1713" s="23"/>
    </row>
    <row r="1714" spans="1:24" s="1" customFormat="1" ht="52.05" customHeight="1" x14ac:dyDescent="0.3">
      <c r="A1714" s="11" t="s">
        <v>23</v>
      </c>
      <c r="B1714" s="11" t="s">
        <v>1348</v>
      </c>
      <c r="C1714" s="12" t="s">
        <v>1354</v>
      </c>
      <c r="D1714" s="63"/>
      <c r="E1714" s="43" t="str">
        <f>HYPERLINK("https://www.google.ru/search?q=LM2RP467-RTR&amp;newwindow=1&amp;tbm=isch","Еще фото")</f>
        <v>Еще фото</v>
      </c>
      <c r="F1714" s="14"/>
      <c r="G1714" s="11" t="s">
        <v>1350</v>
      </c>
      <c r="H1714" s="11" t="s">
        <v>27</v>
      </c>
      <c r="I1714" s="15" t="s">
        <v>1351</v>
      </c>
      <c r="J1714" s="15" t="s">
        <v>28</v>
      </c>
      <c r="K1714" s="16" t="s">
        <v>57</v>
      </c>
      <c r="L1714" s="60" t="s">
        <v>1355</v>
      </c>
      <c r="M1714" s="15"/>
      <c r="N1714" s="15" t="s">
        <v>87</v>
      </c>
      <c r="O1714" s="15"/>
      <c r="P1714" s="16" t="s">
        <v>40</v>
      </c>
      <c r="Q1714" s="17">
        <v>23099</v>
      </c>
      <c r="R1714" s="18">
        <v>71.349999999999994</v>
      </c>
      <c r="S1714" s="19">
        <v>7610.4354999999996</v>
      </c>
      <c r="T1714" s="20" t="s">
        <v>33</v>
      </c>
      <c r="U1714" s="21" t="s">
        <v>62</v>
      </c>
      <c r="V1714" s="22">
        <v>46</v>
      </c>
      <c r="W1714" s="22">
        <v>3</v>
      </c>
      <c r="X1714" s="23"/>
    </row>
    <row r="1715" spans="1:24" s="1" customFormat="1" ht="61.05" customHeight="1" x14ac:dyDescent="0.3">
      <c r="A1715" s="24" t="s">
        <v>23</v>
      </c>
      <c r="B1715" s="24" t="s">
        <v>1348</v>
      </c>
      <c r="C1715" s="12" t="s">
        <v>1354</v>
      </c>
      <c r="D1715" s="64"/>
      <c r="E1715" s="43" t="str">
        <f>HYPERLINK("https://www.google.ru/search?q=LM2RP467-RTR&amp;newwindow=1&amp;tbm=isch","Еще фото")</f>
        <v>Еще фото</v>
      </c>
      <c r="F1715" s="14"/>
      <c r="G1715" s="24" t="s">
        <v>1350</v>
      </c>
      <c r="H1715" s="24" t="s">
        <v>27</v>
      </c>
      <c r="I1715" s="24" t="s">
        <v>1351</v>
      </c>
      <c r="J1715" s="15" t="s">
        <v>28</v>
      </c>
      <c r="K1715" s="16" t="s">
        <v>57</v>
      </c>
      <c r="L1715" s="62"/>
      <c r="M1715" s="15"/>
      <c r="N1715" s="15" t="s">
        <v>87</v>
      </c>
      <c r="O1715" s="15"/>
      <c r="P1715" s="16" t="s">
        <v>40</v>
      </c>
      <c r="Q1715" s="17">
        <v>23099</v>
      </c>
      <c r="R1715" s="18">
        <v>71.349999999999994</v>
      </c>
      <c r="S1715" s="19">
        <v>7610.4354999999996</v>
      </c>
      <c r="T1715" s="20" t="s">
        <v>33</v>
      </c>
      <c r="U1715" s="21" t="s">
        <v>64</v>
      </c>
      <c r="V1715" s="22">
        <v>48</v>
      </c>
      <c r="W1715" s="22">
        <v>1</v>
      </c>
      <c r="X1715" s="23"/>
    </row>
    <row r="1716" spans="1:24" s="1" customFormat="1" ht="52.05" customHeight="1" x14ac:dyDescent="0.3">
      <c r="A1716" s="11" t="s">
        <v>23</v>
      </c>
      <c r="B1716" s="11" t="s">
        <v>1356</v>
      </c>
      <c r="C1716" s="12" t="s">
        <v>1357</v>
      </c>
      <c r="D1716" s="63"/>
      <c r="E1716" s="43" t="str">
        <f>HYPERLINK("https://www.google.ru/search?q=16365-0070&amp;newwindow=1&amp;tbm=isch","Еще фото")</f>
        <v>Еще фото</v>
      </c>
      <c r="F1716" s="14"/>
      <c r="G1716" s="11" t="s">
        <v>1358</v>
      </c>
      <c r="H1716" s="11" t="s">
        <v>27</v>
      </c>
      <c r="I1716" s="15" t="s">
        <v>1351</v>
      </c>
      <c r="J1716" s="15" t="s">
        <v>28</v>
      </c>
      <c r="K1716" s="16" t="s">
        <v>57</v>
      </c>
      <c r="L1716" s="60" t="s">
        <v>1359</v>
      </c>
      <c r="M1716" s="15" t="s">
        <v>72</v>
      </c>
      <c r="N1716" s="15" t="s">
        <v>138</v>
      </c>
      <c r="O1716" s="15"/>
      <c r="P1716" s="16" t="s">
        <v>32</v>
      </c>
      <c r="Q1716" s="17">
        <v>24199</v>
      </c>
      <c r="R1716" s="18">
        <v>69.180000000000007</v>
      </c>
      <c r="S1716" s="19">
        <v>8576.4354999999996</v>
      </c>
      <c r="T1716" s="20" t="s">
        <v>75</v>
      </c>
      <c r="U1716" s="21" t="s">
        <v>61</v>
      </c>
      <c r="V1716" s="22">
        <v>44</v>
      </c>
      <c r="W1716" s="22">
        <v>9</v>
      </c>
      <c r="X1716" s="23"/>
    </row>
    <row r="1717" spans="1:24" s="1" customFormat="1" ht="61.05" customHeight="1" x14ac:dyDescent="0.3">
      <c r="A1717" s="24" t="s">
        <v>23</v>
      </c>
      <c r="B1717" s="24" t="s">
        <v>1356</v>
      </c>
      <c r="C1717" s="12" t="s">
        <v>1357</v>
      </c>
      <c r="D1717" s="64"/>
      <c r="E1717" s="43" t="str">
        <f>HYPERLINK("https://www.google.ru/search?q=16365-0070&amp;newwindow=1&amp;tbm=isch","Еще фото")</f>
        <v>Еще фото</v>
      </c>
      <c r="F1717" s="14"/>
      <c r="G1717" s="24" t="s">
        <v>1358</v>
      </c>
      <c r="H1717" s="24" t="s">
        <v>27</v>
      </c>
      <c r="I1717" s="24" t="s">
        <v>1351</v>
      </c>
      <c r="J1717" s="15" t="s">
        <v>28</v>
      </c>
      <c r="K1717" s="16" t="s">
        <v>57</v>
      </c>
      <c r="L1717" s="62"/>
      <c r="M1717" s="15" t="s">
        <v>72</v>
      </c>
      <c r="N1717" s="15" t="s">
        <v>138</v>
      </c>
      <c r="O1717" s="15"/>
      <c r="P1717" s="16" t="s">
        <v>32</v>
      </c>
      <c r="Q1717" s="17">
        <v>24199</v>
      </c>
      <c r="R1717" s="18">
        <v>69.180000000000007</v>
      </c>
      <c r="S1717" s="19">
        <v>8576.4354999999996</v>
      </c>
      <c r="T1717" s="20" t="s">
        <v>75</v>
      </c>
      <c r="U1717" s="21" t="s">
        <v>62</v>
      </c>
      <c r="V1717" s="22">
        <v>46</v>
      </c>
      <c r="W1717" s="22">
        <v>19</v>
      </c>
      <c r="X1717" s="23"/>
    </row>
    <row r="1718" spans="1:24" s="1" customFormat="1" ht="108" customHeight="1" x14ac:dyDescent="0.3">
      <c r="A1718" s="11" t="s">
        <v>23</v>
      </c>
      <c r="B1718" s="11" t="s">
        <v>1348</v>
      </c>
      <c r="C1718" s="12" t="s">
        <v>1360</v>
      </c>
      <c r="D1718" s="13"/>
      <c r="E1718" s="43" t="str">
        <f>HYPERLINK("https://www.google.ru/search?q=LM2RS077-BRN&amp;newwindow=1&amp;tbm=isch","Еще фото")</f>
        <v>Еще фото</v>
      </c>
      <c r="F1718" s="14"/>
      <c r="G1718" s="11" t="s">
        <v>1350</v>
      </c>
      <c r="H1718" s="11" t="s">
        <v>27</v>
      </c>
      <c r="I1718" s="15" t="s">
        <v>1351</v>
      </c>
      <c r="J1718" s="15" t="s">
        <v>28</v>
      </c>
      <c r="K1718" s="16" t="s">
        <v>57</v>
      </c>
      <c r="L1718" s="15" t="s">
        <v>1361</v>
      </c>
      <c r="M1718" s="15"/>
      <c r="N1718" s="15" t="s">
        <v>99</v>
      </c>
      <c r="O1718" s="15"/>
      <c r="P1718" s="16" t="s">
        <v>40</v>
      </c>
      <c r="Q1718" s="17">
        <v>26299</v>
      </c>
      <c r="R1718" s="18">
        <v>64.42</v>
      </c>
      <c r="S1718" s="19">
        <v>10761.4355</v>
      </c>
      <c r="T1718" s="20" t="s">
        <v>33</v>
      </c>
      <c r="U1718" s="21" t="s">
        <v>64</v>
      </c>
      <c r="V1718" s="22">
        <v>48</v>
      </c>
      <c r="W1718" s="22">
        <v>4</v>
      </c>
      <c r="X1718" s="23"/>
    </row>
    <row r="1719" spans="1:24" s="1" customFormat="1" ht="17" customHeight="1" x14ac:dyDescent="0.3">
      <c r="A1719" s="11" t="s">
        <v>23</v>
      </c>
      <c r="B1719" s="11" t="s">
        <v>1362</v>
      </c>
      <c r="C1719" s="12" t="s">
        <v>1363</v>
      </c>
      <c r="D1719" s="57"/>
      <c r="E1719" s="43" t="str">
        <f t="shared" ref="E1719:E1724" si="111">HYPERLINK("https://www.google.ru/search?q=29945-0036&amp;newwindow=1&amp;tbm=isch","Еще фото")</f>
        <v>Еще фото</v>
      </c>
      <c r="F1719" s="14"/>
      <c r="G1719" s="11" t="s">
        <v>1364</v>
      </c>
      <c r="H1719" s="11" t="s">
        <v>27</v>
      </c>
      <c r="I1719" s="15" t="s">
        <v>1351</v>
      </c>
      <c r="J1719" s="15" t="s">
        <v>28</v>
      </c>
      <c r="K1719" s="16" t="s">
        <v>29</v>
      </c>
      <c r="L1719" s="60" t="s">
        <v>1365</v>
      </c>
      <c r="M1719" s="15" t="s">
        <v>72</v>
      </c>
      <c r="N1719" s="15" t="s">
        <v>130</v>
      </c>
      <c r="O1719" s="15" t="s">
        <v>121</v>
      </c>
      <c r="P1719" s="16" t="s">
        <v>32</v>
      </c>
      <c r="Q1719" s="17">
        <v>18699</v>
      </c>
      <c r="R1719" s="18">
        <v>61.99</v>
      </c>
      <c r="S1719" s="19">
        <v>8173.9354999999996</v>
      </c>
      <c r="T1719" s="20" t="s">
        <v>33</v>
      </c>
      <c r="U1719" s="21" t="s">
        <v>1366</v>
      </c>
      <c r="V1719" s="22">
        <v>40</v>
      </c>
      <c r="W1719" s="22">
        <v>48</v>
      </c>
      <c r="X1719" s="23"/>
    </row>
    <row r="1720" spans="1:24" s="1" customFormat="1" ht="17" customHeight="1" x14ac:dyDescent="0.3">
      <c r="A1720" s="24" t="s">
        <v>23</v>
      </c>
      <c r="B1720" s="24" t="s">
        <v>1362</v>
      </c>
      <c r="C1720" s="12" t="s">
        <v>1363</v>
      </c>
      <c r="D1720" s="58"/>
      <c r="E1720" s="43" t="str">
        <f t="shared" si="111"/>
        <v>Еще фото</v>
      </c>
      <c r="F1720" s="14"/>
      <c r="G1720" s="24" t="s">
        <v>1364</v>
      </c>
      <c r="H1720" s="24" t="s">
        <v>27</v>
      </c>
      <c r="I1720" s="24" t="s">
        <v>1351</v>
      </c>
      <c r="J1720" s="15" t="s">
        <v>28</v>
      </c>
      <c r="K1720" s="16" t="s">
        <v>29</v>
      </c>
      <c r="L1720" s="61"/>
      <c r="M1720" s="15" t="s">
        <v>72</v>
      </c>
      <c r="N1720" s="15" t="s">
        <v>130</v>
      </c>
      <c r="O1720" s="15" t="s">
        <v>121</v>
      </c>
      <c r="P1720" s="16" t="s">
        <v>32</v>
      </c>
      <c r="Q1720" s="17">
        <v>18699</v>
      </c>
      <c r="R1720" s="18">
        <v>61.99</v>
      </c>
      <c r="S1720" s="19">
        <v>8173.9354999999996</v>
      </c>
      <c r="T1720" s="20" t="s">
        <v>33</v>
      </c>
      <c r="U1720" s="21" t="s">
        <v>61</v>
      </c>
      <c r="V1720" s="22">
        <v>42</v>
      </c>
      <c r="W1720" s="22">
        <v>85</v>
      </c>
      <c r="X1720" s="23"/>
    </row>
    <row r="1721" spans="1:24" s="1" customFormat="1" ht="17" customHeight="1" x14ac:dyDescent="0.3">
      <c r="A1721" s="24" t="s">
        <v>23</v>
      </c>
      <c r="B1721" s="24" t="s">
        <v>1362</v>
      </c>
      <c r="C1721" s="12" t="s">
        <v>1363</v>
      </c>
      <c r="D1721" s="58"/>
      <c r="E1721" s="43" t="str">
        <f t="shared" si="111"/>
        <v>Еще фото</v>
      </c>
      <c r="F1721" s="14"/>
      <c r="G1721" s="24" t="s">
        <v>1364</v>
      </c>
      <c r="H1721" s="24" t="s">
        <v>27</v>
      </c>
      <c r="I1721" s="24" t="s">
        <v>1351</v>
      </c>
      <c r="J1721" s="15" t="s">
        <v>28</v>
      </c>
      <c r="K1721" s="16" t="s">
        <v>29</v>
      </c>
      <c r="L1721" s="61"/>
      <c r="M1721" s="15" t="s">
        <v>72</v>
      </c>
      <c r="N1721" s="15" t="s">
        <v>130</v>
      </c>
      <c r="O1721" s="15" t="s">
        <v>121</v>
      </c>
      <c r="P1721" s="16" t="s">
        <v>32</v>
      </c>
      <c r="Q1721" s="17">
        <v>18699</v>
      </c>
      <c r="R1721" s="18">
        <v>61.99</v>
      </c>
      <c r="S1721" s="19">
        <v>8173.9354999999996</v>
      </c>
      <c r="T1721" s="20" t="s">
        <v>33</v>
      </c>
      <c r="U1721" s="21" t="s">
        <v>62</v>
      </c>
      <c r="V1721" s="22">
        <v>44</v>
      </c>
      <c r="W1721" s="22">
        <v>84</v>
      </c>
      <c r="X1721" s="23"/>
    </row>
    <row r="1722" spans="1:24" s="1" customFormat="1" ht="17" customHeight="1" x14ac:dyDescent="0.3">
      <c r="A1722" s="24" t="s">
        <v>23</v>
      </c>
      <c r="B1722" s="24" t="s">
        <v>1362</v>
      </c>
      <c r="C1722" s="12" t="s">
        <v>1363</v>
      </c>
      <c r="D1722" s="58"/>
      <c r="E1722" s="43" t="str">
        <f t="shared" si="111"/>
        <v>Еще фото</v>
      </c>
      <c r="F1722" s="14"/>
      <c r="G1722" s="24" t="s">
        <v>1364</v>
      </c>
      <c r="H1722" s="24" t="s">
        <v>27</v>
      </c>
      <c r="I1722" s="24" t="s">
        <v>1351</v>
      </c>
      <c r="J1722" s="15" t="s">
        <v>28</v>
      </c>
      <c r="K1722" s="16" t="s">
        <v>29</v>
      </c>
      <c r="L1722" s="61"/>
      <c r="M1722" s="15" t="s">
        <v>72</v>
      </c>
      <c r="N1722" s="15" t="s">
        <v>130</v>
      </c>
      <c r="O1722" s="15" t="s">
        <v>121</v>
      </c>
      <c r="P1722" s="16" t="s">
        <v>32</v>
      </c>
      <c r="Q1722" s="17">
        <v>18699</v>
      </c>
      <c r="R1722" s="18">
        <v>61.99</v>
      </c>
      <c r="S1722" s="19">
        <v>8173.9354999999996</v>
      </c>
      <c r="T1722" s="20" t="s">
        <v>33</v>
      </c>
      <c r="U1722" s="21" t="s">
        <v>64</v>
      </c>
      <c r="V1722" s="22">
        <v>46</v>
      </c>
      <c r="W1722" s="22">
        <v>30</v>
      </c>
      <c r="X1722" s="23"/>
    </row>
    <row r="1723" spans="1:24" s="1" customFormat="1" ht="17" customHeight="1" x14ac:dyDescent="0.3">
      <c r="A1723" s="24" t="s">
        <v>23</v>
      </c>
      <c r="B1723" s="24" t="s">
        <v>1362</v>
      </c>
      <c r="C1723" s="12" t="s">
        <v>1363</v>
      </c>
      <c r="D1723" s="58"/>
      <c r="E1723" s="43" t="str">
        <f t="shared" si="111"/>
        <v>Еще фото</v>
      </c>
      <c r="F1723" s="14"/>
      <c r="G1723" s="24" t="s">
        <v>1364</v>
      </c>
      <c r="H1723" s="24" t="s">
        <v>27</v>
      </c>
      <c r="I1723" s="24" t="s">
        <v>1351</v>
      </c>
      <c r="J1723" s="15" t="s">
        <v>28</v>
      </c>
      <c r="K1723" s="16" t="s">
        <v>29</v>
      </c>
      <c r="L1723" s="61"/>
      <c r="M1723" s="15" t="s">
        <v>72</v>
      </c>
      <c r="N1723" s="15" t="s">
        <v>130</v>
      </c>
      <c r="O1723" s="15" t="s">
        <v>121</v>
      </c>
      <c r="P1723" s="16" t="s">
        <v>32</v>
      </c>
      <c r="Q1723" s="17">
        <v>18699</v>
      </c>
      <c r="R1723" s="18">
        <v>61.99</v>
      </c>
      <c r="S1723" s="19">
        <v>8173.9354999999996</v>
      </c>
      <c r="T1723" s="20" t="s">
        <v>33</v>
      </c>
      <c r="U1723" s="21" t="s">
        <v>34</v>
      </c>
      <c r="V1723" s="22">
        <v>48</v>
      </c>
      <c r="W1723" s="22">
        <v>20</v>
      </c>
      <c r="X1723" s="23"/>
    </row>
    <row r="1724" spans="1:24" s="1" customFormat="1" ht="22.05" customHeight="1" x14ac:dyDescent="0.3">
      <c r="A1724" s="24" t="s">
        <v>23</v>
      </c>
      <c r="B1724" s="24" t="s">
        <v>1362</v>
      </c>
      <c r="C1724" s="12" t="s">
        <v>1363</v>
      </c>
      <c r="D1724" s="59"/>
      <c r="E1724" s="43" t="str">
        <f t="shared" si="111"/>
        <v>Еще фото</v>
      </c>
      <c r="F1724" s="14"/>
      <c r="G1724" s="24" t="s">
        <v>1364</v>
      </c>
      <c r="H1724" s="24" t="s">
        <v>27</v>
      </c>
      <c r="I1724" s="24" t="s">
        <v>1351</v>
      </c>
      <c r="J1724" s="15" t="s">
        <v>28</v>
      </c>
      <c r="K1724" s="16" t="s">
        <v>29</v>
      </c>
      <c r="L1724" s="62"/>
      <c r="M1724" s="15" t="s">
        <v>72</v>
      </c>
      <c r="N1724" s="15" t="s">
        <v>130</v>
      </c>
      <c r="O1724" s="15" t="s">
        <v>121</v>
      </c>
      <c r="P1724" s="16" t="s">
        <v>32</v>
      </c>
      <c r="Q1724" s="17">
        <v>18699</v>
      </c>
      <c r="R1724" s="18">
        <v>61.99</v>
      </c>
      <c r="S1724" s="19">
        <v>8173.9354999999996</v>
      </c>
      <c r="T1724" s="20" t="s">
        <v>33</v>
      </c>
      <c r="U1724" s="21" t="s">
        <v>150</v>
      </c>
      <c r="V1724" s="25" t="s">
        <v>90</v>
      </c>
      <c r="W1724" s="22">
        <v>10</v>
      </c>
      <c r="X1724" s="23"/>
    </row>
    <row r="1725" spans="1:24" s="1" customFormat="1" ht="52.05" customHeight="1" x14ac:dyDescent="0.3">
      <c r="A1725" s="11" t="s">
        <v>23</v>
      </c>
      <c r="B1725" s="11" t="s">
        <v>1348</v>
      </c>
      <c r="C1725" s="12" t="s">
        <v>1367</v>
      </c>
      <c r="D1725" s="63"/>
      <c r="E1725" s="43" t="str">
        <f>HYPERLINK("https://www.google.ru/search?q=LM9RC684-RBK&amp;newwindow=1&amp;tbm=isch","Еще фото")</f>
        <v>Еще фото</v>
      </c>
      <c r="F1725" s="14"/>
      <c r="G1725" s="11" t="s">
        <v>1358</v>
      </c>
      <c r="H1725" s="11" t="s">
        <v>27</v>
      </c>
      <c r="I1725" s="15" t="s">
        <v>1351</v>
      </c>
      <c r="J1725" s="15" t="s">
        <v>28</v>
      </c>
      <c r="K1725" s="16" t="s">
        <v>57</v>
      </c>
      <c r="L1725" s="60" t="s">
        <v>1368</v>
      </c>
      <c r="M1725" s="15"/>
      <c r="N1725" s="15" t="s">
        <v>59</v>
      </c>
      <c r="O1725" s="15"/>
      <c r="P1725" s="16" t="s">
        <v>32</v>
      </c>
      <c r="Q1725" s="17">
        <v>22099</v>
      </c>
      <c r="R1725" s="18">
        <v>59.1</v>
      </c>
      <c r="S1725" s="19">
        <v>10393.4355</v>
      </c>
      <c r="T1725" s="20" t="s">
        <v>75</v>
      </c>
      <c r="U1725" s="21" t="s">
        <v>62</v>
      </c>
      <c r="V1725" s="22">
        <v>46</v>
      </c>
      <c r="W1725" s="22">
        <v>1</v>
      </c>
      <c r="X1725" s="23"/>
    </row>
    <row r="1726" spans="1:24" s="1" customFormat="1" ht="61.05" customHeight="1" x14ac:dyDescent="0.3">
      <c r="A1726" s="24" t="s">
        <v>23</v>
      </c>
      <c r="B1726" s="24" t="s">
        <v>1348</v>
      </c>
      <c r="C1726" s="12" t="s">
        <v>1367</v>
      </c>
      <c r="D1726" s="64"/>
      <c r="E1726" s="43" t="str">
        <f>HYPERLINK("https://www.google.ru/search?q=LM9RC684-RBK&amp;newwindow=1&amp;tbm=isch","Еще фото")</f>
        <v>Еще фото</v>
      </c>
      <c r="F1726" s="14"/>
      <c r="G1726" s="24" t="s">
        <v>1358</v>
      </c>
      <c r="H1726" s="24" t="s">
        <v>27</v>
      </c>
      <c r="I1726" s="24" t="s">
        <v>1351</v>
      </c>
      <c r="J1726" s="15" t="s">
        <v>28</v>
      </c>
      <c r="K1726" s="16" t="s">
        <v>57</v>
      </c>
      <c r="L1726" s="62"/>
      <c r="M1726" s="15"/>
      <c r="N1726" s="15" t="s">
        <v>59</v>
      </c>
      <c r="O1726" s="15"/>
      <c r="P1726" s="16" t="s">
        <v>32</v>
      </c>
      <c r="Q1726" s="17">
        <v>22099</v>
      </c>
      <c r="R1726" s="18">
        <v>59.1</v>
      </c>
      <c r="S1726" s="19">
        <v>10393.4355</v>
      </c>
      <c r="T1726" s="20" t="s">
        <v>75</v>
      </c>
      <c r="U1726" s="21" t="s">
        <v>64</v>
      </c>
      <c r="V1726" s="22">
        <v>48</v>
      </c>
      <c r="W1726" s="22">
        <v>2</v>
      </c>
      <c r="X1726" s="23"/>
    </row>
    <row r="1727" spans="1:24" s="1" customFormat="1" ht="52.05" customHeight="1" x14ac:dyDescent="0.3">
      <c r="A1727" s="11" t="s">
        <v>23</v>
      </c>
      <c r="B1727" s="11" t="s">
        <v>1348</v>
      </c>
      <c r="C1727" s="12" t="s">
        <v>1369</v>
      </c>
      <c r="D1727" s="63"/>
      <c r="E1727" s="43" t="str">
        <f>HYPERLINK("https://www.google.ru/search?q=LM2RP472-BBL&amp;newwindow=1&amp;tbm=isch","Еще фото")</f>
        <v>Еще фото</v>
      </c>
      <c r="F1727" s="14"/>
      <c r="G1727" s="11" t="s">
        <v>1350</v>
      </c>
      <c r="H1727" s="11" t="s">
        <v>27</v>
      </c>
      <c r="I1727" s="15" t="s">
        <v>1351</v>
      </c>
      <c r="J1727" s="15" t="s">
        <v>28</v>
      </c>
      <c r="K1727" s="16" t="s">
        <v>57</v>
      </c>
      <c r="L1727" s="60" t="s">
        <v>1370</v>
      </c>
      <c r="M1727" s="15"/>
      <c r="N1727" s="15" t="s">
        <v>39</v>
      </c>
      <c r="O1727" s="15"/>
      <c r="P1727" s="16" t="s">
        <v>1371</v>
      </c>
      <c r="Q1727" s="17">
        <v>23099</v>
      </c>
      <c r="R1727" s="18">
        <v>58.8</v>
      </c>
      <c r="S1727" s="19">
        <v>10945.4355</v>
      </c>
      <c r="T1727" s="20" t="s">
        <v>33</v>
      </c>
      <c r="U1727" s="21" t="s">
        <v>62</v>
      </c>
      <c r="V1727" s="22">
        <v>46</v>
      </c>
      <c r="W1727" s="22">
        <v>1</v>
      </c>
      <c r="X1727" s="23"/>
    </row>
    <row r="1728" spans="1:24" s="1" customFormat="1" ht="61.05" customHeight="1" x14ac:dyDescent="0.3">
      <c r="A1728" s="24" t="s">
        <v>23</v>
      </c>
      <c r="B1728" s="24" t="s">
        <v>1348</v>
      </c>
      <c r="C1728" s="12" t="s">
        <v>1369</v>
      </c>
      <c r="D1728" s="64"/>
      <c r="E1728" s="43" t="str">
        <f>HYPERLINK("https://www.google.ru/search?q=LM2RP472-BBL&amp;newwindow=1&amp;tbm=isch","Еще фото")</f>
        <v>Еще фото</v>
      </c>
      <c r="F1728" s="14"/>
      <c r="G1728" s="24" t="s">
        <v>1350</v>
      </c>
      <c r="H1728" s="24" t="s">
        <v>27</v>
      </c>
      <c r="I1728" s="24" t="s">
        <v>1351</v>
      </c>
      <c r="J1728" s="15" t="s">
        <v>28</v>
      </c>
      <c r="K1728" s="16" t="s">
        <v>57</v>
      </c>
      <c r="L1728" s="62"/>
      <c r="M1728" s="15"/>
      <c r="N1728" s="15" t="s">
        <v>39</v>
      </c>
      <c r="O1728" s="15"/>
      <c r="P1728" s="16" t="s">
        <v>1371</v>
      </c>
      <c r="Q1728" s="17">
        <v>23099</v>
      </c>
      <c r="R1728" s="18">
        <v>58.8</v>
      </c>
      <c r="S1728" s="19">
        <v>10945.4355</v>
      </c>
      <c r="T1728" s="20" t="s">
        <v>33</v>
      </c>
      <c r="U1728" s="21" t="s">
        <v>34</v>
      </c>
      <c r="V1728" s="25" t="s">
        <v>90</v>
      </c>
      <c r="W1728" s="22">
        <v>3</v>
      </c>
      <c r="X1728" s="23"/>
    </row>
    <row r="1729" spans="1:24" s="1" customFormat="1" ht="35" customHeight="1" x14ac:dyDescent="0.3">
      <c r="A1729" s="11" t="s">
        <v>23</v>
      </c>
      <c r="B1729" s="11" t="s">
        <v>1372</v>
      </c>
      <c r="C1729" s="12" t="s">
        <v>1373</v>
      </c>
      <c r="D1729" s="57"/>
      <c r="E1729" s="43" t="str">
        <f>HYPERLINK("https://www.google.ru/search?q=36137-0026&amp;newwindow=1&amp;tbm=isch","Еще фото")</f>
        <v>Еще фото</v>
      </c>
      <c r="F1729" s="14"/>
      <c r="G1729" s="11" t="s">
        <v>1374</v>
      </c>
      <c r="H1729" s="11" t="s">
        <v>27</v>
      </c>
      <c r="I1729" s="15" t="s">
        <v>1351</v>
      </c>
      <c r="J1729" s="15" t="s">
        <v>28</v>
      </c>
      <c r="K1729" s="16" t="s">
        <v>29</v>
      </c>
      <c r="L1729" s="60" t="s">
        <v>1375</v>
      </c>
      <c r="M1729" s="15" t="s">
        <v>72</v>
      </c>
      <c r="N1729" s="15" t="s">
        <v>138</v>
      </c>
      <c r="O1729" s="15" t="s">
        <v>1376</v>
      </c>
      <c r="P1729" s="16" t="s">
        <v>32</v>
      </c>
      <c r="Q1729" s="17">
        <v>18299</v>
      </c>
      <c r="R1729" s="18">
        <v>55.86</v>
      </c>
      <c r="S1729" s="19">
        <v>9289.4354999999996</v>
      </c>
      <c r="T1729" s="20" t="s">
        <v>33</v>
      </c>
      <c r="U1729" s="21" t="s">
        <v>1366</v>
      </c>
      <c r="V1729" s="22">
        <v>40</v>
      </c>
      <c r="W1729" s="22">
        <v>2</v>
      </c>
      <c r="X1729" s="23"/>
    </row>
    <row r="1730" spans="1:24" s="1" customFormat="1" ht="35" customHeight="1" x14ac:dyDescent="0.3">
      <c r="A1730" s="24" t="s">
        <v>23</v>
      </c>
      <c r="B1730" s="24" t="s">
        <v>1372</v>
      </c>
      <c r="C1730" s="12" t="s">
        <v>1373</v>
      </c>
      <c r="D1730" s="58"/>
      <c r="E1730" s="43" t="str">
        <f>HYPERLINK("https://www.google.ru/search?q=36137-0026&amp;newwindow=1&amp;tbm=isch","Еще фото")</f>
        <v>Еще фото</v>
      </c>
      <c r="F1730" s="14"/>
      <c r="G1730" s="24" t="s">
        <v>1374</v>
      </c>
      <c r="H1730" s="24" t="s">
        <v>27</v>
      </c>
      <c r="I1730" s="24" t="s">
        <v>1351</v>
      </c>
      <c r="J1730" s="15" t="s">
        <v>28</v>
      </c>
      <c r="K1730" s="16" t="s">
        <v>29</v>
      </c>
      <c r="L1730" s="61"/>
      <c r="M1730" s="15" t="s">
        <v>72</v>
      </c>
      <c r="N1730" s="15" t="s">
        <v>138</v>
      </c>
      <c r="O1730" s="15" t="s">
        <v>1376</v>
      </c>
      <c r="P1730" s="16" t="s">
        <v>32</v>
      </c>
      <c r="Q1730" s="17">
        <v>18299</v>
      </c>
      <c r="R1730" s="18">
        <v>55.86</v>
      </c>
      <c r="S1730" s="19">
        <v>9289.4354999999996</v>
      </c>
      <c r="T1730" s="20" t="s">
        <v>33</v>
      </c>
      <c r="U1730" s="21" t="s">
        <v>61</v>
      </c>
      <c r="V1730" s="22">
        <v>42</v>
      </c>
      <c r="W1730" s="22">
        <v>21</v>
      </c>
      <c r="X1730" s="23"/>
    </row>
    <row r="1731" spans="1:24" s="1" customFormat="1" ht="37.049999999999997" customHeight="1" x14ac:dyDescent="0.3">
      <c r="A1731" s="24" t="s">
        <v>23</v>
      </c>
      <c r="B1731" s="24" t="s">
        <v>1372</v>
      </c>
      <c r="C1731" s="12" t="s">
        <v>1373</v>
      </c>
      <c r="D1731" s="59"/>
      <c r="E1731" s="43" t="str">
        <f>HYPERLINK("https://www.google.ru/search?q=36137-0026&amp;newwindow=1&amp;tbm=isch","Еще фото")</f>
        <v>Еще фото</v>
      </c>
      <c r="F1731" s="14"/>
      <c r="G1731" s="24" t="s">
        <v>1374</v>
      </c>
      <c r="H1731" s="24" t="s">
        <v>27</v>
      </c>
      <c r="I1731" s="24" t="s">
        <v>1351</v>
      </c>
      <c r="J1731" s="15" t="s">
        <v>28</v>
      </c>
      <c r="K1731" s="16" t="s">
        <v>29</v>
      </c>
      <c r="L1731" s="62"/>
      <c r="M1731" s="15" t="s">
        <v>72</v>
      </c>
      <c r="N1731" s="15" t="s">
        <v>138</v>
      </c>
      <c r="O1731" s="15" t="s">
        <v>1376</v>
      </c>
      <c r="P1731" s="16" t="s">
        <v>32</v>
      </c>
      <c r="Q1731" s="17">
        <v>18299</v>
      </c>
      <c r="R1731" s="18">
        <v>55.86</v>
      </c>
      <c r="S1731" s="19">
        <v>9289.4354999999996</v>
      </c>
      <c r="T1731" s="20" t="s">
        <v>33</v>
      </c>
      <c r="U1731" s="21" t="s">
        <v>64</v>
      </c>
      <c r="V1731" s="22">
        <v>46</v>
      </c>
      <c r="W1731" s="22">
        <v>1</v>
      </c>
      <c r="X1731" s="23"/>
    </row>
    <row r="1732" spans="1:24" s="1" customFormat="1" ht="35" customHeight="1" x14ac:dyDescent="0.3">
      <c r="A1732" s="11" t="s">
        <v>23</v>
      </c>
      <c r="B1732" s="11" t="s">
        <v>1348</v>
      </c>
      <c r="C1732" s="12" t="s">
        <v>1377</v>
      </c>
      <c r="D1732" s="57"/>
      <c r="E1732" s="43" t="str">
        <f>HYPERLINK("https://www.google.ru/search?q=LM2RP467-DDL&amp;newwindow=1&amp;tbm=isch","Еще фото")</f>
        <v>Еще фото</v>
      </c>
      <c r="F1732" s="14"/>
      <c r="G1732" s="11" t="s">
        <v>1350</v>
      </c>
      <c r="H1732" s="11" t="s">
        <v>27</v>
      </c>
      <c r="I1732" s="15" t="s">
        <v>1351</v>
      </c>
      <c r="J1732" s="15" t="s">
        <v>28</v>
      </c>
      <c r="K1732" s="16" t="s">
        <v>57</v>
      </c>
      <c r="L1732" s="60" t="s">
        <v>1355</v>
      </c>
      <c r="M1732" s="15"/>
      <c r="N1732" s="15" t="s">
        <v>1378</v>
      </c>
      <c r="O1732" s="15"/>
      <c r="P1732" s="16" t="s">
        <v>40</v>
      </c>
      <c r="Q1732" s="17">
        <v>23099</v>
      </c>
      <c r="R1732" s="18">
        <v>55.72</v>
      </c>
      <c r="S1732" s="19">
        <v>11761.9355</v>
      </c>
      <c r="T1732" s="20" t="s">
        <v>75</v>
      </c>
      <c r="U1732" s="21" t="s">
        <v>62</v>
      </c>
      <c r="V1732" s="22">
        <v>46</v>
      </c>
      <c r="W1732" s="22">
        <v>4</v>
      </c>
      <c r="X1732" s="23"/>
    </row>
    <row r="1733" spans="1:24" s="1" customFormat="1" ht="35" customHeight="1" x14ac:dyDescent="0.3">
      <c r="A1733" s="24" t="s">
        <v>23</v>
      </c>
      <c r="B1733" s="24" t="s">
        <v>1348</v>
      </c>
      <c r="C1733" s="12" t="s">
        <v>1377</v>
      </c>
      <c r="D1733" s="58"/>
      <c r="E1733" s="43" t="str">
        <f>HYPERLINK("https://www.google.ru/search?q=LM2RP467-DDL&amp;newwindow=1&amp;tbm=isch","Еще фото")</f>
        <v>Еще фото</v>
      </c>
      <c r="F1733" s="14"/>
      <c r="G1733" s="24" t="s">
        <v>1350</v>
      </c>
      <c r="H1733" s="24" t="s">
        <v>27</v>
      </c>
      <c r="I1733" s="24" t="s">
        <v>1351</v>
      </c>
      <c r="J1733" s="15" t="s">
        <v>28</v>
      </c>
      <c r="K1733" s="16" t="s">
        <v>57</v>
      </c>
      <c r="L1733" s="61"/>
      <c r="M1733" s="15"/>
      <c r="N1733" s="15" t="s">
        <v>1378</v>
      </c>
      <c r="O1733" s="15"/>
      <c r="P1733" s="16" t="s">
        <v>40</v>
      </c>
      <c r="Q1733" s="17">
        <v>23099</v>
      </c>
      <c r="R1733" s="18">
        <v>55.72</v>
      </c>
      <c r="S1733" s="19">
        <v>11761.9355</v>
      </c>
      <c r="T1733" s="20" t="s">
        <v>75</v>
      </c>
      <c r="U1733" s="21" t="s">
        <v>64</v>
      </c>
      <c r="V1733" s="22">
        <v>48</v>
      </c>
      <c r="W1733" s="22">
        <v>13</v>
      </c>
      <c r="X1733" s="23"/>
    </row>
    <row r="1734" spans="1:24" s="1" customFormat="1" ht="37.049999999999997" customHeight="1" x14ac:dyDescent="0.3">
      <c r="A1734" s="24" t="s">
        <v>23</v>
      </c>
      <c r="B1734" s="24" t="s">
        <v>1348</v>
      </c>
      <c r="C1734" s="12" t="s">
        <v>1377</v>
      </c>
      <c r="D1734" s="59"/>
      <c r="E1734" s="43" t="str">
        <f>HYPERLINK("https://www.google.ru/search?q=LM2RP467-DDL&amp;newwindow=1&amp;tbm=isch","Еще фото")</f>
        <v>Еще фото</v>
      </c>
      <c r="F1734" s="14"/>
      <c r="G1734" s="24" t="s">
        <v>1350</v>
      </c>
      <c r="H1734" s="24" t="s">
        <v>27</v>
      </c>
      <c r="I1734" s="24" t="s">
        <v>1351</v>
      </c>
      <c r="J1734" s="15" t="s">
        <v>28</v>
      </c>
      <c r="K1734" s="16" t="s">
        <v>57</v>
      </c>
      <c r="L1734" s="62"/>
      <c r="M1734" s="15"/>
      <c r="N1734" s="15" t="s">
        <v>1378</v>
      </c>
      <c r="O1734" s="15"/>
      <c r="P1734" s="16" t="s">
        <v>40</v>
      </c>
      <c r="Q1734" s="17">
        <v>23099</v>
      </c>
      <c r="R1734" s="18">
        <v>55.72</v>
      </c>
      <c r="S1734" s="19">
        <v>11761.9355</v>
      </c>
      <c r="T1734" s="20" t="s">
        <v>75</v>
      </c>
      <c r="U1734" s="21" t="s">
        <v>34</v>
      </c>
      <c r="V1734" s="25" t="s">
        <v>90</v>
      </c>
      <c r="W1734" s="22">
        <v>5</v>
      </c>
      <c r="X1734" s="23"/>
    </row>
    <row r="1735" spans="1:24" s="1" customFormat="1" ht="35" customHeight="1" x14ac:dyDescent="0.3">
      <c r="A1735" s="11" t="s">
        <v>23</v>
      </c>
      <c r="B1735" s="11" t="s">
        <v>1348</v>
      </c>
      <c r="C1735" s="12" t="s">
        <v>1379</v>
      </c>
      <c r="D1735" s="57"/>
      <c r="E1735" s="43" t="str">
        <f>HYPERLINK("https://www.google.ru/search?q=LM0RP320-ORB&amp;newwindow=1&amp;tbm=isch","Еще фото")</f>
        <v>Еще фото</v>
      </c>
      <c r="F1735" s="14"/>
      <c r="G1735" s="11" t="s">
        <v>1350</v>
      </c>
      <c r="H1735" s="11" t="s">
        <v>27</v>
      </c>
      <c r="I1735" s="15" t="s">
        <v>1351</v>
      </c>
      <c r="J1735" s="15" t="s">
        <v>28</v>
      </c>
      <c r="K1735" s="16" t="s">
        <v>57</v>
      </c>
      <c r="L1735" s="60" t="s">
        <v>1380</v>
      </c>
      <c r="M1735" s="15"/>
      <c r="N1735" s="15" t="s">
        <v>120</v>
      </c>
      <c r="O1735" s="15"/>
      <c r="P1735" s="16" t="s">
        <v>1381</v>
      </c>
      <c r="Q1735" s="17">
        <v>29399</v>
      </c>
      <c r="R1735" s="18">
        <v>55.72</v>
      </c>
      <c r="S1735" s="19">
        <v>14970.4355</v>
      </c>
      <c r="T1735" s="20" t="s">
        <v>33</v>
      </c>
      <c r="U1735" s="21" t="s">
        <v>62</v>
      </c>
      <c r="V1735" s="22">
        <v>46</v>
      </c>
      <c r="W1735" s="22">
        <v>3</v>
      </c>
      <c r="X1735" s="23"/>
    </row>
    <row r="1736" spans="1:24" s="1" customFormat="1" ht="35" customHeight="1" x14ac:dyDescent="0.3">
      <c r="A1736" s="24" t="s">
        <v>23</v>
      </c>
      <c r="B1736" s="24" t="s">
        <v>1348</v>
      </c>
      <c r="C1736" s="12" t="s">
        <v>1379</v>
      </c>
      <c r="D1736" s="58"/>
      <c r="E1736" s="43" t="str">
        <f>HYPERLINK("https://www.google.ru/search?q=LM0RP320-ORB&amp;newwindow=1&amp;tbm=isch","Еще фото")</f>
        <v>Еще фото</v>
      </c>
      <c r="F1736" s="14"/>
      <c r="G1736" s="24" t="s">
        <v>1350</v>
      </c>
      <c r="H1736" s="24" t="s">
        <v>27</v>
      </c>
      <c r="I1736" s="24" t="s">
        <v>1351</v>
      </c>
      <c r="J1736" s="15" t="s">
        <v>28</v>
      </c>
      <c r="K1736" s="16" t="s">
        <v>57</v>
      </c>
      <c r="L1736" s="61"/>
      <c r="M1736" s="15"/>
      <c r="N1736" s="15" t="s">
        <v>120</v>
      </c>
      <c r="O1736" s="15"/>
      <c r="P1736" s="16" t="s">
        <v>1381</v>
      </c>
      <c r="Q1736" s="17">
        <v>29399</v>
      </c>
      <c r="R1736" s="18">
        <v>55.72</v>
      </c>
      <c r="S1736" s="19">
        <v>14970.4355</v>
      </c>
      <c r="T1736" s="20" t="s">
        <v>33</v>
      </c>
      <c r="U1736" s="21" t="s">
        <v>64</v>
      </c>
      <c r="V1736" s="22">
        <v>48</v>
      </c>
      <c r="W1736" s="22">
        <v>8</v>
      </c>
      <c r="X1736" s="23"/>
    </row>
    <row r="1737" spans="1:24" s="1" customFormat="1" ht="37.049999999999997" customHeight="1" x14ac:dyDescent="0.3">
      <c r="A1737" s="24" t="s">
        <v>23</v>
      </c>
      <c r="B1737" s="24" t="s">
        <v>1348</v>
      </c>
      <c r="C1737" s="12" t="s">
        <v>1379</v>
      </c>
      <c r="D1737" s="59"/>
      <c r="E1737" s="43" t="str">
        <f>HYPERLINK("https://www.google.ru/search?q=LM0RP320-ORB&amp;newwindow=1&amp;tbm=isch","Еще фото")</f>
        <v>Еще фото</v>
      </c>
      <c r="F1737" s="14"/>
      <c r="G1737" s="24" t="s">
        <v>1350</v>
      </c>
      <c r="H1737" s="24" t="s">
        <v>27</v>
      </c>
      <c r="I1737" s="24" t="s">
        <v>1351</v>
      </c>
      <c r="J1737" s="15" t="s">
        <v>28</v>
      </c>
      <c r="K1737" s="16" t="s">
        <v>57</v>
      </c>
      <c r="L1737" s="62"/>
      <c r="M1737" s="15"/>
      <c r="N1737" s="15" t="s">
        <v>120</v>
      </c>
      <c r="O1737" s="15"/>
      <c r="P1737" s="16" t="s">
        <v>1381</v>
      </c>
      <c r="Q1737" s="17">
        <v>29399</v>
      </c>
      <c r="R1737" s="18">
        <v>55.72</v>
      </c>
      <c r="S1737" s="19">
        <v>14970.4355</v>
      </c>
      <c r="T1737" s="20" t="s">
        <v>33</v>
      </c>
      <c r="U1737" s="21" t="s">
        <v>34</v>
      </c>
      <c r="V1737" s="25" t="s">
        <v>90</v>
      </c>
      <c r="W1737" s="22">
        <v>3</v>
      </c>
      <c r="X1737" s="23"/>
    </row>
    <row r="1738" spans="1:24" s="1" customFormat="1" ht="52.05" customHeight="1" x14ac:dyDescent="0.3">
      <c r="A1738" s="11" t="s">
        <v>23</v>
      </c>
      <c r="B1738" s="11" t="s">
        <v>1348</v>
      </c>
      <c r="C1738" s="12" t="s">
        <v>1382</v>
      </c>
      <c r="D1738" s="63"/>
      <c r="E1738" s="43" t="str">
        <f>HYPERLINK("https://www.google.ru/search?q=LM2RU419-BLK&amp;newwindow=1&amp;tbm=isch","Еще фото")</f>
        <v>Еще фото</v>
      </c>
      <c r="F1738" s="14"/>
      <c r="G1738" s="11" t="s">
        <v>1350</v>
      </c>
      <c r="H1738" s="11" t="s">
        <v>27</v>
      </c>
      <c r="I1738" s="15" t="s">
        <v>1351</v>
      </c>
      <c r="J1738" s="15" t="s">
        <v>28</v>
      </c>
      <c r="K1738" s="16" t="s">
        <v>57</v>
      </c>
      <c r="L1738" s="60" t="s">
        <v>1352</v>
      </c>
      <c r="M1738" s="15"/>
      <c r="N1738" s="15" t="s">
        <v>39</v>
      </c>
      <c r="O1738" s="15"/>
      <c r="P1738" s="16" t="s">
        <v>1353</v>
      </c>
      <c r="Q1738" s="17">
        <v>26299</v>
      </c>
      <c r="R1738" s="18">
        <v>52.52</v>
      </c>
      <c r="S1738" s="19">
        <v>14360.9355</v>
      </c>
      <c r="T1738" s="20" t="s">
        <v>75</v>
      </c>
      <c r="U1738" s="21" t="s">
        <v>62</v>
      </c>
      <c r="V1738" s="22">
        <v>46</v>
      </c>
      <c r="W1738" s="22">
        <v>2</v>
      </c>
      <c r="X1738" s="23"/>
    </row>
    <row r="1739" spans="1:24" s="1" customFormat="1" ht="61.05" customHeight="1" x14ac:dyDescent="0.3">
      <c r="A1739" s="24" t="s">
        <v>23</v>
      </c>
      <c r="B1739" s="24" t="s">
        <v>1348</v>
      </c>
      <c r="C1739" s="12" t="s">
        <v>1382</v>
      </c>
      <c r="D1739" s="64"/>
      <c r="E1739" s="43" t="str">
        <f>HYPERLINK("https://www.google.ru/search?q=LM2RU419-BLK&amp;newwindow=1&amp;tbm=isch","Еще фото")</f>
        <v>Еще фото</v>
      </c>
      <c r="F1739" s="14"/>
      <c r="G1739" s="24" t="s">
        <v>1350</v>
      </c>
      <c r="H1739" s="24" t="s">
        <v>27</v>
      </c>
      <c r="I1739" s="24" t="s">
        <v>1351</v>
      </c>
      <c r="J1739" s="15" t="s">
        <v>28</v>
      </c>
      <c r="K1739" s="16" t="s">
        <v>57</v>
      </c>
      <c r="L1739" s="62"/>
      <c r="M1739" s="15"/>
      <c r="N1739" s="15" t="s">
        <v>39</v>
      </c>
      <c r="O1739" s="15"/>
      <c r="P1739" s="16" t="s">
        <v>1353</v>
      </c>
      <c r="Q1739" s="17">
        <v>26299</v>
      </c>
      <c r="R1739" s="18">
        <v>52.52</v>
      </c>
      <c r="S1739" s="19">
        <v>14360.9355</v>
      </c>
      <c r="T1739" s="20" t="s">
        <v>75</v>
      </c>
      <c r="U1739" s="21" t="s">
        <v>64</v>
      </c>
      <c r="V1739" s="22">
        <v>48</v>
      </c>
      <c r="W1739" s="22">
        <v>1</v>
      </c>
      <c r="X1739" s="23"/>
    </row>
    <row r="1740" spans="1:24" s="1" customFormat="1" ht="108" customHeight="1" x14ac:dyDescent="0.3">
      <c r="A1740" s="11" t="s">
        <v>23</v>
      </c>
      <c r="B1740" s="11" t="s">
        <v>1383</v>
      </c>
      <c r="C1740" s="12" t="s">
        <v>1384</v>
      </c>
      <c r="D1740" s="13"/>
      <c r="E1740" s="43" t="str">
        <f>HYPERLINK("https://www.google.ru/search?q=A0804-0000&amp;newwindow=1&amp;tbm=isch","Еще фото")</f>
        <v>Еще фото</v>
      </c>
      <c r="F1740" s="14"/>
      <c r="G1740" s="11" t="s">
        <v>1364</v>
      </c>
      <c r="H1740" s="11" t="s">
        <v>27</v>
      </c>
      <c r="I1740" s="15" t="s">
        <v>1351</v>
      </c>
      <c r="J1740" s="15" t="s">
        <v>28</v>
      </c>
      <c r="K1740" s="16" t="s">
        <v>29</v>
      </c>
      <c r="L1740" s="15" t="s">
        <v>1385</v>
      </c>
      <c r="M1740" s="15" t="s">
        <v>72</v>
      </c>
      <c r="N1740" s="15" t="s">
        <v>130</v>
      </c>
      <c r="O1740" s="15"/>
      <c r="P1740" s="16" t="s">
        <v>790</v>
      </c>
      <c r="Q1740" s="17">
        <v>16699</v>
      </c>
      <c r="R1740" s="18">
        <v>48.81</v>
      </c>
      <c r="S1740" s="19">
        <v>9829.9354999999996</v>
      </c>
      <c r="T1740" s="20" t="s">
        <v>33</v>
      </c>
      <c r="U1740" s="21" t="s">
        <v>61</v>
      </c>
      <c r="V1740" s="22">
        <v>42</v>
      </c>
      <c r="W1740" s="22">
        <v>6</v>
      </c>
      <c r="X1740" s="23"/>
    </row>
    <row r="1741" spans="1:24" s="1" customFormat="1" ht="26" customHeight="1" x14ac:dyDescent="0.3">
      <c r="A1741" s="11" t="s">
        <v>23</v>
      </c>
      <c r="B1741" s="11" t="s">
        <v>1386</v>
      </c>
      <c r="C1741" s="12" t="s">
        <v>1387</v>
      </c>
      <c r="D1741" s="57"/>
      <c r="E1741" s="43" t="str">
        <f>HYPERLINK("https://www.google.ru/search?q=29945-0070&amp;newwindow=1&amp;tbm=isch","Еще фото")</f>
        <v>Еще фото</v>
      </c>
      <c r="F1741" s="14"/>
      <c r="G1741" s="11" t="s">
        <v>1364</v>
      </c>
      <c r="H1741" s="11" t="s">
        <v>27</v>
      </c>
      <c r="I1741" s="15" t="s">
        <v>1351</v>
      </c>
      <c r="J1741" s="15" t="s">
        <v>28</v>
      </c>
      <c r="K1741" s="16" t="s">
        <v>29</v>
      </c>
      <c r="L1741" s="60" t="s">
        <v>1388</v>
      </c>
      <c r="M1741" s="15" t="s">
        <v>72</v>
      </c>
      <c r="N1741" s="15" t="s">
        <v>39</v>
      </c>
      <c r="O1741" s="15" t="s">
        <v>1376</v>
      </c>
      <c r="P1741" s="16" t="s">
        <v>1389</v>
      </c>
      <c r="Q1741" s="17">
        <v>16599</v>
      </c>
      <c r="R1741" s="18">
        <v>48.81</v>
      </c>
      <c r="S1741" s="19">
        <v>9772.4354999999996</v>
      </c>
      <c r="T1741" s="20" t="s">
        <v>33</v>
      </c>
      <c r="U1741" s="21" t="s">
        <v>61</v>
      </c>
      <c r="V1741" s="22">
        <v>42</v>
      </c>
      <c r="W1741" s="22">
        <v>67</v>
      </c>
      <c r="X1741" s="23"/>
    </row>
    <row r="1742" spans="1:24" s="1" customFormat="1" ht="26" customHeight="1" x14ac:dyDescent="0.3">
      <c r="A1742" s="24" t="s">
        <v>23</v>
      </c>
      <c r="B1742" s="24" t="s">
        <v>1386</v>
      </c>
      <c r="C1742" s="12" t="s">
        <v>1387</v>
      </c>
      <c r="D1742" s="58"/>
      <c r="E1742" s="43" t="str">
        <f>HYPERLINK("https://www.google.ru/search?q=29945-0070&amp;newwindow=1&amp;tbm=isch","Еще фото")</f>
        <v>Еще фото</v>
      </c>
      <c r="F1742" s="14"/>
      <c r="G1742" s="24" t="s">
        <v>1364</v>
      </c>
      <c r="H1742" s="24" t="s">
        <v>27</v>
      </c>
      <c r="I1742" s="24" t="s">
        <v>1351</v>
      </c>
      <c r="J1742" s="15" t="s">
        <v>28</v>
      </c>
      <c r="K1742" s="16" t="s">
        <v>29</v>
      </c>
      <c r="L1742" s="61"/>
      <c r="M1742" s="15" t="s">
        <v>72</v>
      </c>
      <c r="N1742" s="15" t="s">
        <v>39</v>
      </c>
      <c r="O1742" s="15" t="s">
        <v>1376</v>
      </c>
      <c r="P1742" s="16" t="s">
        <v>1389</v>
      </c>
      <c r="Q1742" s="17">
        <v>16599</v>
      </c>
      <c r="R1742" s="18">
        <v>48.81</v>
      </c>
      <c r="S1742" s="19">
        <v>9772.4354999999996</v>
      </c>
      <c r="T1742" s="20" t="s">
        <v>33</v>
      </c>
      <c r="U1742" s="21" t="s">
        <v>62</v>
      </c>
      <c r="V1742" s="22">
        <v>44</v>
      </c>
      <c r="W1742" s="22">
        <v>21</v>
      </c>
      <c r="X1742" s="23"/>
    </row>
    <row r="1743" spans="1:24" s="1" customFormat="1" ht="26" customHeight="1" x14ac:dyDescent="0.3">
      <c r="A1743" s="24" t="s">
        <v>23</v>
      </c>
      <c r="B1743" s="24" t="s">
        <v>1386</v>
      </c>
      <c r="C1743" s="12" t="s">
        <v>1387</v>
      </c>
      <c r="D1743" s="58"/>
      <c r="E1743" s="43" t="str">
        <f>HYPERLINK("https://www.google.ru/search?q=29945-0070&amp;newwindow=1&amp;tbm=isch","Еще фото")</f>
        <v>Еще фото</v>
      </c>
      <c r="F1743" s="14"/>
      <c r="G1743" s="24" t="s">
        <v>1364</v>
      </c>
      <c r="H1743" s="24" t="s">
        <v>27</v>
      </c>
      <c r="I1743" s="24" t="s">
        <v>1351</v>
      </c>
      <c r="J1743" s="15" t="s">
        <v>28</v>
      </c>
      <c r="K1743" s="16" t="s">
        <v>29</v>
      </c>
      <c r="L1743" s="61"/>
      <c r="M1743" s="15" t="s">
        <v>72</v>
      </c>
      <c r="N1743" s="15" t="s">
        <v>39</v>
      </c>
      <c r="O1743" s="15" t="s">
        <v>1376</v>
      </c>
      <c r="P1743" s="16" t="s">
        <v>1389</v>
      </c>
      <c r="Q1743" s="17">
        <v>16599</v>
      </c>
      <c r="R1743" s="18">
        <v>48.81</v>
      </c>
      <c r="S1743" s="19">
        <v>9772.4354999999996</v>
      </c>
      <c r="T1743" s="20" t="s">
        <v>33</v>
      </c>
      <c r="U1743" s="21" t="s">
        <v>64</v>
      </c>
      <c r="V1743" s="22">
        <v>46</v>
      </c>
      <c r="W1743" s="22">
        <v>20</v>
      </c>
      <c r="X1743" s="23"/>
    </row>
    <row r="1744" spans="1:24" s="1" customFormat="1" ht="26" customHeight="1" x14ac:dyDescent="0.3">
      <c r="A1744" s="24" t="s">
        <v>23</v>
      </c>
      <c r="B1744" s="24" t="s">
        <v>1386</v>
      </c>
      <c r="C1744" s="12" t="s">
        <v>1387</v>
      </c>
      <c r="D1744" s="59"/>
      <c r="E1744" s="43" t="str">
        <f>HYPERLINK("https://www.google.ru/search?q=29945-0070&amp;newwindow=1&amp;tbm=isch","Еще фото")</f>
        <v>Еще фото</v>
      </c>
      <c r="F1744" s="14"/>
      <c r="G1744" s="24" t="s">
        <v>1364</v>
      </c>
      <c r="H1744" s="24" t="s">
        <v>27</v>
      </c>
      <c r="I1744" s="24" t="s">
        <v>1351</v>
      </c>
      <c r="J1744" s="15" t="s">
        <v>28</v>
      </c>
      <c r="K1744" s="16" t="s">
        <v>29</v>
      </c>
      <c r="L1744" s="62"/>
      <c r="M1744" s="15" t="s">
        <v>72</v>
      </c>
      <c r="N1744" s="15" t="s">
        <v>39</v>
      </c>
      <c r="O1744" s="15" t="s">
        <v>1376</v>
      </c>
      <c r="P1744" s="16" t="s">
        <v>1389</v>
      </c>
      <c r="Q1744" s="17">
        <v>16599</v>
      </c>
      <c r="R1744" s="18">
        <v>48.81</v>
      </c>
      <c r="S1744" s="19">
        <v>9772.4354999999996</v>
      </c>
      <c r="T1744" s="20" t="s">
        <v>33</v>
      </c>
      <c r="U1744" s="21" t="s">
        <v>34</v>
      </c>
      <c r="V1744" s="22">
        <v>48</v>
      </c>
      <c r="W1744" s="22">
        <v>20</v>
      </c>
      <c r="X1744" s="23"/>
    </row>
    <row r="1745" spans="1:24" s="1" customFormat="1" ht="108" customHeight="1" x14ac:dyDescent="0.3">
      <c r="A1745" s="11" t="s">
        <v>23</v>
      </c>
      <c r="B1745" s="11" t="s">
        <v>1390</v>
      </c>
      <c r="C1745" s="12" t="s">
        <v>1391</v>
      </c>
      <c r="D1745" s="13"/>
      <c r="E1745" s="43" t="str">
        <f>HYPERLINK("https://www.google.ru/search?q=29945-0111&amp;newwindow=1&amp;tbm=isch","Еще фото")</f>
        <v>Еще фото</v>
      </c>
      <c r="F1745" s="14"/>
      <c r="G1745" s="11" t="s">
        <v>1364</v>
      </c>
      <c r="H1745" s="11" t="s">
        <v>27</v>
      </c>
      <c r="I1745" s="15" t="s">
        <v>1351</v>
      </c>
      <c r="J1745" s="15" t="s">
        <v>28</v>
      </c>
      <c r="K1745" s="16" t="s">
        <v>29</v>
      </c>
      <c r="L1745" s="15" t="s">
        <v>1392</v>
      </c>
      <c r="M1745" s="15" t="s">
        <v>72</v>
      </c>
      <c r="N1745" s="15" t="s">
        <v>73</v>
      </c>
      <c r="O1745" s="15"/>
      <c r="P1745" s="16" t="s">
        <v>1393</v>
      </c>
      <c r="Q1745" s="17">
        <v>15799</v>
      </c>
      <c r="R1745" s="18">
        <v>45.57</v>
      </c>
      <c r="S1745" s="19">
        <v>9889.9884999999995</v>
      </c>
      <c r="T1745" s="20" t="s">
        <v>33</v>
      </c>
      <c r="U1745" s="21" t="s">
        <v>1366</v>
      </c>
      <c r="V1745" s="22">
        <v>40</v>
      </c>
      <c r="W1745" s="22">
        <v>3</v>
      </c>
      <c r="X1745" s="23"/>
    </row>
    <row r="1746" spans="1:24" s="1" customFormat="1" ht="108" customHeight="1" x14ac:dyDescent="0.3">
      <c r="A1746" s="11" t="s">
        <v>23</v>
      </c>
      <c r="B1746" s="11" t="s">
        <v>1394</v>
      </c>
      <c r="C1746" s="12" t="s">
        <v>1395</v>
      </c>
      <c r="D1746" s="13"/>
      <c r="E1746" s="43" t="str">
        <f>HYPERLINK("https://www.google.ru/search?q=A8526-0003&amp;newwindow=1&amp;tbm=isch","Еще фото")</f>
        <v>Еще фото</v>
      </c>
      <c r="F1746" s="14"/>
      <c r="G1746" s="11" t="s">
        <v>1396</v>
      </c>
      <c r="H1746" s="11" t="s">
        <v>27</v>
      </c>
      <c r="I1746" s="15" t="s">
        <v>1351</v>
      </c>
      <c r="J1746" s="15" t="s">
        <v>37</v>
      </c>
      <c r="K1746" s="16" t="s">
        <v>29</v>
      </c>
      <c r="L1746" s="15"/>
      <c r="M1746" s="15"/>
      <c r="N1746" s="15" t="s">
        <v>39</v>
      </c>
      <c r="O1746" s="15"/>
      <c r="P1746" s="16" t="s">
        <v>1397</v>
      </c>
      <c r="Q1746" s="17">
        <v>22099</v>
      </c>
      <c r="R1746" s="18">
        <v>45.25</v>
      </c>
      <c r="S1746" s="19">
        <v>13914.988499999999</v>
      </c>
      <c r="T1746" s="20" t="s">
        <v>33</v>
      </c>
      <c r="U1746" s="21" t="s">
        <v>34</v>
      </c>
      <c r="V1746" s="22">
        <v>48</v>
      </c>
      <c r="W1746" s="22">
        <v>1</v>
      </c>
      <c r="X1746" s="23"/>
    </row>
    <row r="1747" spans="1:24" s="1" customFormat="1" ht="108" customHeight="1" x14ac:dyDescent="0.3">
      <c r="A1747" s="11" t="s">
        <v>23</v>
      </c>
      <c r="B1747" s="11" t="s">
        <v>1348</v>
      </c>
      <c r="C1747" s="12" t="s">
        <v>1398</v>
      </c>
      <c r="D1747" s="13"/>
      <c r="E1747" s="43" t="str">
        <f>HYPERLINK("https://www.google.ru/search?q=LM9RC684-GPD&amp;newwindow=1&amp;tbm=isch","Еще фото")</f>
        <v>Еще фото</v>
      </c>
      <c r="F1747" s="14"/>
      <c r="G1747" s="11" t="s">
        <v>1358</v>
      </c>
      <c r="H1747" s="11" t="s">
        <v>27</v>
      </c>
      <c r="I1747" s="15" t="s">
        <v>1351</v>
      </c>
      <c r="J1747" s="15" t="s">
        <v>28</v>
      </c>
      <c r="K1747" s="16" t="s">
        <v>57</v>
      </c>
      <c r="L1747" s="15" t="s">
        <v>1368</v>
      </c>
      <c r="M1747" s="15"/>
      <c r="N1747" s="15" t="s">
        <v>87</v>
      </c>
      <c r="O1747" s="15"/>
      <c r="P1747" s="16" t="s">
        <v>32</v>
      </c>
      <c r="Q1747" s="17">
        <v>22099</v>
      </c>
      <c r="R1747" s="18">
        <v>45.25</v>
      </c>
      <c r="S1747" s="19">
        <v>13914.988499999999</v>
      </c>
      <c r="T1747" s="20" t="s">
        <v>33</v>
      </c>
      <c r="U1747" s="21" t="s">
        <v>62</v>
      </c>
      <c r="V1747" s="22">
        <v>46</v>
      </c>
      <c r="W1747" s="22">
        <v>1</v>
      </c>
      <c r="X1747" s="23"/>
    </row>
    <row r="1748" spans="1:24" s="1" customFormat="1" ht="108" customHeight="1" x14ac:dyDescent="0.3">
      <c r="A1748" s="11" t="s">
        <v>23</v>
      </c>
      <c r="B1748" s="11" t="s">
        <v>1348</v>
      </c>
      <c r="C1748" s="12" t="s">
        <v>1399</v>
      </c>
      <c r="D1748" s="13"/>
      <c r="E1748" s="43" t="str">
        <f>HYPERLINK("https://www.google.ru/search?q=LM3MC753-LBW&amp;newwindow=1&amp;tbm=isch","Еще фото")</f>
        <v>Еще фото</v>
      </c>
      <c r="F1748" s="14"/>
      <c r="G1748" s="11" t="s">
        <v>1350</v>
      </c>
      <c r="H1748" s="11" t="s">
        <v>27</v>
      </c>
      <c r="I1748" s="15" t="s">
        <v>1351</v>
      </c>
      <c r="J1748" s="15" t="s">
        <v>37</v>
      </c>
      <c r="K1748" s="16" t="s">
        <v>57</v>
      </c>
      <c r="L1748" s="15" t="s">
        <v>1400</v>
      </c>
      <c r="M1748" s="15"/>
      <c r="N1748" s="15" t="s">
        <v>1401</v>
      </c>
      <c r="O1748" s="15"/>
      <c r="P1748" s="16" t="s">
        <v>32</v>
      </c>
      <c r="Q1748" s="17">
        <v>20999</v>
      </c>
      <c r="R1748" s="18">
        <v>45.24</v>
      </c>
      <c r="S1748" s="19">
        <v>13224.988499999999</v>
      </c>
      <c r="T1748" s="20" t="s">
        <v>33</v>
      </c>
      <c r="U1748" s="21" t="s">
        <v>62</v>
      </c>
      <c r="V1748" s="22">
        <v>46</v>
      </c>
      <c r="W1748" s="22">
        <v>1</v>
      </c>
      <c r="X1748" s="23"/>
    </row>
    <row r="1749" spans="1:24" s="1" customFormat="1" ht="108" customHeight="1" x14ac:dyDescent="0.3">
      <c r="A1749" s="11" t="s">
        <v>23</v>
      </c>
      <c r="B1749" s="11" t="s">
        <v>1402</v>
      </c>
      <c r="C1749" s="12" t="s">
        <v>1403</v>
      </c>
      <c r="D1749" s="13"/>
      <c r="E1749" s="43" t="str">
        <f>HYPERLINK("https://www.google.ru/search?q=72334-0599&amp;newwindow=1&amp;tbm=isch","Еще фото")</f>
        <v>Еще фото</v>
      </c>
      <c r="F1749" s="14"/>
      <c r="G1749" s="11" t="s">
        <v>1364</v>
      </c>
      <c r="H1749" s="11" t="s">
        <v>27</v>
      </c>
      <c r="I1749" s="15" t="s">
        <v>1351</v>
      </c>
      <c r="J1749" s="15" t="s">
        <v>28</v>
      </c>
      <c r="K1749" s="16" t="s">
        <v>57</v>
      </c>
      <c r="L1749" s="15" t="s">
        <v>1404</v>
      </c>
      <c r="M1749" s="15" t="s">
        <v>72</v>
      </c>
      <c r="N1749" s="15" t="s">
        <v>138</v>
      </c>
      <c r="O1749" s="15" t="s">
        <v>121</v>
      </c>
      <c r="P1749" s="16" t="s">
        <v>32</v>
      </c>
      <c r="Q1749" s="17">
        <v>16599</v>
      </c>
      <c r="R1749" s="18">
        <v>45.18</v>
      </c>
      <c r="S1749" s="19">
        <v>10464.988499999999</v>
      </c>
      <c r="T1749" s="20" t="s">
        <v>75</v>
      </c>
      <c r="U1749" s="21" t="s">
        <v>61</v>
      </c>
      <c r="V1749" s="22">
        <v>44</v>
      </c>
      <c r="W1749" s="22">
        <v>2</v>
      </c>
      <c r="X1749" s="23"/>
    </row>
    <row r="1750" spans="1:24" s="1" customFormat="1" ht="108" customHeight="1" x14ac:dyDescent="0.3">
      <c r="A1750" s="11" t="s">
        <v>23</v>
      </c>
      <c r="B1750" s="11" t="s">
        <v>1348</v>
      </c>
      <c r="C1750" s="12" t="s">
        <v>1405</v>
      </c>
      <c r="D1750" s="13"/>
      <c r="E1750" s="43" t="str">
        <f>HYPERLINK("https://www.google.ru/search?q=LM1RN593-GRE&amp;newwindow=1&amp;tbm=isch","Еще фото")</f>
        <v>Еще фото</v>
      </c>
      <c r="F1750" s="14"/>
      <c r="G1750" s="11" t="s">
        <v>1350</v>
      </c>
      <c r="H1750" s="11" t="s">
        <v>27</v>
      </c>
      <c r="I1750" s="15" t="s">
        <v>1351</v>
      </c>
      <c r="J1750" s="15" t="s">
        <v>28</v>
      </c>
      <c r="K1750" s="16" t="s">
        <v>57</v>
      </c>
      <c r="L1750" s="15" t="s">
        <v>1406</v>
      </c>
      <c r="M1750" s="15"/>
      <c r="N1750" s="15" t="s">
        <v>87</v>
      </c>
      <c r="O1750" s="15"/>
      <c r="P1750" s="16" t="s">
        <v>1407</v>
      </c>
      <c r="Q1750" s="17">
        <v>24199</v>
      </c>
      <c r="R1750" s="18">
        <v>45.04</v>
      </c>
      <c r="S1750" s="19">
        <v>15294.988499999999</v>
      </c>
      <c r="T1750" s="20" t="s">
        <v>33</v>
      </c>
      <c r="U1750" s="21" t="s">
        <v>62</v>
      </c>
      <c r="V1750" s="22">
        <v>46</v>
      </c>
      <c r="W1750" s="22">
        <v>1</v>
      </c>
      <c r="X1750" s="23"/>
    </row>
    <row r="1751" spans="1:24" s="1" customFormat="1" ht="108" customHeight="1" x14ac:dyDescent="0.3">
      <c r="A1751" s="11" t="s">
        <v>23</v>
      </c>
      <c r="B1751" s="11" t="s">
        <v>1408</v>
      </c>
      <c r="C1751" s="12" t="s">
        <v>1409</v>
      </c>
      <c r="D1751" s="13"/>
      <c r="E1751" s="43" t="str">
        <f>HYPERLINK("https://www.google.ru/search?q=003JF-0000&amp;newwindow=1&amp;tbm=isch","Еще фото")</f>
        <v>Еще фото</v>
      </c>
      <c r="F1751" s="14"/>
      <c r="G1751" s="11" t="s">
        <v>1350</v>
      </c>
      <c r="H1751" s="11" t="s">
        <v>27</v>
      </c>
      <c r="I1751" s="15" t="s">
        <v>1351</v>
      </c>
      <c r="J1751" s="15" t="s">
        <v>28</v>
      </c>
      <c r="K1751" s="16" t="s">
        <v>29</v>
      </c>
      <c r="L1751" s="15" t="s">
        <v>1410</v>
      </c>
      <c r="M1751" s="15"/>
      <c r="N1751" s="15" t="s">
        <v>99</v>
      </c>
      <c r="O1751" s="15"/>
      <c r="P1751" s="16" t="s">
        <v>32</v>
      </c>
      <c r="Q1751" s="17">
        <v>24199</v>
      </c>
      <c r="R1751" s="18">
        <v>45</v>
      </c>
      <c r="S1751" s="19">
        <v>15305.8675</v>
      </c>
      <c r="T1751" s="20" t="s">
        <v>33</v>
      </c>
      <c r="U1751" s="21" t="s">
        <v>62</v>
      </c>
      <c r="V1751" s="22">
        <v>44</v>
      </c>
      <c r="W1751" s="22">
        <v>3</v>
      </c>
      <c r="X1751" s="23"/>
    </row>
    <row r="1752" spans="1:24" s="1" customFormat="1" ht="35" customHeight="1" x14ac:dyDescent="0.3">
      <c r="A1752" s="11" t="s">
        <v>23</v>
      </c>
      <c r="B1752" s="11" t="s">
        <v>1411</v>
      </c>
      <c r="C1752" s="12" t="s">
        <v>1412</v>
      </c>
      <c r="D1752" s="57"/>
      <c r="E1752" s="43" t="str">
        <f>HYPERLINK("https://www.google.ru/search?q=005AL-0000&amp;newwindow=1&amp;tbm=isch","Еще фото")</f>
        <v>Еще фото</v>
      </c>
      <c r="F1752" s="14" t="s">
        <v>182</v>
      </c>
      <c r="G1752" s="11" t="s">
        <v>1350</v>
      </c>
      <c r="H1752" s="11" t="s">
        <v>27</v>
      </c>
      <c r="I1752" s="15" t="s">
        <v>1351</v>
      </c>
      <c r="J1752" s="15" t="s">
        <v>37</v>
      </c>
      <c r="K1752" s="16" t="s">
        <v>57</v>
      </c>
      <c r="L1752" s="60" t="s">
        <v>1413</v>
      </c>
      <c r="M1752" s="15"/>
      <c r="N1752" s="15" t="s">
        <v>39</v>
      </c>
      <c r="O1752" s="15"/>
      <c r="P1752" s="16" t="s">
        <v>1414</v>
      </c>
      <c r="Q1752" s="17">
        <v>25599</v>
      </c>
      <c r="R1752" s="18">
        <v>45</v>
      </c>
      <c r="S1752" s="19">
        <v>16191.3675</v>
      </c>
      <c r="T1752" s="20" t="s">
        <v>33</v>
      </c>
      <c r="U1752" s="21" t="s">
        <v>62</v>
      </c>
      <c r="V1752" s="22">
        <v>46</v>
      </c>
      <c r="W1752" s="22">
        <v>1</v>
      </c>
      <c r="X1752" s="23"/>
    </row>
    <row r="1753" spans="1:24" s="1" customFormat="1" ht="35" customHeight="1" x14ac:dyDescent="0.3">
      <c r="A1753" s="24" t="s">
        <v>23</v>
      </c>
      <c r="B1753" s="24" t="s">
        <v>1411</v>
      </c>
      <c r="C1753" s="12" t="s">
        <v>1412</v>
      </c>
      <c r="D1753" s="58"/>
      <c r="E1753" s="43" t="str">
        <f>HYPERLINK("https://www.google.ru/search?q=005AL-0000&amp;newwindow=1&amp;tbm=isch","Еще фото")</f>
        <v>Еще фото</v>
      </c>
      <c r="F1753" s="14" t="s">
        <v>182</v>
      </c>
      <c r="G1753" s="24" t="s">
        <v>1350</v>
      </c>
      <c r="H1753" s="24" t="s">
        <v>27</v>
      </c>
      <c r="I1753" s="24" t="s">
        <v>1351</v>
      </c>
      <c r="J1753" s="15" t="s">
        <v>37</v>
      </c>
      <c r="K1753" s="16" t="s">
        <v>57</v>
      </c>
      <c r="L1753" s="61"/>
      <c r="M1753" s="15"/>
      <c r="N1753" s="15" t="s">
        <v>39</v>
      </c>
      <c r="O1753" s="15"/>
      <c r="P1753" s="16" t="s">
        <v>1414</v>
      </c>
      <c r="Q1753" s="17">
        <v>25599</v>
      </c>
      <c r="R1753" s="18">
        <v>45</v>
      </c>
      <c r="S1753" s="19">
        <v>16191.3675</v>
      </c>
      <c r="T1753" s="20" t="s">
        <v>33</v>
      </c>
      <c r="U1753" s="21" t="s">
        <v>34</v>
      </c>
      <c r="V1753" s="25" t="s">
        <v>90</v>
      </c>
      <c r="W1753" s="22">
        <v>1</v>
      </c>
      <c r="X1753" s="23"/>
    </row>
    <row r="1754" spans="1:24" s="1" customFormat="1" ht="37.049999999999997" customHeight="1" x14ac:dyDescent="0.3">
      <c r="A1754" s="24" t="s">
        <v>23</v>
      </c>
      <c r="B1754" s="24" t="s">
        <v>1411</v>
      </c>
      <c r="C1754" s="12" t="s">
        <v>1412</v>
      </c>
      <c r="D1754" s="59"/>
      <c r="E1754" s="43" t="str">
        <f>HYPERLINK("https://www.google.ru/search?q=005AL-0000&amp;newwindow=1&amp;tbm=isch","Еще фото")</f>
        <v>Еще фото</v>
      </c>
      <c r="F1754" s="14" t="s">
        <v>182</v>
      </c>
      <c r="G1754" s="24" t="s">
        <v>1350</v>
      </c>
      <c r="H1754" s="24" t="s">
        <v>27</v>
      </c>
      <c r="I1754" s="24" t="s">
        <v>1351</v>
      </c>
      <c r="J1754" s="15" t="s">
        <v>37</v>
      </c>
      <c r="K1754" s="16" t="s">
        <v>57</v>
      </c>
      <c r="L1754" s="62"/>
      <c r="M1754" s="15"/>
      <c r="N1754" s="15" t="s">
        <v>39</v>
      </c>
      <c r="O1754" s="15"/>
      <c r="P1754" s="16" t="s">
        <v>1414</v>
      </c>
      <c r="Q1754" s="17">
        <v>25599</v>
      </c>
      <c r="R1754" s="18">
        <v>45</v>
      </c>
      <c r="S1754" s="19">
        <v>16191.3675</v>
      </c>
      <c r="T1754" s="20" t="s">
        <v>33</v>
      </c>
      <c r="U1754" s="21" t="s">
        <v>150</v>
      </c>
      <c r="V1754" s="25" t="s">
        <v>761</v>
      </c>
      <c r="W1754" s="22">
        <v>2</v>
      </c>
      <c r="X1754" s="23"/>
    </row>
    <row r="1755" spans="1:24" s="1" customFormat="1" ht="108" customHeight="1" x14ac:dyDescent="0.3">
      <c r="A1755" s="11" t="s">
        <v>23</v>
      </c>
      <c r="B1755" s="11" t="s">
        <v>1411</v>
      </c>
      <c r="C1755" s="12" t="s">
        <v>1415</v>
      </c>
      <c r="D1755" s="13"/>
      <c r="E1755" s="43" t="str">
        <f>HYPERLINK("https://www.google.ru/search?q=005AL-0001&amp;newwindow=1&amp;tbm=isch","Еще фото")</f>
        <v>Еще фото</v>
      </c>
      <c r="F1755" s="14" t="s">
        <v>182</v>
      </c>
      <c r="G1755" s="11" t="s">
        <v>1350</v>
      </c>
      <c r="H1755" s="11" t="s">
        <v>27</v>
      </c>
      <c r="I1755" s="15" t="s">
        <v>1351</v>
      </c>
      <c r="J1755" s="15" t="s">
        <v>37</v>
      </c>
      <c r="K1755" s="16" t="s">
        <v>57</v>
      </c>
      <c r="L1755" s="15" t="s">
        <v>1413</v>
      </c>
      <c r="M1755" s="15"/>
      <c r="N1755" s="15" t="s">
        <v>83</v>
      </c>
      <c r="O1755" s="15"/>
      <c r="P1755" s="16" t="s">
        <v>1414</v>
      </c>
      <c r="Q1755" s="17">
        <v>25599</v>
      </c>
      <c r="R1755" s="18">
        <v>45</v>
      </c>
      <c r="S1755" s="19">
        <v>16191.3675</v>
      </c>
      <c r="T1755" s="20" t="s">
        <v>33</v>
      </c>
      <c r="U1755" s="21" t="s">
        <v>64</v>
      </c>
      <c r="V1755" s="22">
        <v>48</v>
      </c>
      <c r="W1755" s="22">
        <v>1</v>
      </c>
      <c r="X1755" s="23"/>
    </row>
    <row r="1756" spans="1:24" s="1" customFormat="1" ht="35" customHeight="1" x14ac:dyDescent="0.3">
      <c r="A1756" s="11" t="s">
        <v>23</v>
      </c>
      <c r="B1756" s="11" t="s">
        <v>1416</v>
      </c>
      <c r="C1756" s="12" t="s">
        <v>1417</v>
      </c>
      <c r="D1756" s="57"/>
      <c r="E1756" s="43" t="str">
        <f>HYPERLINK("https://www.google.ru/search?q=005AZ-0002&amp;newwindow=1&amp;tbm=isch","Еще фото")</f>
        <v>Еще фото</v>
      </c>
      <c r="F1756" s="14"/>
      <c r="G1756" s="11" t="s">
        <v>1350</v>
      </c>
      <c r="H1756" s="11" t="s">
        <v>27</v>
      </c>
      <c r="I1756" s="15" t="s">
        <v>1351</v>
      </c>
      <c r="J1756" s="15" t="s">
        <v>37</v>
      </c>
      <c r="K1756" s="16" t="s">
        <v>29</v>
      </c>
      <c r="L1756" s="60"/>
      <c r="M1756" s="15"/>
      <c r="N1756" s="15" t="s">
        <v>39</v>
      </c>
      <c r="O1756" s="15"/>
      <c r="P1756" s="16" t="s">
        <v>1418</v>
      </c>
      <c r="Q1756" s="17">
        <v>16199</v>
      </c>
      <c r="R1756" s="18">
        <v>45</v>
      </c>
      <c r="S1756" s="19">
        <v>10245.8675</v>
      </c>
      <c r="T1756" s="20" t="s">
        <v>33</v>
      </c>
      <c r="U1756" s="21" t="s">
        <v>62</v>
      </c>
      <c r="V1756" s="22">
        <v>44</v>
      </c>
      <c r="W1756" s="22">
        <v>12</v>
      </c>
      <c r="X1756" s="23"/>
    </row>
    <row r="1757" spans="1:24" s="1" customFormat="1" ht="35" customHeight="1" x14ac:dyDescent="0.3">
      <c r="A1757" s="24" t="s">
        <v>23</v>
      </c>
      <c r="B1757" s="24" t="s">
        <v>1416</v>
      </c>
      <c r="C1757" s="12" t="s">
        <v>1417</v>
      </c>
      <c r="D1757" s="58"/>
      <c r="E1757" s="43" t="str">
        <f>HYPERLINK("https://www.google.ru/search?q=005AZ-0002&amp;newwindow=1&amp;tbm=isch","Еще фото")</f>
        <v>Еще фото</v>
      </c>
      <c r="F1757" s="14"/>
      <c r="G1757" s="24" t="s">
        <v>1350</v>
      </c>
      <c r="H1757" s="24" t="s">
        <v>27</v>
      </c>
      <c r="I1757" s="24" t="s">
        <v>1351</v>
      </c>
      <c r="J1757" s="15" t="s">
        <v>37</v>
      </c>
      <c r="K1757" s="16" t="s">
        <v>29</v>
      </c>
      <c r="L1757" s="61"/>
      <c r="M1757" s="15"/>
      <c r="N1757" s="15" t="s">
        <v>39</v>
      </c>
      <c r="O1757" s="15"/>
      <c r="P1757" s="16" t="s">
        <v>1418</v>
      </c>
      <c r="Q1757" s="17">
        <v>16199</v>
      </c>
      <c r="R1757" s="18">
        <v>45</v>
      </c>
      <c r="S1757" s="19">
        <v>10245.8675</v>
      </c>
      <c r="T1757" s="20" t="s">
        <v>33</v>
      </c>
      <c r="U1757" s="21" t="s">
        <v>64</v>
      </c>
      <c r="V1757" s="22">
        <v>46</v>
      </c>
      <c r="W1757" s="22">
        <v>20</v>
      </c>
      <c r="X1757" s="23"/>
    </row>
    <row r="1758" spans="1:24" s="1" customFormat="1" ht="37.049999999999997" customHeight="1" x14ac:dyDescent="0.3">
      <c r="A1758" s="24" t="s">
        <v>23</v>
      </c>
      <c r="B1758" s="24" t="s">
        <v>1416</v>
      </c>
      <c r="C1758" s="12" t="s">
        <v>1417</v>
      </c>
      <c r="D1758" s="59"/>
      <c r="E1758" s="43" t="str">
        <f>HYPERLINK("https://www.google.ru/search?q=005AZ-0002&amp;newwindow=1&amp;tbm=isch","Еще фото")</f>
        <v>Еще фото</v>
      </c>
      <c r="F1758" s="14"/>
      <c r="G1758" s="24" t="s">
        <v>1350</v>
      </c>
      <c r="H1758" s="24" t="s">
        <v>27</v>
      </c>
      <c r="I1758" s="24" t="s">
        <v>1351</v>
      </c>
      <c r="J1758" s="15" t="s">
        <v>37</v>
      </c>
      <c r="K1758" s="16" t="s">
        <v>29</v>
      </c>
      <c r="L1758" s="62"/>
      <c r="M1758" s="15"/>
      <c r="N1758" s="15" t="s">
        <v>39</v>
      </c>
      <c r="O1758" s="15"/>
      <c r="P1758" s="16" t="s">
        <v>1418</v>
      </c>
      <c r="Q1758" s="17">
        <v>16199</v>
      </c>
      <c r="R1758" s="18">
        <v>45</v>
      </c>
      <c r="S1758" s="19">
        <v>10245.8675</v>
      </c>
      <c r="T1758" s="20" t="s">
        <v>33</v>
      </c>
      <c r="U1758" s="21" t="s">
        <v>34</v>
      </c>
      <c r="V1758" s="22">
        <v>48</v>
      </c>
      <c r="W1758" s="22">
        <v>20</v>
      </c>
      <c r="X1758" s="23"/>
    </row>
    <row r="1759" spans="1:24" s="1" customFormat="1" ht="35" customHeight="1" x14ac:dyDescent="0.3">
      <c r="A1759" s="11" t="s">
        <v>23</v>
      </c>
      <c r="B1759" s="11" t="s">
        <v>1419</v>
      </c>
      <c r="C1759" s="12" t="s">
        <v>1420</v>
      </c>
      <c r="D1759" s="57"/>
      <c r="E1759" s="43" t="str">
        <f>HYPERLINK("https://www.google.ru/search?q=006RQ-0001&amp;newwindow=1&amp;tbm=isch","Еще фото")</f>
        <v>Еще фото</v>
      </c>
      <c r="F1759" s="14"/>
      <c r="G1759" s="11" t="s">
        <v>1350</v>
      </c>
      <c r="H1759" s="11" t="s">
        <v>27</v>
      </c>
      <c r="I1759" s="15" t="s">
        <v>1351</v>
      </c>
      <c r="J1759" s="15" t="s">
        <v>37</v>
      </c>
      <c r="K1759" s="16" t="s">
        <v>29</v>
      </c>
      <c r="L1759" s="60"/>
      <c r="M1759" s="15"/>
      <c r="N1759" s="15" t="s">
        <v>39</v>
      </c>
      <c r="O1759" s="15"/>
      <c r="P1759" s="16" t="s">
        <v>40</v>
      </c>
      <c r="Q1759" s="17">
        <v>27799</v>
      </c>
      <c r="R1759" s="18">
        <v>45</v>
      </c>
      <c r="S1759" s="19">
        <v>17582.8675</v>
      </c>
      <c r="T1759" s="20" t="s">
        <v>33</v>
      </c>
      <c r="U1759" s="21" t="s">
        <v>62</v>
      </c>
      <c r="V1759" s="22">
        <v>44</v>
      </c>
      <c r="W1759" s="22">
        <v>9</v>
      </c>
      <c r="X1759" s="23"/>
    </row>
    <row r="1760" spans="1:24" s="1" customFormat="1" ht="35" customHeight="1" x14ac:dyDescent="0.3">
      <c r="A1760" s="24" t="s">
        <v>23</v>
      </c>
      <c r="B1760" s="24" t="s">
        <v>1419</v>
      </c>
      <c r="C1760" s="12" t="s">
        <v>1420</v>
      </c>
      <c r="D1760" s="58"/>
      <c r="E1760" s="43" t="str">
        <f>HYPERLINK("https://www.google.ru/search?q=006RQ-0001&amp;newwindow=1&amp;tbm=isch","Еще фото")</f>
        <v>Еще фото</v>
      </c>
      <c r="F1760" s="14"/>
      <c r="G1760" s="24" t="s">
        <v>1350</v>
      </c>
      <c r="H1760" s="24" t="s">
        <v>27</v>
      </c>
      <c r="I1760" s="24" t="s">
        <v>1351</v>
      </c>
      <c r="J1760" s="15" t="s">
        <v>37</v>
      </c>
      <c r="K1760" s="16" t="s">
        <v>29</v>
      </c>
      <c r="L1760" s="61"/>
      <c r="M1760" s="15"/>
      <c r="N1760" s="15" t="s">
        <v>39</v>
      </c>
      <c r="O1760" s="15"/>
      <c r="P1760" s="16" t="s">
        <v>40</v>
      </c>
      <c r="Q1760" s="17">
        <v>27799</v>
      </c>
      <c r="R1760" s="18">
        <v>45</v>
      </c>
      <c r="S1760" s="19">
        <v>17582.8675</v>
      </c>
      <c r="T1760" s="20" t="s">
        <v>33</v>
      </c>
      <c r="U1760" s="21" t="s">
        <v>64</v>
      </c>
      <c r="V1760" s="22">
        <v>46</v>
      </c>
      <c r="W1760" s="22">
        <v>10</v>
      </c>
      <c r="X1760" s="23"/>
    </row>
    <row r="1761" spans="1:24" s="1" customFormat="1" ht="37.049999999999997" customHeight="1" x14ac:dyDescent="0.3">
      <c r="A1761" s="24" t="s">
        <v>23</v>
      </c>
      <c r="B1761" s="24" t="s">
        <v>1419</v>
      </c>
      <c r="C1761" s="12" t="s">
        <v>1420</v>
      </c>
      <c r="D1761" s="59"/>
      <c r="E1761" s="43" t="str">
        <f>HYPERLINK("https://www.google.ru/search?q=006RQ-0001&amp;newwindow=1&amp;tbm=isch","Еще фото")</f>
        <v>Еще фото</v>
      </c>
      <c r="F1761" s="14"/>
      <c r="G1761" s="24" t="s">
        <v>1350</v>
      </c>
      <c r="H1761" s="24" t="s">
        <v>27</v>
      </c>
      <c r="I1761" s="24" t="s">
        <v>1351</v>
      </c>
      <c r="J1761" s="15" t="s">
        <v>37</v>
      </c>
      <c r="K1761" s="16" t="s">
        <v>29</v>
      </c>
      <c r="L1761" s="62"/>
      <c r="M1761" s="15"/>
      <c r="N1761" s="15" t="s">
        <v>39</v>
      </c>
      <c r="O1761" s="15"/>
      <c r="P1761" s="16" t="s">
        <v>40</v>
      </c>
      <c r="Q1761" s="17">
        <v>27799</v>
      </c>
      <c r="R1761" s="18">
        <v>45</v>
      </c>
      <c r="S1761" s="19">
        <v>17582.8675</v>
      </c>
      <c r="T1761" s="20" t="s">
        <v>33</v>
      </c>
      <c r="U1761" s="21" t="s">
        <v>34</v>
      </c>
      <c r="V1761" s="22">
        <v>48</v>
      </c>
      <c r="W1761" s="22">
        <v>10</v>
      </c>
      <c r="X1761" s="23"/>
    </row>
    <row r="1762" spans="1:24" s="1" customFormat="1" ht="108" customHeight="1" x14ac:dyDescent="0.3">
      <c r="A1762" s="11" t="s">
        <v>23</v>
      </c>
      <c r="B1762" s="11" t="s">
        <v>1419</v>
      </c>
      <c r="C1762" s="12" t="s">
        <v>1421</v>
      </c>
      <c r="D1762" s="13"/>
      <c r="E1762" s="43" t="str">
        <f>HYPERLINK("https://www.google.ru/search?q=006RQ-0004&amp;newwindow=1&amp;tbm=isch","Еще фото")</f>
        <v>Еще фото</v>
      </c>
      <c r="F1762" s="14"/>
      <c r="G1762" s="11" t="s">
        <v>1350</v>
      </c>
      <c r="H1762" s="11" t="s">
        <v>27</v>
      </c>
      <c r="I1762" s="15" t="s">
        <v>1351</v>
      </c>
      <c r="J1762" s="15" t="s">
        <v>37</v>
      </c>
      <c r="K1762" s="16" t="s">
        <v>29</v>
      </c>
      <c r="L1762" s="15"/>
      <c r="M1762" s="15"/>
      <c r="N1762" s="15" t="s">
        <v>288</v>
      </c>
      <c r="O1762" s="15"/>
      <c r="P1762" s="16" t="s">
        <v>40</v>
      </c>
      <c r="Q1762" s="17">
        <v>27799</v>
      </c>
      <c r="R1762" s="18">
        <v>45</v>
      </c>
      <c r="S1762" s="19">
        <v>17582.8675</v>
      </c>
      <c r="T1762" s="20" t="s">
        <v>33</v>
      </c>
      <c r="U1762" s="21" t="s">
        <v>62</v>
      </c>
      <c r="V1762" s="22">
        <v>44</v>
      </c>
      <c r="W1762" s="22">
        <v>1</v>
      </c>
      <c r="X1762" s="23"/>
    </row>
    <row r="1763" spans="1:24" s="1" customFormat="1" ht="35" customHeight="1" x14ac:dyDescent="0.3">
      <c r="A1763" s="11" t="s">
        <v>23</v>
      </c>
      <c r="B1763" s="11" t="s">
        <v>1422</v>
      </c>
      <c r="C1763" s="12" t="s">
        <v>1423</v>
      </c>
      <c r="D1763" s="57"/>
      <c r="E1763" s="43" t="str">
        <f>HYPERLINK("https://www.google.ru/search?q=006RY-0000&amp;newwindow=1&amp;tbm=isch","Еще фото")</f>
        <v>Еще фото</v>
      </c>
      <c r="F1763" s="14"/>
      <c r="G1763" s="11" t="s">
        <v>1350</v>
      </c>
      <c r="H1763" s="11" t="s">
        <v>27</v>
      </c>
      <c r="I1763" s="15" t="s">
        <v>1351</v>
      </c>
      <c r="J1763" s="15" t="s">
        <v>37</v>
      </c>
      <c r="K1763" s="16" t="s">
        <v>29</v>
      </c>
      <c r="L1763" s="60"/>
      <c r="M1763" s="15"/>
      <c r="N1763" s="15" t="s">
        <v>156</v>
      </c>
      <c r="O1763" s="15"/>
      <c r="P1763" s="16" t="s">
        <v>40</v>
      </c>
      <c r="Q1763" s="17">
        <v>30899</v>
      </c>
      <c r="R1763" s="18">
        <v>45</v>
      </c>
      <c r="S1763" s="19">
        <v>19543.6175</v>
      </c>
      <c r="T1763" s="20" t="s">
        <v>33</v>
      </c>
      <c r="U1763" s="21" t="s">
        <v>62</v>
      </c>
      <c r="V1763" s="22">
        <v>44</v>
      </c>
      <c r="W1763" s="22">
        <v>12</v>
      </c>
      <c r="X1763" s="23"/>
    </row>
    <row r="1764" spans="1:24" s="1" customFormat="1" ht="35" customHeight="1" x14ac:dyDescent="0.3">
      <c r="A1764" s="24" t="s">
        <v>23</v>
      </c>
      <c r="B1764" s="24" t="s">
        <v>1422</v>
      </c>
      <c r="C1764" s="12" t="s">
        <v>1423</v>
      </c>
      <c r="D1764" s="58"/>
      <c r="E1764" s="43" t="str">
        <f>HYPERLINK("https://www.google.ru/search?q=006RY-0000&amp;newwindow=1&amp;tbm=isch","Еще фото")</f>
        <v>Еще фото</v>
      </c>
      <c r="F1764" s="14"/>
      <c r="G1764" s="24" t="s">
        <v>1350</v>
      </c>
      <c r="H1764" s="24" t="s">
        <v>27</v>
      </c>
      <c r="I1764" s="24" t="s">
        <v>1351</v>
      </c>
      <c r="J1764" s="15" t="s">
        <v>37</v>
      </c>
      <c r="K1764" s="16" t="s">
        <v>29</v>
      </c>
      <c r="L1764" s="61"/>
      <c r="M1764" s="15"/>
      <c r="N1764" s="15" t="s">
        <v>156</v>
      </c>
      <c r="O1764" s="15"/>
      <c r="P1764" s="16" t="s">
        <v>40</v>
      </c>
      <c r="Q1764" s="17">
        <v>30899</v>
      </c>
      <c r="R1764" s="18">
        <v>45</v>
      </c>
      <c r="S1764" s="19">
        <v>19543.6175</v>
      </c>
      <c r="T1764" s="20" t="s">
        <v>33</v>
      </c>
      <c r="U1764" s="21" t="s">
        <v>64</v>
      </c>
      <c r="V1764" s="22">
        <v>46</v>
      </c>
      <c r="W1764" s="22">
        <v>20</v>
      </c>
      <c r="X1764" s="23"/>
    </row>
    <row r="1765" spans="1:24" s="1" customFormat="1" ht="37.049999999999997" customHeight="1" x14ac:dyDescent="0.3">
      <c r="A1765" s="24" t="s">
        <v>23</v>
      </c>
      <c r="B1765" s="24" t="s">
        <v>1422</v>
      </c>
      <c r="C1765" s="12" t="s">
        <v>1423</v>
      </c>
      <c r="D1765" s="59"/>
      <c r="E1765" s="43" t="str">
        <f>HYPERLINK("https://www.google.ru/search?q=006RY-0000&amp;newwindow=1&amp;tbm=isch","Еще фото")</f>
        <v>Еще фото</v>
      </c>
      <c r="F1765" s="14"/>
      <c r="G1765" s="24" t="s">
        <v>1350</v>
      </c>
      <c r="H1765" s="24" t="s">
        <v>27</v>
      </c>
      <c r="I1765" s="24" t="s">
        <v>1351</v>
      </c>
      <c r="J1765" s="15" t="s">
        <v>37</v>
      </c>
      <c r="K1765" s="16" t="s">
        <v>29</v>
      </c>
      <c r="L1765" s="62"/>
      <c r="M1765" s="15"/>
      <c r="N1765" s="15" t="s">
        <v>156</v>
      </c>
      <c r="O1765" s="15"/>
      <c r="P1765" s="16" t="s">
        <v>40</v>
      </c>
      <c r="Q1765" s="17">
        <v>30899</v>
      </c>
      <c r="R1765" s="18">
        <v>45</v>
      </c>
      <c r="S1765" s="19">
        <v>19543.6175</v>
      </c>
      <c r="T1765" s="20" t="s">
        <v>33</v>
      </c>
      <c r="U1765" s="21" t="s">
        <v>34</v>
      </c>
      <c r="V1765" s="22">
        <v>48</v>
      </c>
      <c r="W1765" s="22">
        <v>20</v>
      </c>
      <c r="X1765" s="23"/>
    </row>
    <row r="1766" spans="1:24" s="1" customFormat="1" ht="26" customHeight="1" x14ac:dyDescent="0.3">
      <c r="A1766" s="11" t="s">
        <v>23</v>
      </c>
      <c r="B1766" s="11" t="s">
        <v>1424</v>
      </c>
      <c r="C1766" s="12" t="s">
        <v>1425</v>
      </c>
      <c r="D1766" s="57"/>
      <c r="E1766" s="43" t="str">
        <f>HYPERLINK("https://www.google.ru/search?q=007RY-0002&amp;newwindow=1&amp;tbm=isch","Еще фото")</f>
        <v>Еще фото</v>
      </c>
      <c r="F1766" s="34" t="s">
        <v>469</v>
      </c>
      <c r="G1766" s="11" t="s">
        <v>1350</v>
      </c>
      <c r="H1766" s="11" t="s">
        <v>27</v>
      </c>
      <c r="I1766" s="15" t="s">
        <v>1351</v>
      </c>
      <c r="J1766" s="15" t="s">
        <v>37</v>
      </c>
      <c r="K1766" s="16" t="s">
        <v>57</v>
      </c>
      <c r="L1766" s="60"/>
      <c r="M1766" s="15"/>
      <c r="N1766" s="15" t="s">
        <v>156</v>
      </c>
      <c r="O1766" s="15"/>
      <c r="P1766" s="16" t="s">
        <v>32</v>
      </c>
      <c r="Q1766" s="17">
        <v>20099</v>
      </c>
      <c r="R1766" s="18">
        <v>45</v>
      </c>
      <c r="S1766" s="19">
        <v>12712.6175</v>
      </c>
      <c r="T1766" s="20" t="s">
        <v>33</v>
      </c>
      <c r="U1766" s="21" t="s">
        <v>62</v>
      </c>
      <c r="V1766" s="22">
        <v>46</v>
      </c>
      <c r="W1766" s="22">
        <v>11</v>
      </c>
      <c r="X1766" s="23"/>
    </row>
    <row r="1767" spans="1:24" s="1" customFormat="1" ht="26" customHeight="1" x14ac:dyDescent="0.3">
      <c r="A1767" s="24" t="s">
        <v>23</v>
      </c>
      <c r="B1767" s="24" t="s">
        <v>1424</v>
      </c>
      <c r="C1767" s="12" t="s">
        <v>1425</v>
      </c>
      <c r="D1767" s="58"/>
      <c r="E1767" s="43" t="str">
        <f>HYPERLINK("https://www.google.ru/search?q=007RY-0002&amp;newwindow=1&amp;tbm=isch","Еще фото")</f>
        <v>Еще фото</v>
      </c>
      <c r="F1767" s="34" t="s">
        <v>469</v>
      </c>
      <c r="G1767" s="24" t="s">
        <v>1350</v>
      </c>
      <c r="H1767" s="24" t="s">
        <v>27</v>
      </c>
      <c r="I1767" s="24" t="s">
        <v>1351</v>
      </c>
      <c r="J1767" s="15" t="s">
        <v>37</v>
      </c>
      <c r="K1767" s="16" t="s">
        <v>57</v>
      </c>
      <c r="L1767" s="61"/>
      <c r="M1767" s="15"/>
      <c r="N1767" s="15" t="s">
        <v>156</v>
      </c>
      <c r="O1767" s="15"/>
      <c r="P1767" s="16" t="s">
        <v>32</v>
      </c>
      <c r="Q1767" s="17">
        <v>20099</v>
      </c>
      <c r="R1767" s="18">
        <v>45</v>
      </c>
      <c r="S1767" s="19">
        <v>12712.6175</v>
      </c>
      <c r="T1767" s="20" t="s">
        <v>33</v>
      </c>
      <c r="U1767" s="21" t="s">
        <v>64</v>
      </c>
      <c r="V1767" s="22">
        <v>48</v>
      </c>
      <c r="W1767" s="22">
        <v>25</v>
      </c>
      <c r="X1767" s="23"/>
    </row>
    <row r="1768" spans="1:24" s="1" customFormat="1" ht="26" customHeight="1" x14ac:dyDescent="0.3">
      <c r="A1768" s="24" t="s">
        <v>23</v>
      </c>
      <c r="B1768" s="24" t="s">
        <v>1424</v>
      </c>
      <c r="C1768" s="12" t="s">
        <v>1425</v>
      </c>
      <c r="D1768" s="58"/>
      <c r="E1768" s="43" t="str">
        <f>HYPERLINK("https://www.google.ru/search?q=007RY-0002&amp;newwindow=1&amp;tbm=isch","Еще фото")</f>
        <v>Еще фото</v>
      </c>
      <c r="F1768" s="34" t="s">
        <v>469</v>
      </c>
      <c r="G1768" s="24" t="s">
        <v>1350</v>
      </c>
      <c r="H1768" s="24" t="s">
        <v>27</v>
      </c>
      <c r="I1768" s="24" t="s">
        <v>1351</v>
      </c>
      <c r="J1768" s="15" t="s">
        <v>37</v>
      </c>
      <c r="K1768" s="16" t="s">
        <v>57</v>
      </c>
      <c r="L1768" s="61"/>
      <c r="M1768" s="15"/>
      <c r="N1768" s="15" t="s">
        <v>156</v>
      </c>
      <c r="O1768" s="15"/>
      <c r="P1768" s="16" t="s">
        <v>32</v>
      </c>
      <c r="Q1768" s="17">
        <v>20099</v>
      </c>
      <c r="R1768" s="18">
        <v>45</v>
      </c>
      <c r="S1768" s="19">
        <v>12712.6175</v>
      </c>
      <c r="T1768" s="20" t="s">
        <v>33</v>
      </c>
      <c r="U1768" s="21" t="s">
        <v>34</v>
      </c>
      <c r="V1768" s="25" t="s">
        <v>90</v>
      </c>
      <c r="W1768" s="22">
        <v>33</v>
      </c>
      <c r="X1768" s="23"/>
    </row>
    <row r="1769" spans="1:24" s="1" customFormat="1" ht="26" customHeight="1" x14ac:dyDescent="0.3">
      <c r="A1769" s="24" t="s">
        <v>23</v>
      </c>
      <c r="B1769" s="24" t="s">
        <v>1424</v>
      </c>
      <c r="C1769" s="12" t="s">
        <v>1425</v>
      </c>
      <c r="D1769" s="59"/>
      <c r="E1769" s="43" t="str">
        <f>HYPERLINK("https://www.google.ru/search?q=007RY-0002&amp;newwindow=1&amp;tbm=isch","Еще фото")</f>
        <v>Еще фото</v>
      </c>
      <c r="F1769" s="34" t="s">
        <v>469</v>
      </c>
      <c r="G1769" s="24" t="s">
        <v>1350</v>
      </c>
      <c r="H1769" s="24" t="s">
        <v>27</v>
      </c>
      <c r="I1769" s="24" t="s">
        <v>1351</v>
      </c>
      <c r="J1769" s="15" t="s">
        <v>37</v>
      </c>
      <c r="K1769" s="16" t="s">
        <v>57</v>
      </c>
      <c r="L1769" s="62"/>
      <c r="M1769" s="15"/>
      <c r="N1769" s="15" t="s">
        <v>156</v>
      </c>
      <c r="O1769" s="15"/>
      <c r="P1769" s="16" t="s">
        <v>32</v>
      </c>
      <c r="Q1769" s="17">
        <v>20099</v>
      </c>
      <c r="R1769" s="18">
        <v>45</v>
      </c>
      <c r="S1769" s="19">
        <v>12712.6175</v>
      </c>
      <c r="T1769" s="20" t="s">
        <v>33</v>
      </c>
      <c r="U1769" s="21" t="s">
        <v>150</v>
      </c>
      <c r="V1769" s="25" t="s">
        <v>761</v>
      </c>
      <c r="W1769" s="22">
        <v>11</v>
      </c>
      <c r="X1769" s="23"/>
    </row>
    <row r="1770" spans="1:24" s="1" customFormat="1" ht="26" customHeight="1" x14ac:dyDescent="0.3">
      <c r="A1770" s="11" t="s">
        <v>23</v>
      </c>
      <c r="B1770" s="11" t="s">
        <v>1424</v>
      </c>
      <c r="C1770" s="12" t="s">
        <v>1426</v>
      </c>
      <c r="D1770" s="57"/>
      <c r="E1770" s="43" t="str">
        <f>HYPERLINK("https://www.google.ru/search?q=007RY-0003&amp;newwindow=1&amp;tbm=isch","Еще фото")</f>
        <v>Еще фото</v>
      </c>
      <c r="F1770" s="34" t="s">
        <v>469</v>
      </c>
      <c r="G1770" s="11" t="s">
        <v>1350</v>
      </c>
      <c r="H1770" s="11" t="s">
        <v>27</v>
      </c>
      <c r="I1770" s="15" t="s">
        <v>1351</v>
      </c>
      <c r="J1770" s="15" t="s">
        <v>37</v>
      </c>
      <c r="K1770" s="16" t="s">
        <v>57</v>
      </c>
      <c r="L1770" s="60"/>
      <c r="M1770" s="15"/>
      <c r="N1770" s="15" t="s">
        <v>130</v>
      </c>
      <c r="O1770" s="15"/>
      <c r="P1770" s="16" t="s">
        <v>32</v>
      </c>
      <c r="Q1770" s="17">
        <v>20099</v>
      </c>
      <c r="R1770" s="18">
        <v>45</v>
      </c>
      <c r="S1770" s="19">
        <v>12712.6175</v>
      </c>
      <c r="T1770" s="20" t="s">
        <v>33</v>
      </c>
      <c r="U1770" s="21" t="s">
        <v>62</v>
      </c>
      <c r="V1770" s="22">
        <v>46</v>
      </c>
      <c r="W1770" s="22">
        <v>11</v>
      </c>
      <c r="X1770" s="23"/>
    </row>
    <row r="1771" spans="1:24" s="1" customFormat="1" ht="26" customHeight="1" x14ac:dyDescent="0.3">
      <c r="A1771" s="24" t="s">
        <v>23</v>
      </c>
      <c r="B1771" s="24" t="s">
        <v>1424</v>
      </c>
      <c r="C1771" s="12" t="s">
        <v>1426</v>
      </c>
      <c r="D1771" s="58"/>
      <c r="E1771" s="43" t="str">
        <f>HYPERLINK("https://www.google.ru/search?q=007RY-0003&amp;newwindow=1&amp;tbm=isch","Еще фото")</f>
        <v>Еще фото</v>
      </c>
      <c r="F1771" s="34" t="s">
        <v>469</v>
      </c>
      <c r="G1771" s="24" t="s">
        <v>1350</v>
      </c>
      <c r="H1771" s="24" t="s">
        <v>27</v>
      </c>
      <c r="I1771" s="24" t="s">
        <v>1351</v>
      </c>
      <c r="J1771" s="15" t="s">
        <v>37</v>
      </c>
      <c r="K1771" s="16" t="s">
        <v>57</v>
      </c>
      <c r="L1771" s="61"/>
      <c r="M1771" s="15"/>
      <c r="N1771" s="15" t="s">
        <v>130</v>
      </c>
      <c r="O1771" s="15"/>
      <c r="P1771" s="16" t="s">
        <v>32</v>
      </c>
      <c r="Q1771" s="17">
        <v>20099</v>
      </c>
      <c r="R1771" s="18">
        <v>45</v>
      </c>
      <c r="S1771" s="19">
        <v>12712.6175</v>
      </c>
      <c r="T1771" s="20" t="s">
        <v>33</v>
      </c>
      <c r="U1771" s="21" t="s">
        <v>64</v>
      </c>
      <c r="V1771" s="22">
        <v>48</v>
      </c>
      <c r="W1771" s="22">
        <v>25</v>
      </c>
      <c r="X1771" s="23"/>
    </row>
    <row r="1772" spans="1:24" s="1" customFormat="1" ht="26" customHeight="1" x14ac:dyDescent="0.3">
      <c r="A1772" s="24" t="s">
        <v>23</v>
      </c>
      <c r="B1772" s="24" t="s">
        <v>1424</v>
      </c>
      <c r="C1772" s="12" t="s">
        <v>1426</v>
      </c>
      <c r="D1772" s="58"/>
      <c r="E1772" s="43" t="str">
        <f>HYPERLINK("https://www.google.ru/search?q=007RY-0003&amp;newwindow=1&amp;tbm=isch","Еще фото")</f>
        <v>Еще фото</v>
      </c>
      <c r="F1772" s="34" t="s">
        <v>469</v>
      </c>
      <c r="G1772" s="24" t="s">
        <v>1350</v>
      </c>
      <c r="H1772" s="24" t="s">
        <v>27</v>
      </c>
      <c r="I1772" s="24" t="s">
        <v>1351</v>
      </c>
      <c r="J1772" s="15" t="s">
        <v>37</v>
      </c>
      <c r="K1772" s="16" t="s">
        <v>57</v>
      </c>
      <c r="L1772" s="61"/>
      <c r="M1772" s="15"/>
      <c r="N1772" s="15" t="s">
        <v>130</v>
      </c>
      <c r="O1772" s="15"/>
      <c r="P1772" s="16" t="s">
        <v>32</v>
      </c>
      <c r="Q1772" s="17">
        <v>20099</v>
      </c>
      <c r="R1772" s="18">
        <v>45</v>
      </c>
      <c r="S1772" s="19">
        <v>12712.6175</v>
      </c>
      <c r="T1772" s="20" t="s">
        <v>33</v>
      </c>
      <c r="U1772" s="21" t="s">
        <v>34</v>
      </c>
      <c r="V1772" s="25" t="s">
        <v>90</v>
      </c>
      <c r="W1772" s="22">
        <v>32</v>
      </c>
      <c r="X1772" s="23"/>
    </row>
    <row r="1773" spans="1:24" s="1" customFormat="1" ht="26" customHeight="1" x14ac:dyDescent="0.3">
      <c r="A1773" s="24" t="s">
        <v>23</v>
      </c>
      <c r="B1773" s="24" t="s">
        <v>1424</v>
      </c>
      <c r="C1773" s="12" t="s">
        <v>1426</v>
      </c>
      <c r="D1773" s="59"/>
      <c r="E1773" s="43" t="str">
        <f>HYPERLINK("https://www.google.ru/search?q=007RY-0003&amp;newwindow=1&amp;tbm=isch","Еще фото")</f>
        <v>Еще фото</v>
      </c>
      <c r="F1773" s="34" t="s">
        <v>469</v>
      </c>
      <c r="G1773" s="24" t="s">
        <v>1350</v>
      </c>
      <c r="H1773" s="24" t="s">
        <v>27</v>
      </c>
      <c r="I1773" s="24" t="s">
        <v>1351</v>
      </c>
      <c r="J1773" s="15" t="s">
        <v>37</v>
      </c>
      <c r="K1773" s="16" t="s">
        <v>57</v>
      </c>
      <c r="L1773" s="62"/>
      <c r="M1773" s="15"/>
      <c r="N1773" s="15" t="s">
        <v>130</v>
      </c>
      <c r="O1773" s="15"/>
      <c r="P1773" s="16" t="s">
        <v>32</v>
      </c>
      <c r="Q1773" s="17">
        <v>20099</v>
      </c>
      <c r="R1773" s="18">
        <v>45</v>
      </c>
      <c r="S1773" s="19">
        <v>12712.6175</v>
      </c>
      <c r="T1773" s="20" t="s">
        <v>33</v>
      </c>
      <c r="U1773" s="21" t="s">
        <v>150</v>
      </c>
      <c r="V1773" s="25" t="s">
        <v>761</v>
      </c>
      <c r="W1773" s="22">
        <v>11</v>
      </c>
      <c r="X1773" s="23"/>
    </row>
    <row r="1774" spans="1:24" s="1" customFormat="1" ht="35" customHeight="1" x14ac:dyDescent="0.3">
      <c r="A1774" s="11" t="s">
        <v>23</v>
      </c>
      <c r="B1774" s="11" t="s">
        <v>1427</v>
      </c>
      <c r="C1774" s="12" t="s">
        <v>1428</v>
      </c>
      <c r="D1774" s="57"/>
      <c r="E1774" s="43" t="str">
        <f>HYPERLINK("https://www.google.ru/search?q=007SP-0000&amp;newwindow=1&amp;tbm=isch","Еще фото")</f>
        <v>Еще фото</v>
      </c>
      <c r="F1774" s="14"/>
      <c r="G1774" s="11" t="s">
        <v>1350</v>
      </c>
      <c r="H1774" s="11" t="s">
        <v>27</v>
      </c>
      <c r="I1774" s="15" t="s">
        <v>1351</v>
      </c>
      <c r="J1774" s="15" t="s">
        <v>37</v>
      </c>
      <c r="K1774" s="16" t="s">
        <v>57</v>
      </c>
      <c r="L1774" s="60"/>
      <c r="M1774" s="15"/>
      <c r="N1774" s="15" t="s">
        <v>39</v>
      </c>
      <c r="O1774" s="15"/>
      <c r="P1774" s="16" t="s">
        <v>40</v>
      </c>
      <c r="Q1774" s="17">
        <v>30099</v>
      </c>
      <c r="R1774" s="18">
        <v>45</v>
      </c>
      <c r="S1774" s="19">
        <v>19037.6175</v>
      </c>
      <c r="T1774" s="20" t="s">
        <v>33</v>
      </c>
      <c r="U1774" s="21" t="s">
        <v>64</v>
      </c>
      <c r="V1774" s="22">
        <v>48</v>
      </c>
      <c r="W1774" s="22">
        <v>2</v>
      </c>
      <c r="X1774" s="23"/>
    </row>
    <row r="1775" spans="1:24" s="1" customFormat="1" ht="35" customHeight="1" x14ac:dyDescent="0.3">
      <c r="A1775" s="24" t="s">
        <v>23</v>
      </c>
      <c r="B1775" s="24" t="s">
        <v>1427</v>
      </c>
      <c r="C1775" s="12" t="s">
        <v>1428</v>
      </c>
      <c r="D1775" s="58"/>
      <c r="E1775" s="43" t="str">
        <f>HYPERLINK("https://www.google.ru/search?q=007SP-0000&amp;newwindow=1&amp;tbm=isch","Еще фото")</f>
        <v>Еще фото</v>
      </c>
      <c r="F1775" s="14"/>
      <c r="G1775" s="24" t="s">
        <v>1350</v>
      </c>
      <c r="H1775" s="24" t="s">
        <v>27</v>
      </c>
      <c r="I1775" s="24" t="s">
        <v>1351</v>
      </c>
      <c r="J1775" s="15" t="s">
        <v>37</v>
      </c>
      <c r="K1775" s="16" t="s">
        <v>57</v>
      </c>
      <c r="L1775" s="61"/>
      <c r="M1775" s="15"/>
      <c r="N1775" s="15" t="s">
        <v>39</v>
      </c>
      <c r="O1775" s="15"/>
      <c r="P1775" s="16" t="s">
        <v>40</v>
      </c>
      <c r="Q1775" s="17">
        <v>30099</v>
      </c>
      <c r="R1775" s="18">
        <v>45</v>
      </c>
      <c r="S1775" s="19">
        <v>19037.6175</v>
      </c>
      <c r="T1775" s="20" t="s">
        <v>33</v>
      </c>
      <c r="U1775" s="21" t="s">
        <v>34</v>
      </c>
      <c r="V1775" s="25" t="s">
        <v>90</v>
      </c>
      <c r="W1775" s="22">
        <v>3</v>
      </c>
      <c r="X1775" s="23"/>
    </row>
    <row r="1776" spans="1:24" s="1" customFormat="1" ht="37.049999999999997" customHeight="1" x14ac:dyDescent="0.3">
      <c r="A1776" s="24" t="s">
        <v>23</v>
      </c>
      <c r="B1776" s="24" t="s">
        <v>1427</v>
      </c>
      <c r="C1776" s="12" t="s">
        <v>1428</v>
      </c>
      <c r="D1776" s="59"/>
      <c r="E1776" s="43" t="str">
        <f>HYPERLINK("https://www.google.ru/search?q=007SP-0000&amp;newwindow=1&amp;tbm=isch","Еще фото")</f>
        <v>Еще фото</v>
      </c>
      <c r="F1776" s="14"/>
      <c r="G1776" s="24" t="s">
        <v>1350</v>
      </c>
      <c r="H1776" s="24" t="s">
        <v>27</v>
      </c>
      <c r="I1776" s="24" t="s">
        <v>1351</v>
      </c>
      <c r="J1776" s="15" t="s">
        <v>37</v>
      </c>
      <c r="K1776" s="16" t="s">
        <v>57</v>
      </c>
      <c r="L1776" s="62"/>
      <c r="M1776" s="15"/>
      <c r="N1776" s="15" t="s">
        <v>39</v>
      </c>
      <c r="O1776" s="15"/>
      <c r="P1776" s="16" t="s">
        <v>40</v>
      </c>
      <c r="Q1776" s="17">
        <v>30099</v>
      </c>
      <c r="R1776" s="18">
        <v>45</v>
      </c>
      <c r="S1776" s="19">
        <v>19037.6175</v>
      </c>
      <c r="T1776" s="20" t="s">
        <v>33</v>
      </c>
      <c r="U1776" s="21" t="s">
        <v>150</v>
      </c>
      <c r="V1776" s="25" t="s">
        <v>761</v>
      </c>
      <c r="W1776" s="22">
        <v>1</v>
      </c>
      <c r="X1776" s="23"/>
    </row>
    <row r="1777" spans="1:24" s="1" customFormat="1" ht="108" customHeight="1" x14ac:dyDescent="0.3">
      <c r="A1777" s="11" t="s">
        <v>23</v>
      </c>
      <c r="B1777" s="11" t="s">
        <v>1427</v>
      </c>
      <c r="C1777" s="12" t="s">
        <v>1429</v>
      </c>
      <c r="D1777" s="13"/>
      <c r="E1777" s="43" t="str">
        <f>HYPERLINK("https://www.google.ru/search?q=007SP-0005&amp;newwindow=1&amp;tbm=isch","Еще фото")</f>
        <v>Еще фото</v>
      </c>
      <c r="F1777" s="14"/>
      <c r="G1777" s="11" t="s">
        <v>1350</v>
      </c>
      <c r="H1777" s="11" t="s">
        <v>27</v>
      </c>
      <c r="I1777" s="15" t="s">
        <v>1351</v>
      </c>
      <c r="J1777" s="15" t="s">
        <v>37</v>
      </c>
      <c r="K1777" s="16" t="s">
        <v>57</v>
      </c>
      <c r="L1777" s="15"/>
      <c r="M1777" s="15"/>
      <c r="N1777" s="15" t="s">
        <v>99</v>
      </c>
      <c r="O1777" s="15"/>
      <c r="P1777" s="16" t="s">
        <v>40</v>
      </c>
      <c r="Q1777" s="17">
        <v>30099</v>
      </c>
      <c r="R1777" s="18">
        <v>45</v>
      </c>
      <c r="S1777" s="19">
        <v>19037.6175</v>
      </c>
      <c r="T1777" s="20" t="s">
        <v>33</v>
      </c>
      <c r="U1777" s="21" t="s">
        <v>34</v>
      </c>
      <c r="V1777" s="25" t="s">
        <v>90</v>
      </c>
      <c r="W1777" s="22">
        <v>1</v>
      </c>
      <c r="X1777" s="23"/>
    </row>
    <row r="1778" spans="1:24" s="1" customFormat="1" ht="26" customHeight="1" x14ac:dyDescent="0.3">
      <c r="A1778" s="11" t="s">
        <v>23</v>
      </c>
      <c r="B1778" s="11" t="s">
        <v>1430</v>
      </c>
      <c r="C1778" s="12" t="s">
        <v>1431</v>
      </c>
      <c r="D1778" s="57"/>
      <c r="E1778" s="43" t="str">
        <f>HYPERLINK("https://www.google.ru/search?q=16365-0271&amp;newwindow=1&amp;tbm=isch","Еще фото")</f>
        <v>Еще фото</v>
      </c>
      <c r="F1778" s="14" t="s">
        <v>182</v>
      </c>
      <c r="G1778" s="11" t="s">
        <v>1374</v>
      </c>
      <c r="H1778" s="11" t="s">
        <v>27</v>
      </c>
      <c r="I1778" s="15" t="s">
        <v>1351</v>
      </c>
      <c r="J1778" s="15" t="s">
        <v>28</v>
      </c>
      <c r="K1778" s="16" t="s">
        <v>57</v>
      </c>
      <c r="L1778" s="60" t="s">
        <v>1432</v>
      </c>
      <c r="M1778" s="15"/>
      <c r="N1778" s="15" t="s">
        <v>130</v>
      </c>
      <c r="O1778" s="15"/>
      <c r="P1778" s="16" t="s">
        <v>1433</v>
      </c>
      <c r="Q1778" s="17">
        <v>19999</v>
      </c>
      <c r="R1778" s="18">
        <v>45</v>
      </c>
      <c r="S1778" s="19">
        <v>12649.3675</v>
      </c>
      <c r="T1778" s="20" t="s">
        <v>33</v>
      </c>
      <c r="U1778" s="21" t="s">
        <v>62</v>
      </c>
      <c r="V1778" s="22">
        <v>46</v>
      </c>
      <c r="W1778" s="22">
        <v>7</v>
      </c>
      <c r="X1778" s="23"/>
    </row>
    <row r="1779" spans="1:24" s="1" customFormat="1" ht="26" customHeight="1" x14ac:dyDescent="0.3">
      <c r="A1779" s="24" t="s">
        <v>23</v>
      </c>
      <c r="B1779" s="24" t="s">
        <v>1430</v>
      </c>
      <c r="C1779" s="12" t="s">
        <v>1431</v>
      </c>
      <c r="D1779" s="58"/>
      <c r="E1779" s="43" t="str">
        <f>HYPERLINK("https://www.google.ru/search?q=16365-0271&amp;newwindow=1&amp;tbm=isch","Еще фото")</f>
        <v>Еще фото</v>
      </c>
      <c r="F1779" s="14" t="s">
        <v>182</v>
      </c>
      <c r="G1779" s="24" t="s">
        <v>1374</v>
      </c>
      <c r="H1779" s="24" t="s">
        <v>27</v>
      </c>
      <c r="I1779" s="24" t="s">
        <v>1351</v>
      </c>
      <c r="J1779" s="15" t="s">
        <v>28</v>
      </c>
      <c r="K1779" s="16" t="s">
        <v>57</v>
      </c>
      <c r="L1779" s="61"/>
      <c r="M1779" s="15"/>
      <c r="N1779" s="15" t="s">
        <v>130</v>
      </c>
      <c r="O1779" s="15"/>
      <c r="P1779" s="16" t="s">
        <v>1433</v>
      </c>
      <c r="Q1779" s="17">
        <v>19999</v>
      </c>
      <c r="R1779" s="18">
        <v>45</v>
      </c>
      <c r="S1779" s="19">
        <v>12649.3675</v>
      </c>
      <c r="T1779" s="20" t="s">
        <v>33</v>
      </c>
      <c r="U1779" s="21" t="s">
        <v>64</v>
      </c>
      <c r="V1779" s="22">
        <v>48</v>
      </c>
      <c r="W1779" s="22">
        <v>15</v>
      </c>
      <c r="X1779" s="23"/>
    </row>
    <row r="1780" spans="1:24" s="1" customFormat="1" ht="26" customHeight="1" x14ac:dyDescent="0.3">
      <c r="A1780" s="24" t="s">
        <v>23</v>
      </c>
      <c r="B1780" s="24" t="s">
        <v>1430</v>
      </c>
      <c r="C1780" s="12" t="s">
        <v>1431</v>
      </c>
      <c r="D1780" s="58"/>
      <c r="E1780" s="43" t="str">
        <f>HYPERLINK("https://www.google.ru/search?q=16365-0271&amp;newwindow=1&amp;tbm=isch","Еще фото")</f>
        <v>Еще фото</v>
      </c>
      <c r="F1780" s="14" t="s">
        <v>182</v>
      </c>
      <c r="G1780" s="24" t="s">
        <v>1374</v>
      </c>
      <c r="H1780" s="24" t="s">
        <v>27</v>
      </c>
      <c r="I1780" s="24" t="s">
        <v>1351</v>
      </c>
      <c r="J1780" s="15" t="s">
        <v>28</v>
      </c>
      <c r="K1780" s="16" t="s">
        <v>57</v>
      </c>
      <c r="L1780" s="61"/>
      <c r="M1780" s="15"/>
      <c r="N1780" s="15" t="s">
        <v>130</v>
      </c>
      <c r="O1780" s="15"/>
      <c r="P1780" s="16" t="s">
        <v>1433</v>
      </c>
      <c r="Q1780" s="17">
        <v>19999</v>
      </c>
      <c r="R1780" s="18">
        <v>45</v>
      </c>
      <c r="S1780" s="19">
        <v>12649.3675</v>
      </c>
      <c r="T1780" s="20" t="s">
        <v>33</v>
      </c>
      <c r="U1780" s="21" t="s">
        <v>34</v>
      </c>
      <c r="V1780" s="25" t="s">
        <v>90</v>
      </c>
      <c r="W1780" s="22">
        <v>17</v>
      </c>
      <c r="X1780" s="23"/>
    </row>
    <row r="1781" spans="1:24" s="1" customFormat="1" ht="26" customHeight="1" x14ac:dyDescent="0.3">
      <c r="A1781" s="24" t="s">
        <v>23</v>
      </c>
      <c r="B1781" s="24" t="s">
        <v>1430</v>
      </c>
      <c r="C1781" s="12" t="s">
        <v>1431</v>
      </c>
      <c r="D1781" s="59"/>
      <c r="E1781" s="43" t="str">
        <f>HYPERLINK("https://www.google.ru/search?q=16365-0271&amp;newwindow=1&amp;tbm=isch","Еще фото")</f>
        <v>Еще фото</v>
      </c>
      <c r="F1781" s="14" t="s">
        <v>182</v>
      </c>
      <c r="G1781" s="24" t="s">
        <v>1374</v>
      </c>
      <c r="H1781" s="24" t="s">
        <v>27</v>
      </c>
      <c r="I1781" s="24" t="s">
        <v>1351</v>
      </c>
      <c r="J1781" s="15" t="s">
        <v>28</v>
      </c>
      <c r="K1781" s="16" t="s">
        <v>57</v>
      </c>
      <c r="L1781" s="62"/>
      <c r="M1781" s="15"/>
      <c r="N1781" s="15" t="s">
        <v>130</v>
      </c>
      <c r="O1781" s="15"/>
      <c r="P1781" s="16" t="s">
        <v>1433</v>
      </c>
      <c r="Q1781" s="17">
        <v>19999</v>
      </c>
      <c r="R1781" s="18">
        <v>45</v>
      </c>
      <c r="S1781" s="19">
        <v>12649.3675</v>
      </c>
      <c r="T1781" s="20" t="s">
        <v>33</v>
      </c>
      <c r="U1781" s="21" t="s">
        <v>150</v>
      </c>
      <c r="V1781" s="25" t="s">
        <v>761</v>
      </c>
      <c r="W1781" s="22">
        <v>6</v>
      </c>
      <c r="X1781" s="23"/>
    </row>
    <row r="1782" spans="1:24" s="1" customFormat="1" ht="26" customHeight="1" x14ac:dyDescent="0.3">
      <c r="A1782" s="11" t="s">
        <v>23</v>
      </c>
      <c r="B1782" s="11" t="s">
        <v>1434</v>
      </c>
      <c r="C1782" s="12" t="s">
        <v>1435</v>
      </c>
      <c r="D1782" s="57"/>
      <c r="E1782" s="43" t="str">
        <f>HYPERLINK("https://www.google.ru/search?q=16365-0291&amp;newwindow=1&amp;tbm=isch","Еще фото")</f>
        <v>Еще фото</v>
      </c>
      <c r="F1782" s="14"/>
      <c r="G1782" s="11" t="s">
        <v>1374</v>
      </c>
      <c r="H1782" s="11" t="s">
        <v>27</v>
      </c>
      <c r="I1782" s="15" t="s">
        <v>1351</v>
      </c>
      <c r="J1782" s="15" t="s">
        <v>28</v>
      </c>
      <c r="K1782" s="16" t="s">
        <v>57</v>
      </c>
      <c r="L1782" s="60" t="s">
        <v>1432</v>
      </c>
      <c r="M1782" s="15"/>
      <c r="N1782" s="15" t="s">
        <v>39</v>
      </c>
      <c r="O1782" s="15"/>
      <c r="P1782" s="16" t="s">
        <v>1433</v>
      </c>
      <c r="Q1782" s="17">
        <v>19999</v>
      </c>
      <c r="R1782" s="18">
        <v>45</v>
      </c>
      <c r="S1782" s="19">
        <v>12649.3675</v>
      </c>
      <c r="T1782" s="20" t="s">
        <v>33</v>
      </c>
      <c r="U1782" s="21" t="s">
        <v>62</v>
      </c>
      <c r="V1782" s="22">
        <v>46</v>
      </c>
      <c r="W1782" s="22">
        <v>7</v>
      </c>
      <c r="X1782" s="23"/>
    </row>
    <row r="1783" spans="1:24" s="1" customFormat="1" ht="26" customHeight="1" x14ac:dyDescent="0.3">
      <c r="A1783" s="24" t="s">
        <v>23</v>
      </c>
      <c r="B1783" s="24" t="s">
        <v>1434</v>
      </c>
      <c r="C1783" s="12" t="s">
        <v>1435</v>
      </c>
      <c r="D1783" s="58"/>
      <c r="E1783" s="43" t="str">
        <f>HYPERLINK("https://www.google.ru/search?q=16365-0291&amp;newwindow=1&amp;tbm=isch","Еще фото")</f>
        <v>Еще фото</v>
      </c>
      <c r="F1783" s="14"/>
      <c r="G1783" s="24" t="s">
        <v>1374</v>
      </c>
      <c r="H1783" s="24" t="s">
        <v>27</v>
      </c>
      <c r="I1783" s="24" t="s">
        <v>1351</v>
      </c>
      <c r="J1783" s="15" t="s">
        <v>28</v>
      </c>
      <c r="K1783" s="16" t="s">
        <v>57</v>
      </c>
      <c r="L1783" s="61"/>
      <c r="M1783" s="15"/>
      <c r="N1783" s="15" t="s">
        <v>39</v>
      </c>
      <c r="O1783" s="15"/>
      <c r="P1783" s="16" t="s">
        <v>1433</v>
      </c>
      <c r="Q1783" s="17">
        <v>19999</v>
      </c>
      <c r="R1783" s="18">
        <v>45</v>
      </c>
      <c r="S1783" s="19">
        <v>12649.3675</v>
      </c>
      <c r="T1783" s="20" t="s">
        <v>33</v>
      </c>
      <c r="U1783" s="21" t="s">
        <v>64</v>
      </c>
      <c r="V1783" s="22">
        <v>48</v>
      </c>
      <c r="W1783" s="22">
        <v>8</v>
      </c>
      <c r="X1783" s="23"/>
    </row>
    <row r="1784" spans="1:24" s="1" customFormat="1" ht="26" customHeight="1" x14ac:dyDescent="0.3">
      <c r="A1784" s="24" t="s">
        <v>23</v>
      </c>
      <c r="B1784" s="24" t="s">
        <v>1434</v>
      </c>
      <c r="C1784" s="12" t="s">
        <v>1435</v>
      </c>
      <c r="D1784" s="58"/>
      <c r="E1784" s="43" t="str">
        <f>HYPERLINK("https://www.google.ru/search?q=16365-0291&amp;newwindow=1&amp;tbm=isch","Еще фото")</f>
        <v>Еще фото</v>
      </c>
      <c r="F1784" s="14"/>
      <c r="G1784" s="24" t="s">
        <v>1374</v>
      </c>
      <c r="H1784" s="24" t="s">
        <v>27</v>
      </c>
      <c r="I1784" s="24" t="s">
        <v>1351</v>
      </c>
      <c r="J1784" s="15" t="s">
        <v>28</v>
      </c>
      <c r="K1784" s="16" t="s">
        <v>57</v>
      </c>
      <c r="L1784" s="61"/>
      <c r="M1784" s="15"/>
      <c r="N1784" s="15" t="s">
        <v>39</v>
      </c>
      <c r="O1784" s="15"/>
      <c r="P1784" s="16" t="s">
        <v>1433</v>
      </c>
      <c r="Q1784" s="17">
        <v>19999</v>
      </c>
      <c r="R1784" s="18">
        <v>45</v>
      </c>
      <c r="S1784" s="19">
        <v>12649.3675</v>
      </c>
      <c r="T1784" s="20" t="s">
        <v>33</v>
      </c>
      <c r="U1784" s="21" t="s">
        <v>34</v>
      </c>
      <c r="V1784" s="25" t="s">
        <v>90</v>
      </c>
      <c r="W1784" s="22">
        <v>12</v>
      </c>
      <c r="X1784" s="23"/>
    </row>
    <row r="1785" spans="1:24" s="1" customFormat="1" ht="26" customHeight="1" x14ac:dyDescent="0.3">
      <c r="A1785" s="24" t="s">
        <v>23</v>
      </c>
      <c r="B1785" s="24" t="s">
        <v>1434</v>
      </c>
      <c r="C1785" s="12" t="s">
        <v>1435</v>
      </c>
      <c r="D1785" s="59"/>
      <c r="E1785" s="43" t="str">
        <f>HYPERLINK("https://www.google.ru/search?q=16365-0291&amp;newwindow=1&amp;tbm=isch","Еще фото")</f>
        <v>Еще фото</v>
      </c>
      <c r="F1785" s="14"/>
      <c r="G1785" s="24" t="s">
        <v>1374</v>
      </c>
      <c r="H1785" s="24" t="s">
        <v>27</v>
      </c>
      <c r="I1785" s="24" t="s">
        <v>1351</v>
      </c>
      <c r="J1785" s="15" t="s">
        <v>28</v>
      </c>
      <c r="K1785" s="16" t="s">
        <v>57</v>
      </c>
      <c r="L1785" s="62"/>
      <c r="M1785" s="15"/>
      <c r="N1785" s="15" t="s">
        <v>39</v>
      </c>
      <c r="O1785" s="15"/>
      <c r="P1785" s="16" t="s">
        <v>1433</v>
      </c>
      <c r="Q1785" s="17">
        <v>19999</v>
      </c>
      <c r="R1785" s="18">
        <v>45</v>
      </c>
      <c r="S1785" s="19">
        <v>12649.3675</v>
      </c>
      <c r="T1785" s="20" t="s">
        <v>33</v>
      </c>
      <c r="U1785" s="21" t="s">
        <v>150</v>
      </c>
      <c r="V1785" s="25" t="s">
        <v>761</v>
      </c>
      <c r="W1785" s="22">
        <v>5</v>
      </c>
      <c r="X1785" s="23"/>
    </row>
    <row r="1786" spans="1:24" s="1" customFormat="1" ht="26" customHeight="1" x14ac:dyDescent="0.3">
      <c r="A1786" s="11" t="s">
        <v>23</v>
      </c>
      <c r="B1786" s="11" t="s">
        <v>1436</v>
      </c>
      <c r="C1786" s="12" t="s">
        <v>1437</v>
      </c>
      <c r="D1786" s="57"/>
      <c r="E1786" s="43" t="str">
        <f>HYPERLINK("https://www.google.ru/search?q=16365-0305&amp;newwindow=1&amp;tbm=isch","Еще фото")</f>
        <v>Еще фото</v>
      </c>
      <c r="F1786" s="14"/>
      <c r="G1786" s="11" t="s">
        <v>1374</v>
      </c>
      <c r="H1786" s="11" t="s">
        <v>27</v>
      </c>
      <c r="I1786" s="15" t="s">
        <v>1351</v>
      </c>
      <c r="J1786" s="15" t="s">
        <v>28</v>
      </c>
      <c r="K1786" s="16" t="s">
        <v>57</v>
      </c>
      <c r="L1786" s="60" t="s">
        <v>1432</v>
      </c>
      <c r="M1786" s="15"/>
      <c r="N1786" s="15" t="s">
        <v>99</v>
      </c>
      <c r="O1786" s="15"/>
      <c r="P1786" s="16" t="s">
        <v>1433</v>
      </c>
      <c r="Q1786" s="17">
        <v>19999</v>
      </c>
      <c r="R1786" s="18">
        <v>45</v>
      </c>
      <c r="S1786" s="19">
        <v>12649.3675</v>
      </c>
      <c r="T1786" s="20" t="s">
        <v>33</v>
      </c>
      <c r="U1786" s="21" t="s">
        <v>62</v>
      </c>
      <c r="V1786" s="22">
        <v>46</v>
      </c>
      <c r="W1786" s="22">
        <v>9</v>
      </c>
      <c r="X1786" s="23"/>
    </row>
    <row r="1787" spans="1:24" s="1" customFormat="1" ht="26" customHeight="1" x14ac:dyDescent="0.3">
      <c r="A1787" s="24" t="s">
        <v>23</v>
      </c>
      <c r="B1787" s="24" t="s">
        <v>1436</v>
      </c>
      <c r="C1787" s="12" t="s">
        <v>1437</v>
      </c>
      <c r="D1787" s="58"/>
      <c r="E1787" s="43" t="str">
        <f>HYPERLINK("https://www.google.ru/search?q=16365-0305&amp;newwindow=1&amp;tbm=isch","Еще фото")</f>
        <v>Еще фото</v>
      </c>
      <c r="F1787" s="14"/>
      <c r="G1787" s="24" t="s">
        <v>1374</v>
      </c>
      <c r="H1787" s="24" t="s">
        <v>27</v>
      </c>
      <c r="I1787" s="24" t="s">
        <v>1351</v>
      </c>
      <c r="J1787" s="15" t="s">
        <v>28</v>
      </c>
      <c r="K1787" s="16" t="s">
        <v>57</v>
      </c>
      <c r="L1787" s="61"/>
      <c r="M1787" s="15"/>
      <c r="N1787" s="15" t="s">
        <v>99</v>
      </c>
      <c r="O1787" s="15"/>
      <c r="P1787" s="16" t="s">
        <v>1433</v>
      </c>
      <c r="Q1787" s="17">
        <v>19999</v>
      </c>
      <c r="R1787" s="18">
        <v>45</v>
      </c>
      <c r="S1787" s="19">
        <v>12649.3675</v>
      </c>
      <c r="T1787" s="20" t="s">
        <v>33</v>
      </c>
      <c r="U1787" s="21" t="s">
        <v>64</v>
      </c>
      <c r="V1787" s="22">
        <v>48</v>
      </c>
      <c r="W1787" s="22">
        <v>20</v>
      </c>
      <c r="X1787" s="23"/>
    </row>
    <row r="1788" spans="1:24" s="1" customFormat="1" ht="26" customHeight="1" x14ac:dyDescent="0.3">
      <c r="A1788" s="24" t="s">
        <v>23</v>
      </c>
      <c r="B1788" s="24" t="s">
        <v>1436</v>
      </c>
      <c r="C1788" s="12" t="s">
        <v>1437</v>
      </c>
      <c r="D1788" s="58"/>
      <c r="E1788" s="43" t="str">
        <f>HYPERLINK("https://www.google.ru/search?q=16365-0305&amp;newwindow=1&amp;tbm=isch","Еще фото")</f>
        <v>Еще фото</v>
      </c>
      <c r="F1788" s="14"/>
      <c r="G1788" s="24" t="s">
        <v>1374</v>
      </c>
      <c r="H1788" s="24" t="s">
        <v>27</v>
      </c>
      <c r="I1788" s="24" t="s">
        <v>1351</v>
      </c>
      <c r="J1788" s="15" t="s">
        <v>28</v>
      </c>
      <c r="K1788" s="16" t="s">
        <v>57</v>
      </c>
      <c r="L1788" s="61"/>
      <c r="M1788" s="15"/>
      <c r="N1788" s="15" t="s">
        <v>99</v>
      </c>
      <c r="O1788" s="15"/>
      <c r="P1788" s="16" t="s">
        <v>1433</v>
      </c>
      <c r="Q1788" s="17">
        <v>19999</v>
      </c>
      <c r="R1788" s="18">
        <v>45</v>
      </c>
      <c r="S1788" s="19">
        <v>12649.3675</v>
      </c>
      <c r="T1788" s="20" t="s">
        <v>33</v>
      </c>
      <c r="U1788" s="21" t="s">
        <v>34</v>
      </c>
      <c r="V1788" s="25" t="s">
        <v>90</v>
      </c>
      <c r="W1788" s="22">
        <v>23</v>
      </c>
      <c r="X1788" s="23"/>
    </row>
    <row r="1789" spans="1:24" s="1" customFormat="1" ht="26" customHeight="1" x14ac:dyDescent="0.3">
      <c r="A1789" s="24" t="s">
        <v>23</v>
      </c>
      <c r="B1789" s="24" t="s">
        <v>1436</v>
      </c>
      <c r="C1789" s="12" t="s">
        <v>1437</v>
      </c>
      <c r="D1789" s="59"/>
      <c r="E1789" s="43" t="str">
        <f>HYPERLINK("https://www.google.ru/search?q=16365-0305&amp;newwindow=1&amp;tbm=isch","Еще фото")</f>
        <v>Еще фото</v>
      </c>
      <c r="F1789" s="14"/>
      <c r="G1789" s="24" t="s">
        <v>1374</v>
      </c>
      <c r="H1789" s="24" t="s">
        <v>27</v>
      </c>
      <c r="I1789" s="24" t="s">
        <v>1351</v>
      </c>
      <c r="J1789" s="15" t="s">
        <v>28</v>
      </c>
      <c r="K1789" s="16" t="s">
        <v>57</v>
      </c>
      <c r="L1789" s="62"/>
      <c r="M1789" s="15"/>
      <c r="N1789" s="15" t="s">
        <v>99</v>
      </c>
      <c r="O1789" s="15"/>
      <c r="P1789" s="16" t="s">
        <v>1433</v>
      </c>
      <c r="Q1789" s="17">
        <v>19999</v>
      </c>
      <c r="R1789" s="18">
        <v>45</v>
      </c>
      <c r="S1789" s="19">
        <v>12649.3675</v>
      </c>
      <c r="T1789" s="20" t="s">
        <v>33</v>
      </c>
      <c r="U1789" s="21" t="s">
        <v>150</v>
      </c>
      <c r="V1789" s="25" t="s">
        <v>761</v>
      </c>
      <c r="W1789" s="22">
        <v>8</v>
      </c>
      <c r="X1789" s="23"/>
    </row>
    <row r="1790" spans="1:24" s="1" customFormat="1" ht="108" customHeight="1" x14ac:dyDescent="0.3">
      <c r="A1790" s="11" t="s">
        <v>23</v>
      </c>
      <c r="B1790" s="11" t="s">
        <v>1438</v>
      </c>
      <c r="C1790" s="12" t="s">
        <v>1439</v>
      </c>
      <c r="D1790" s="13"/>
      <c r="E1790" s="43" t="str">
        <f>HYPERLINK("https://www.google.ru/search?q=16365-0351&amp;newwindow=1&amp;tbm=isch","Еще фото")</f>
        <v>Еще фото</v>
      </c>
      <c r="F1790" s="14"/>
      <c r="G1790" s="11" t="s">
        <v>1374</v>
      </c>
      <c r="H1790" s="11" t="s">
        <v>27</v>
      </c>
      <c r="I1790" s="15" t="s">
        <v>1351</v>
      </c>
      <c r="J1790" s="15" t="s">
        <v>37</v>
      </c>
      <c r="K1790" s="16" t="s">
        <v>57</v>
      </c>
      <c r="L1790" s="15"/>
      <c r="M1790" s="15"/>
      <c r="N1790" s="15" t="s">
        <v>130</v>
      </c>
      <c r="O1790" s="15"/>
      <c r="P1790" s="16" t="s">
        <v>219</v>
      </c>
      <c r="Q1790" s="17">
        <v>25099</v>
      </c>
      <c r="R1790" s="18">
        <v>45</v>
      </c>
      <c r="S1790" s="19">
        <v>15875.1175</v>
      </c>
      <c r="T1790" s="20" t="s">
        <v>33</v>
      </c>
      <c r="U1790" s="21" t="s">
        <v>64</v>
      </c>
      <c r="V1790" s="22">
        <v>48</v>
      </c>
      <c r="W1790" s="22">
        <v>3</v>
      </c>
      <c r="X1790" s="23"/>
    </row>
    <row r="1791" spans="1:24" s="1" customFormat="1" ht="35" customHeight="1" x14ac:dyDescent="0.3">
      <c r="A1791" s="11" t="s">
        <v>23</v>
      </c>
      <c r="B1791" s="11" t="s">
        <v>1440</v>
      </c>
      <c r="C1791" s="12" t="s">
        <v>1441</v>
      </c>
      <c r="D1791" s="57"/>
      <c r="E1791" s="43" t="str">
        <f>HYPERLINK("https://www.google.ru/search?q=29945-0063&amp;newwindow=1&amp;tbm=isch","Еще фото")</f>
        <v>Еще фото</v>
      </c>
      <c r="F1791" s="34" t="s">
        <v>469</v>
      </c>
      <c r="G1791" s="11" t="s">
        <v>1364</v>
      </c>
      <c r="H1791" s="11" t="s">
        <v>27</v>
      </c>
      <c r="I1791" s="15" t="s">
        <v>1351</v>
      </c>
      <c r="J1791" s="15" t="s">
        <v>28</v>
      </c>
      <c r="K1791" s="16" t="s">
        <v>29</v>
      </c>
      <c r="L1791" s="60" t="s">
        <v>1442</v>
      </c>
      <c r="M1791" s="15" t="s">
        <v>72</v>
      </c>
      <c r="N1791" s="15" t="s">
        <v>130</v>
      </c>
      <c r="O1791" s="15" t="s">
        <v>121</v>
      </c>
      <c r="P1791" s="16" t="s">
        <v>32</v>
      </c>
      <c r="Q1791" s="17">
        <v>18699</v>
      </c>
      <c r="R1791" s="18">
        <v>45</v>
      </c>
      <c r="S1791" s="19">
        <v>11827.1175</v>
      </c>
      <c r="T1791" s="20" t="s">
        <v>33</v>
      </c>
      <c r="U1791" s="21" t="s">
        <v>61</v>
      </c>
      <c r="V1791" s="22">
        <v>42</v>
      </c>
      <c r="W1791" s="22">
        <v>4</v>
      </c>
      <c r="X1791" s="23"/>
    </row>
    <row r="1792" spans="1:24" s="1" customFormat="1" ht="35" customHeight="1" x14ac:dyDescent="0.3">
      <c r="A1792" s="24" t="s">
        <v>23</v>
      </c>
      <c r="B1792" s="24" t="s">
        <v>1440</v>
      </c>
      <c r="C1792" s="12" t="s">
        <v>1441</v>
      </c>
      <c r="D1792" s="58"/>
      <c r="E1792" s="43" t="str">
        <f>HYPERLINK("https://www.google.ru/search?q=29945-0063&amp;newwindow=1&amp;tbm=isch","Еще фото")</f>
        <v>Еще фото</v>
      </c>
      <c r="F1792" s="34" t="s">
        <v>469</v>
      </c>
      <c r="G1792" s="24" t="s">
        <v>1364</v>
      </c>
      <c r="H1792" s="24" t="s">
        <v>27</v>
      </c>
      <c r="I1792" s="24" t="s">
        <v>1351</v>
      </c>
      <c r="J1792" s="15" t="s">
        <v>28</v>
      </c>
      <c r="K1792" s="16" t="s">
        <v>29</v>
      </c>
      <c r="L1792" s="61"/>
      <c r="M1792" s="15" t="s">
        <v>72</v>
      </c>
      <c r="N1792" s="15" t="s">
        <v>130</v>
      </c>
      <c r="O1792" s="15" t="s">
        <v>121</v>
      </c>
      <c r="P1792" s="16" t="s">
        <v>32</v>
      </c>
      <c r="Q1792" s="17">
        <v>18699</v>
      </c>
      <c r="R1792" s="18">
        <v>45</v>
      </c>
      <c r="S1792" s="19">
        <v>11827.1175</v>
      </c>
      <c r="T1792" s="20" t="s">
        <v>33</v>
      </c>
      <c r="U1792" s="21" t="s">
        <v>62</v>
      </c>
      <c r="V1792" s="22">
        <v>44</v>
      </c>
      <c r="W1792" s="22">
        <v>6</v>
      </c>
      <c r="X1792" s="23"/>
    </row>
    <row r="1793" spans="1:24" s="1" customFormat="1" ht="37.049999999999997" customHeight="1" x14ac:dyDescent="0.3">
      <c r="A1793" s="24" t="s">
        <v>23</v>
      </c>
      <c r="B1793" s="24" t="s">
        <v>1440</v>
      </c>
      <c r="C1793" s="12" t="s">
        <v>1441</v>
      </c>
      <c r="D1793" s="59"/>
      <c r="E1793" s="43" t="str">
        <f>HYPERLINK("https://www.google.ru/search?q=29945-0063&amp;newwindow=1&amp;tbm=isch","Еще фото")</f>
        <v>Еще фото</v>
      </c>
      <c r="F1793" s="34" t="s">
        <v>469</v>
      </c>
      <c r="G1793" s="24" t="s">
        <v>1364</v>
      </c>
      <c r="H1793" s="24" t="s">
        <v>27</v>
      </c>
      <c r="I1793" s="24" t="s">
        <v>1351</v>
      </c>
      <c r="J1793" s="15" t="s">
        <v>28</v>
      </c>
      <c r="K1793" s="16" t="s">
        <v>29</v>
      </c>
      <c r="L1793" s="62"/>
      <c r="M1793" s="15" t="s">
        <v>72</v>
      </c>
      <c r="N1793" s="15" t="s">
        <v>130</v>
      </c>
      <c r="O1793" s="15" t="s">
        <v>121</v>
      </c>
      <c r="P1793" s="16" t="s">
        <v>32</v>
      </c>
      <c r="Q1793" s="17">
        <v>18699</v>
      </c>
      <c r="R1793" s="18">
        <v>45</v>
      </c>
      <c r="S1793" s="19">
        <v>11827.1175</v>
      </c>
      <c r="T1793" s="20" t="s">
        <v>33</v>
      </c>
      <c r="U1793" s="21" t="s">
        <v>64</v>
      </c>
      <c r="V1793" s="22">
        <v>46</v>
      </c>
      <c r="W1793" s="22">
        <v>3</v>
      </c>
      <c r="X1793" s="23"/>
    </row>
    <row r="1794" spans="1:24" s="1" customFormat="1" ht="52.05" customHeight="1" x14ac:dyDescent="0.3">
      <c r="A1794" s="11" t="s">
        <v>23</v>
      </c>
      <c r="B1794" s="11" t="s">
        <v>1443</v>
      </c>
      <c r="C1794" s="12" t="s">
        <v>1444</v>
      </c>
      <c r="D1794" s="63"/>
      <c r="E1794" s="43" t="str">
        <f>HYPERLINK("https://www.google.ru/search?q=36136-0058&amp;newwindow=1&amp;tbm=isch","Еще фото")</f>
        <v>Еще фото</v>
      </c>
      <c r="F1794" s="14"/>
      <c r="G1794" s="11" t="s">
        <v>1374</v>
      </c>
      <c r="H1794" s="11" t="s">
        <v>27</v>
      </c>
      <c r="I1794" s="15" t="s">
        <v>1351</v>
      </c>
      <c r="J1794" s="15" t="s">
        <v>37</v>
      </c>
      <c r="K1794" s="16" t="s">
        <v>29</v>
      </c>
      <c r="L1794" s="60" t="s">
        <v>1445</v>
      </c>
      <c r="M1794" s="15"/>
      <c r="N1794" s="15" t="s">
        <v>130</v>
      </c>
      <c r="O1794" s="15"/>
      <c r="P1794" s="16" t="s">
        <v>32</v>
      </c>
      <c r="Q1794" s="17">
        <v>22599</v>
      </c>
      <c r="R1794" s="18">
        <v>45</v>
      </c>
      <c r="S1794" s="19">
        <v>14293.8675</v>
      </c>
      <c r="T1794" s="20" t="s">
        <v>33</v>
      </c>
      <c r="U1794" s="21" t="s">
        <v>61</v>
      </c>
      <c r="V1794" s="22">
        <v>42</v>
      </c>
      <c r="W1794" s="22">
        <v>1</v>
      </c>
      <c r="X1794" s="23"/>
    </row>
    <row r="1795" spans="1:24" s="1" customFormat="1" ht="61.05" customHeight="1" x14ac:dyDescent="0.3">
      <c r="A1795" s="24" t="s">
        <v>23</v>
      </c>
      <c r="B1795" s="24" t="s">
        <v>1443</v>
      </c>
      <c r="C1795" s="12" t="s">
        <v>1444</v>
      </c>
      <c r="D1795" s="64"/>
      <c r="E1795" s="43" t="str">
        <f>HYPERLINK("https://www.google.ru/search?q=36136-0058&amp;newwindow=1&amp;tbm=isch","Еще фото")</f>
        <v>Еще фото</v>
      </c>
      <c r="F1795" s="14"/>
      <c r="G1795" s="24" t="s">
        <v>1374</v>
      </c>
      <c r="H1795" s="24" t="s">
        <v>27</v>
      </c>
      <c r="I1795" s="24" t="s">
        <v>1351</v>
      </c>
      <c r="J1795" s="15" t="s">
        <v>37</v>
      </c>
      <c r="K1795" s="16" t="s">
        <v>29</v>
      </c>
      <c r="L1795" s="62"/>
      <c r="M1795" s="15"/>
      <c r="N1795" s="15" t="s">
        <v>130</v>
      </c>
      <c r="O1795" s="15"/>
      <c r="P1795" s="16" t="s">
        <v>32</v>
      </c>
      <c r="Q1795" s="17">
        <v>22599</v>
      </c>
      <c r="R1795" s="18">
        <v>45</v>
      </c>
      <c r="S1795" s="19">
        <v>14293.8675</v>
      </c>
      <c r="T1795" s="20" t="s">
        <v>33</v>
      </c>
      <c r="U1795" s="21" t="s">
        <v>62</v>
      </c>
      <c r="V1795" s="22">
        <v>44</v>
      </c>
      <c r="W1795" s="22">
        <v>1</v>
      </c>
      <c r="X1795" s="23"/>
    </row>
    <row r="1796" spans="1:24" s="1" customFormat="1" ht="108" customHeight="1" x14ac:dyDescent="0.3">
      <c r="A1796" s="11" t="s">
        <v>23</v>
      </c>
      <c r="B1796" s="11" t="s">
        <v>1446</v>
      </c>
      <c r="C1796" s="12" t="s">
        <v>1447</v>
      </c>
      <c r="D1796" s="13"/>
      <c r="E1796" s="43" t="str">
        <f>HYPERLINK("https://www.google.ru/search?q=36136-0063&amp;newwindow=1&amp;tbm=isch","Еще фото")</f>
        <v>Еще фото</v>
      </c>
      <c r="F1796" s="14"/>
      <c r="G1796" s="11" t="s">
        <v>1374</v>
      </c>
      <c r="H1796" s="11" t="s">
        <v>27</v>
      </c>
      <c r="I1796" s="15" t="s">
        <v>1351</v>
      </c>
      <c r="J1796" s="15" t="s">
        <v>37</v>
      </c>
      <c r="K1796" s="16" t="s">
        <v>29</v>
      </c>
      <c r="L1796" s="15" t="s">
        <v>1448</v>
      </c>
      <c r="M1796" s="15"/>
      <c r="N1796" s="15" t="s">
        <v>130</v>
      </c>
      <c r="O1796" s="15"/>
      <c r="P1796" s="16" t="s">
        <v>32</v>
      </c>
      <c r="Q1796" s="17">
        <v>20999</v>
      </c>
      <c r="R1796" s="18">
        <v>45</v>
      </c>
      <c r="S1796" s="19">
        <v>13281.8675</v>
      </c>
      <c r="T1796" s="20" t="s">
        <v>33</v>
      </c>
      <c r="U1796" s="21" t="s">
        <v>61</v>
      </c>
      <c r="V1796" s="22">
        <v>42</v>
      </c>
      <c r="W1796" s="22">
        <v>8</v>
      </c>
      <c r="X1796" s="23"/>
    </row>
    <row r="1797" spans="1:24" s="1" customFormat="1" ht="108" customHeight="1" x14ac:dyDescent="0.3">
      <c r="A1797" s="11" t="s">
        <v>23</v>
      </c>
      <c r="B1797" s="11" t="s">
        <v>1449</v>
      </c>
      <c r="C1797" s="12" t="s">
        <v>1450</v>
      </c>
      <c r="D1797" s="13"/>
      <c r="E1797" s="43" t="str">
        <f>HYPERLINK("https://www.google.ru/search?q=36136-0140&amp;newwindow=1&amp;tbm=isch","Еще фото")</f>
        <v>Еще фото</v>
      </c>
      <c r="F1797" s="14"/>
      <c r="G1797" s="11" t="s">
        <v>1374</v>
      </c>
      <c r="H1797" s="11" t="s">
        <v>27</v>
      </c>
      <c r="I1797" s="15" t="s">
        <v>1351</v>
      </c>
      <c r="J1797" s="15" t="s">
        <v>37</v>
      </c>
      <c r="K1797" s="16" t="s">
        <v>29</v>
      </c>
      <c r="L1797" s="15" t="s">
        <v>1448</v>
      </c>
      <c r="M1797" s="15"/>
      <c r="N1797" s="15" t="s">
        <v>130</v>
      </c>
      <c r="O1797" s="15"/>
      <c r="P1797" s="16" t="s">
        <v>32</v>
      </c>
      <c r="Q1797" s="17">
        <v>21399</v>
      </c>
      <c r="R1797" s="18">
        <v>45</v>
      </c>
      <c r="S1797" s="19">
        <v>13534.8675</v>
      </c>
      <c r="T1797" s="20" t="s">
        <v>33</v>
      </c>
      <c r="U1797" s="21" t="s">
        <v>64</v>
      </c>
      <c r="V1797" s="22">
        <v>46</v>
      </c>
      <c r="W1797" s="22">
        <v>2</v>
      </c>
      <c r="X1797" s="23"/>
    </row>
    <row r="1798" spans="1:24" s="1" customFormat="1" ht="108" customHeight="1" x14ac:dyDescent="0.3">
      <c r="A1798" s="11" t="s">
        <v>23</v>
      </c>
      <c r="B1798" s="11" t="s">
        <v>1451</v>
      </c>
      <c r="C1798" s="12" t="s">
        <v>1452</v>
      </c>
      <c r="D1798" s="13"/>
      <c r="E1798" s="43" t="str">
        <f>HYPERLINK("https://www.google.ru/search?q=36137-0015&amp;newwindow=1&amp;tbm=isch","Еще фото")</f>
        <v>Еще фото</v>
      </c>
      <c r="F1798" s="14"/>
      <c r="G1798" s="11" t="s">
        <v>1374</v>
      </c>
      <c r="H1798" s="11" t="s">
        <v>27</v>
      </c>
      <c r="I1798" s="15" t="s">
        <v>1351</v>
      </c>
      <c r="J1798" s="15" t="s">
        <v>28</v>
      </c>
      <c r="K1798" s="16" t="s">
        <v>29</v>
      </c>
      <c r="L1798" s="15" t="s">
        <v>1453</v>
      </c>
      <c r="M1798" s="15" t="s">
        <v>72</v>
      </c>
      <c r="N1798" s="15" t="s">
        <v>39</v>
      </c>
      <c r="O1798" s="15" t="s">
        <v>1376</v>
      </c>
      <c r="P1798" s="16" t="s">
        <v>32</v>
      </c>
      <c r="Q1798" s="17">
        <v>16799</v>
      </c>
      <c r="R1798" s="18">
        <v>45</v>
      </c>
      <c r="S1798" s="19">
        <v>10625.3675</v>
      </c>
      <c r="T1798" s="20" t="s">
        <v>33</v>
      </c>
      <c r="U1798" s="21" t="s">
        <v>61</v>
      </c>
      <c r="V1798" s="22">
        <v>42</v>
      </c>
      <c r="W1798" s="22">
        <v>11</v>
      </c>
      <c r="X1798" s="23"/>
    </row>
    <row r="1799" spans="1:24" s="1" customFormat="1" ht="108" customHeight="1" x14ac:dyDescent="0.3">
      <c r="A1799" s="11" t="s">
        <v>23</v>
      </c>
      <c r="B1799" s="11" t="s">
        <v>1454</v>
      </c>
      <c r="C1799" s="12" t="s">
        <v>1455</v>
      </c>
      <c r="D1799" s="13"/>
      <c r="E1799" s="43" t="str">
        <f>HYPERLINK("https://www.google.ru/search?q=72334-0134&amp;newwindow=1&amp;tbm=isch","Еще фото")</f>
        <v>Еще фото</v>
      </c>
      <c r="F1799" s="14" t="s">
        <v>182</v>
      </c>
      <c r="G1799" s="11" t="s">
        <v>1350</v>
      </c>
      <c r="H1799" s="11" t="s">
        <v>27</v>
      </c>
      <c r="I1799" s="15" t="s">
        <v>1351</v>
      </c>
      <c r="J1799" s="15" t="s">
        <v>28</v>
      </c>
      <c r="K1799" s="16" t="s">
        <v>57</v>
      </c>
      <c r="L1799" s="15"/>
      <c r="M1799" s="15"/>
      <c r="N1799" s="15" t="s">
        <v>130</v>
      </c>
      <c r="O1799" s="15"/>
      <c r="P1799" s="16" t="s">
        <v>32</v>
      </c>
      <c r="Q1799" s="17">
        <v>14299</v>
      </c>
      <c r="R1799" s="18">
        <v>45</v>
      </c>
      <c r="S1799" s="19">
        <v>9044.1174999999985</v>
      </c>
      <c r="T1799" s="20" t="s">
        <v>33</v>
      </c>
      <c r="U1799" s="21" t="s">
        <v>62</v>
      </c>
      <c r="V1799" s="22">
        <v>46</v>
      </c>
      <c r="W1799" s="22">
        <v>1</v>
      </c>
      <c r="X1799" s="23"/>
    </row>
    <row r="1800" spans="1:24" s="1" customFormat="1" ht="52.05" customHeight="1" x14ac:dyDescent="0.3">
      <c r="A1800" s="11" t="s">
        <v>23</v>
      </c>
      <c r="B1800" s="11" t="s">
        <v>1456</v>
      </c>
      <c r="C1800" s="12" t="s">
        <v>1457</v>
      </c>
      <c r="D1800" s="63"/>
      <c r="E1800" s="43" t="str">
        <f>HYPERLINK("https://www.google.ru/search?q=A1634-0000&amp;newwindow=1&amp;tbm=isch","Еще фото")</f>
        <v>Еще фото</v>
      </c>
      <c r="F1800" s="14"/>
      <c r="G1800" s="11" t="s">
        <v>1458</v>
      </c>
      <c r="H1800" s="11" t="s">
        <v>27</v>
      </c>
      <c r="I1800" s="15" t="s">
        <v>1351</v>
      </c>
      <c r="J1800" s="15" t="s">
        <v>28</v>
      </c>
      <c r="K1800" s="16" t="s">
        <v>29</v>
      </c>
      <c r="L1800" s="60" t="s">
        <v>1459</v>
      </c>
      <c r="M1800" s="15" t="s">
        <v>72</v>
      </c>
      <c r="N1800" s="15" t="s">
        <v>99</v>
      </c>
      <c r="O1800" s="15" t="s">
        <v>1376</v>
      </c>
      <c r="P1800" s="16" t="s">
        <v>1460</v>
      </c>
      <c r="Q1800" s="17">
        <v>27299</v>
      </c>
      <c r="R1800" s="18">
        <v>45</v>
      </c>
      <c r="S1800" s="19">
        <v>17266.6175</v>
      </c>
      <c r="T1800" s="20" t="s">
        <v>33</v>
      </c>
      <c r="U1800" s="21" t="s">
        <v>64</v>
      </c>
      <c r="V1800" s="22">
        <v>46</v>
      </c>
      <c r="W1800" s="22">
        <v>1</v>
      </c>
      <c r="X1800" s="23"/>
    </row>
    <row r="1801" spans="1:24" s="1" customFormat="1" ht="61.05" customHeight="1" x14ac:dyDescent="0.3">
      <c r="A1801" s="24" t="s">
        <v>23</v>
      </c>
      <c r="B1801" s="24" t="s">
        <v>1456</v>
      </c>
      <c r="C1801" s="12" t="s">
        <v>1457</v>
      </c>
      <c r="D1801" s="64"/>
      <c r="E1801" s="43" t="str">
        <f>HYPERLINK("https://www.google.ru/search?q=A1634-0000&amp;newwindow=1&amp;tbm=isch","Еще фото")</f>
        <v>Еще фото</v>
      </c>
      <c r="F1801" s="14"/>
      <c r="G1801" s="24" t="s">
        <v>1458</v>
      </c>
      <c r="H1801" s="24" t="s">
        <v>27</v>
      </c>
      <c r="I1801" s="24" t="s">
        <v>1351</v>
      </c>
      <c r="J1801" s="15" t="s">
        <v>28</v>
      </c>
      <c r="K1801" s="16" t="s">
        <v>29</v>
      </c>
      <c r="L1801" s="62"/>
      <c r="M1801" s="15" t="s">
        <v>72</v>
      </c>
      <c r="N1801" s="15" t="s">
        <v>99</v>
      </c>
      <c r="O1801" s="15" t="s">
        <v>1376</v>
      </c>
      <c r="P1801" s="16" t="s">
        <v>1460</v>
      </c>
      <c r="Q1801" s="17">
        <v>27299</v>
      </c>
      <c r="R1801" s="18">
        <v>45</v>
      </c>
      <c r="S1801" s="19">
        <v>17266.6175</v>
      </c>
      <c r="T1801" s="20" t="s">
        <v>33</v>
      </c>
      <c r="U1801" s="21" t="s">
        <v>34</v>
      </c>
      <c r="V1801" s="22">
        <v>48</v>
      </c>
      <c r="W1801" s="22">
        <v>1</v>
      </c>
      <c r="X1801" s="23"/>
    </row>
    <row r="1802" spans="1:24" s="1" customFormat="1" ht="52.05" customHeight="1" x14ac:dyDescent="0.3">
      <c r="A1802" s="11" t="s">
        <v>23</v>
      </c>
      <c r="B1802" s="11" t="s">
        <v>1461</v>
      </c>
      <c r="C1802" s="12" t="s">
        <v>1462</v>
      </c>
      <c r="D1802" s="63"/>
      <c r="E1802" s="43" t="str">
        <f>HYPERLINK("https://www.google.ru/search?q=A3472-0003&amp;newwindow=1&amp;tbm=isch","Еще фото")</f>
        <v>Еще фото</v>
      </c>
      <c r="F1802" s="34" t="s">
        <v>469</v>
      </c>
      <c r="G1802" s="11" t="s">
        <v>1463</v>
      </c>
      <c r="H1802" s="11" t="s">
        <v>27</v>
      </c>
      <c r="I1802" s="15" t="s">
        <v>1351</v>
      </c>
      <c r="J1802" s="15" t="s">
        <v>28</v>
      </c>
      <c r="K1802" s="16" t="s">
        <v>29</v>
      </c>
      <c r="L1802" s="60" t="s">
        <v>1464</v>
      </c>
      <c r="M1802" s="15"/>
      <c r="N1802" s="15" t="s">
        <v>130</v>
      </c>
      <c r="O1802" s="15"/>
      <c r="P1802" s="16" t="s">
        <v>1465</v>
      </c>
      <c r="Q1802" s="17">
        <v>21399</v>
      </c>
      <c r="R1802" s="18">
        <v>45</v>
      </c>
      <c r="S1802" s="19">
        <v>13534.8675</v>
      </c>
      <c r="T1802" s="20" t="s">
        <v>33</v>
      </c>
      <c r="U1802" s="21" t="s">
        <v>62</v>
      </c>
      <c r="V1802" s="22">
        <v>44</v>
      </c>
      <c r="W1802" s="22">
        <v>5</v>
      </c>
      <c r="X1802" s="23"/>
    </row>
    <row r="1803" spans="1:24" s="1" customFormat="1" ht="61.05" customHeight="1" x14ac:dyDescent="0.3">
      <c r="A1803" s="24" t="s">
        <v>23</v>
      </c>
      <c r="B1803" s="24" t="s">
        <v>1461</v>
      </c>
      <c r="C1803" s="12" t="s">
        <v>1462</v>
      </c>
      <c r="D1803" s="64"/>
      <c r="E1803" s="43" t="str">
        <f>HYPERLINK("https://www.google.ru/search?q=A3472-0003&amp;newwindow=1&amp;tbm=isch","Еще фото")</f>
        <v>Еще фото</v>
      </c>
      <c r="F1803" s="34" t="s">
        <v>469</v>
      </c>
      <c r="G1803" s="24" t="s">
        <v>1463</v>
      </c>
      <c r="H1803" s="24" t="s">
        <v>27</v>
      </c>
      <c r="I1803" s="24" t="s">
        <v>1351</v>
      </c>
      <c r="J1803" s="15" t="s">
        <v>28</v>
      </c>
      <c r="K1803" s="16" t="s">
        <v>29</v>
      </c>
      <c r="L1803" s="62"/>
      <c r="M1803" s="15"/>
      <c r="N1803" s="15" t="s">
        <v>130</v>
      </c>
      <c r="O1803" s="15"/>
      <c r="P1803" s="16" t="s">
        <v>1465</v>
      </c>
      <c r="Q1803" s="17">
        <v>21399</v>
      </c>
      <c r="R1803" s="18">
        <v>45</v>
      </c>
      <c r="S1803" s="19">
        <v>13534.8675</v>
      </c>
      <c r="T1803" s="20" t="s">
        <v>33</v>
      </c>
      <c r="U1803" s="21" t="s">
        <v>34</v>
      </c>
      <c r="V1803" s="22">
        <v>48</v>
      </c>
      <c r="W1803" s="22">
        <v>2</v>
      </c>
      <c r="X1803" s="23"/>
    </row>
    <row r="1804" spans="1:24" s="1" customFormat="1" ht="35" customHeight="1" x14ac:dyDescent="0.3">
      <c r="A1804" s="11" t="s">
        <v>23</v>
      </c>
      <c r="B1804" s="11" t="s">
        <v>1466</v>
      </c>
      <c r="C1804" s="12" t="s">
        <v>1467</v>
      </c>
      <c r="D1804" s="57"/>
      <c r="E1804" s="43" t="str">
        <f>HYPERLINK("https://www.google.ru/search?q=A4435-0010&amp;newwindow=1&amp;tbm=isch","Еще фото")</f>
        <v>Еще фото</v>
      </c>
      <c r="F1804" s="14"/>
      <c r="G1804" s="11" t="s">
        <v>1374</v>
      </c>
      <c r="H1804" s="11" t="s">
        <v>27</v>
      </c>
      <c r="I1804" s="15" t="s">
        <v>1351</v>
      </c>
      <c r="J1804" s="15" t="s">
        <v>28</v>
      </c>
      <c r="K1804" s="16" t="s">
        <v>29</v>
      </c>
      <c r="L1804" s="60" t="s">
        <v>1468</v>
      </c>
      <c r="M1804" s="15"/>
      <c r="N1804" s="15" t="s">
        <v>138</v>
      </c>
      <c r="O1804" s="15"/>
      <c r="P1804" s="16" t="s">
        <v>32</v>
      </c>
      <c r="Q1804" s="17">
        <v>21299</v>
      </c>
      <c r="R1804" s="18">
        <v>45</v>
      </c>
      <c r="S1804" s="19">
        <v>13471.6175</v>
      </c>
      <c r="T1804" s="20" t="s">
        <v>33</v>
      </c>
      <c r="U1804" s="21" t="s">
        <v>62</v>
      </c>
      <c r="V1804" s="22">
        <v>44</v>
      </c>
      <c r="W1804" s="22">
        <v>10</v>
      </c>
      <c r="X1804" s="23"/>
    </row>
    <row r="1805" spans="1:24" s="1" customFormat="1" ht="35" customHeight="1" x14ac:dyDescent="0.3">
      <c r="A1805" s="24" t="s">
        <v>23</v>
      </c>
      <c r="B1805" s="24" t="s">
        <v>1466</v>
      </c>
      <c r="C1805" s="12" t="s">
        <v>1467</v>
      </c>
      <c r="D1805" s="58"/>
      <c r="E1805" s="43" t="str">
        <f>HYPERLINK("https://www.google.ru/search?q=A4435-0010&amp;newwindow=1&amp;tbm=isch","Еще фото")</f>
        <v>Еще фото</v>
      </c>
      <c r="F1805" s="14"/>
      <c r="G1805" s="24" t="s">
        <v>1374</v>
      </c>
      <c r="H1805" s="24" t="s">
        <v>27</v>
      </c>
      <c r="I1805" s="24" t="s">
        <v>1351</v>
      </c>
      <c r="J1805" s="15" t="s">
        <v>28</v>
      </c>
      <c r="K1805" s="16" t="s">
        <v>29</v>
      </c>
      <c r="L1805" s="61"/>
      <c r="M1805" s="15"/>
      <c r="N1805" s="15" t="s">
        <v>138</v>
      </c>
      <c r="O1805" s="15"/>
      <c r="P1805" s="16" t="s">
        <v>32</v>
      </c>
      <c r="Q1805" s="17">
        <v>21299</v>
      </c>
      <c r="R1805" s="18">
        <v>45</v>
      </c>
      <c r="S1805" s="19">
        <v>13471.6175</v>
      </c>
      <c r="T1805" s="20" t="s">
        <v>33</v>
      </c>
      <c r="U1805" s="21" t="s">
        <v>64</v>
      </c>
      <c r="V1805" s="22">
        <v>46</v>
      </c>
      <c r="W1805" s="22">
        <v>13</v>
      </c>
      <c r="X1805" s="23"/>
    </row>
    <row r="1806" spans="1:24" s="1" customFormat="1" ht="37.049999999999997" customHeight="1" x14ac:dyDescent="0.3">
      <c r="A1806" s="24" t="s">
        <v>23</v>
      </c>
      <c r="B1806" s="24" t="s">
        <v>1466</v>
      </c>
      <c r="C1806" s="12" t="s">
        <v>1467</v>
      </c>
      <c r="D1806" s="59"/>
      <c r="E1806" s="43" t="str">
        <f>HYPERLINK("https://www.google.ru/search?q=A4435-0010&amp;newwindow=1&amp;tbm=isch","Еще фото")</f>
        <v>Еще фото</v>
      </c>
      <c r="F1806" s="14"/>
      <c r="G1806" s="24" t="s">
        <v>1374</v>
      </c>
      <c r="H1806" s="24" t="s">
        <v>27</v>
      </c>
      <c r="I1806" s="24" t="s">
        <v>1351</v>
      </c>
      <c r="J1806" s="15" t="s">
        <v>28</v>
      </c>
      <c r="K1806" s="16" t="s">
        <v>29</v>
      </c>
      <c r="L1806" s="62"/>
      <c r="M1806" s="15"/>
      <c r="N1806" s="15" t="s">
        <v>138</v>
      </c>
      <c r="O1806" s="15"/>
      <c r="P1806" s="16" t="s">
        <v>32</v>
      </c>
      <c r="Q1806" s="17">
        <v>21299</v>
      </c>
      <c r="R1806" s="18">
        <v>45</v>
      </c>
      <c r="S1806" s="19">
        <v>13471.6175</v>
      </c>
      <c r="T1806" s="20" t="s">
        <v>33</v>
      </c>
      <c r="U1806" s="21" t="s">
        <v>34</v>
      </c>
      <c r="V1806" s="22">
        <v>48</v>
      </c>
      <c r="W1806" s="22">
        <v>17</v>
      </c>
      <c r="X1806" s="23"/>
    </row>
    <row r="1807" spans="1:24" s="1" customFormat="1" ht="108" customHeight="1" x14ac:dyDescent="0.3">
      <c r="A1807" s="11" t="s">
        <v>23</v>
      </c>
      <c r="B1807" s="11" t="s">
        <v>1469</v>
      </c>
      <c r="C1807" s="12" t="s">
        <v>1470</v>
      </c>
      <c r="D1807" s="13"/>
      <c r="E1807" s="43" t="str">
        <f>HYPERLINK("https://www.google.ru/search?q=A7183-0010&amp;newwindow=1&amp;tbm=isch","Еще фото")</f>
        <v>Еще фото</v>
      </c>
      <c r="F1807" s="14"/>
      <c r="G1807" s="11" t="s">
        <v>1471</v>
      </c>
      <c r="H1807" s="11" t="s">
        <v>27</v>
      </c>
      <c r="I1807" s="15" t="s">
        <v>1351</v>
      </c>
      <c r="J1807" s="15" t="s">
        <v>37</v>
      </c>
      <c r="K1807" s="16" t="s">
        <v>29</v>
      </c>
      <c r="L1807" s="15" t="s">
        <v>1472</v>
      </c>
      <c r="M1807" s="15"/>
      <c r="N1807" s="15" t="s">
        <v>138</v>
      </c>
      <c r="O1807" s="15"/>
      <c r="P1807" s="16" t="s">
        <v>32</v>
      </c>
      <c r="Q1807" s="17">
        <v>24199</v>
      </c>
      <c r="R1807" s="18">
        <v>45</v>
      </c>
      <c r="S1807" s="19">
        <v>15305.8675</v>
      </c>
      <c r="T1807" s="20" t="s">
        <v>33</v>
      </c>
      <c r="U1807" s="21" t="s">
        <v>61</v>
      </c>
      <c r="V1807" s="22">
        <v>42</v>
      </c>
      <c r="W1807" s="22">
        <v>2</v>
      </c>
      <c r="X1807" s="23"/>
    </row>
    <row r="1808" spans="1:24" s="1" customFormat="1" ht="108" customHeight="1" x14ac:dyDescent="0.3">
      <c r="A1808" s="11" t="s">
        <v>23</v>
      </c>
      <c r="B1808" s="11" t="s">
        <v>1473</v>
      </c>
      <c r="C1808" s="12" t="s">
        <v>1474</v>
      </c>
      <c r="D1808" s="13"/>
      <c r="E1808" s="43" t="str">
        <f>HYPERLINK("https://www.google.ru/search?q=A8523-0001&amp;newwindow=1&amp;tbm=isch","Еще фото")</f>
        <v>Еще фото</v>
      </c>
      <c r="F1808" s="14"/>
      <c r="G1808" s="11" t="s">
        <v>1396</v>
      </c>
      <c r="H1808" s="11" t="s">
        <v>27</v>
      </c>
      <c r="I1808" s="15" t="s">
        <v>1351</v>
      </c>
      <c r="J1808" s="15" t="s">
        <v>37</v>
      </c>
      <c r="K1808" s="16" t="s">
        <v>29</v>
      </c>
      <c r="L1808" s="15" t="s">
        <v>1475</v>
      </c>
      <c r="M1808" s="15"/>
      <c r="N1808" s="15" t="s">
        <v>39</v>
      </c>
      <c r="O1808" s="15"/>
      <c r="P1808" s="16" t="s">
        <v>1414</v>
      </c>
      <c r="Q1808" s="17">
        <v>11299</v>
      </c>
      <c r="R1808" s="18">
        <v>45</v>
      </c>
      <c r="S1808" s="19">
        <v>7146.6174999999994</v>
      </c>
      <c r="T1808" s="20" t="s">
        <v>33</v>
      </c>
      <c r="U1808" s="21" t="s">
        <v>62</v>
      </c>
      <c r="V1808" s="22">
        <v>44</v>
      </c>
      <c r="W1808" s="22">
        <v>1</v>
      </c>
      <c r="X1808" s="23"/>
    </row>
    <row r="1809" spans="1:24" s="1" customFormat="1" ht="35" customHeight="1" x14ac:dyDescent="0.3">
      <c r="A1809" s="11" t="s">
        <v>23</v>
      </c>
      <c r="B1809" s="11" t="s">
        <v>1476</v>
      </c>
      <c r="C1809" s="12" t="s">
        <v>1477</v>
      </c>
      <c r="D1809" s="57"/>
      <c r="E1809" s="43" t="str">
        <f>HYPERLINK("https://www.google.ru/search?q=A8525-0001&amp;newwindow=1&amp;tbm=isch","Еще фото")</f>
        <v>Еще фото</v>
      </c>
      <c r="F1809" s="34" t="s">
        <v>469</v>
      </c>
      <c r="G1809" s="11" t="s">
        <v>1350</v>
      </c>
      <c r="H1809" s="11" t="s">
        <v>27</v>
      </c>
      <c r="I1809" s="15" t="s">
        <v>1351</v>
      </c>
      <c r="J1809" s="15" t="s">
        <v>37</v>
      </c>
      <c r="K1809" s="16" t="s">
        <v>29</v>
      </c>
      <c r="L1809" s="60"/>
      <c r="M1809" s="15"/>
      <c r="N1809" s="15" t="s">
        <v>59</v>
      </c>
      <c r="O1809" s="15"/>
      <c r="P1809" s="16" t="s">
        <v>1478</v>
      </c>
      <c r="Q1809" s="17">
        <v>20299</v>
      </c>
      <c r="R1809" s="18">
        <v>45</v>
      </c>
      <c r="S1809" s="19">
        <v>12839.1175</v>
      </c>
      <c r="T1809" s="20" t="s">
        <v>33</v>
      </c>
      <c r="U1809" s="21" t="s">
        <v>61</v>
      </c>
      <c r="V1809" s="22">
        <v>42</v>
      </c>
      <c r="W1809" s="22">
        <v>8</v>
      </c>
      <c r="X1809" s="23"/>
    </row>
    <row r="1810" spans="1:24" s="1" customFormat="1" ht="35" customHeight="1" x14ac:dyDescent="0.3">
      <c r="A1810" s="24" t="s">
        <v>23</v>
      </c>
      <c r="B1810" s="24" t="s">
        <v>1476</v>
      </c>
      <c r="C1810" s="12" t="s">
        <v>1477</v>
      </c>
      <c r="D1810" s="58"/>
      <c r="E1810" s="43" t="str">
        <f>HYPERLINK("https://www.google.ru/search?q=A8525-0001&amp;newwindow=1&amp;tbm=isch","Еще фото")</f>
        <v>Еще фото</v>
      </c>
      <c r="F1810" s="34" t="s">
        <v>469</v>
      </c>
      <c r="G1810" s="24" t="s">
        <v>1350</v>
      </c>
      <c r="H1810" s="24" t="s">
        <v>27</v>
      </c>
      <c r="I1810" s="24" t="s">
        <v>1351</v>
      </c>
      <c r="J1810" s="15" t="s">
        <v>37</v>
      </c>
      <c r="K1810" s="16" t="s">
        <v>29</v>
      </c>
      <c r="L1810" s="61"/>
      <c r="M1810" s="15"/>
      <c r="N1810" s="15" t="s">
        <v>59</v>
      </c>
      <c r="O1810" s="15"/>
      <c r="P1810" s="16" t="s">
        <v>1478</v>
      </c>
      <c r="Q1810" s="17">
        <v>20299</v>
      </c>
      <c r="R1810" s="18">
        <v>45</v>
      </c>
      <c r="S1810" s="19">
        <v>12839.1175</v>
      </c>
      <c r="T1810" s="20" t="s">
        <v>33</v>
      </c>
      <c r="U1810" s="21" t="s">
        <v>64</v>
      </c>
      <c r="V1810" s="22">
        <v>46</v>
      </c>
      <c r="W1810" s="22">
        <v>8</v>
      </c>
      <c r="X1810" s="23"/>
    </row>
    <row r="1811" spans="1:24" s="1" customFormat="1" ht="37.049999999999997" customHeight="1" x14ac:dyDescent="0.3">
      <c r="A1811" s="24" t="s">
        <v>23</v>
      </c>
      <c r="B1811" s="24" t="s">
        <v>1476</v>
      </c>
      <c r="C1811" s="12" t="s">
        <v>1477</v>
      </c>
      <c r="D1811" s="59"/>
      <c r="E1811" s="43" t="str">
        <f>HYPERLINK("https://www.google.ru/search?q=A8525-0001&amp;newwindow=1&amp;tbm=isch","Еще фото")</f>
        <v>Еще фото</v>
      </c>
      <c r="F1811" s="34" t="s">
        <v>469</v>
      </c>
      <c r="G1811" s="24" t="s">
        <v>1350</v>
      </c>
      <c r="H1811" s="24" t="s">
        <v>27</v>
      </c>
      <c r="I1811" s="24" t="s">
        <v>1351</v>
      </c>
      <c r="J1811" s="15" t="s">
        <v>37</v>
      </c>
      <c r="K1811" s="16" t="s">
        <v>29</v>
      </c>
      <c r="L1811" s="62"/>
      <c r="M1811" s="15"/>
      <c r="N1811" s="15" t="s">
        <v>59</v>
      </c>
      <c r="O1811" s="15"/>
      <c r="P1811" s="16" t="s">
        <v>1478</v>
      </c>
      <c r="Q1811" s="17">
        <v>20299</v>
      </c>
      <c r="R1811" s="18">
        <v>45</v>
      </c>
      <c r="S1811" s="19">
        <v>12839.1175</v>
      </c>
      <c r="T1811" s="20" t="s">
        <v>33</v>
      </c>
      <c r="U1811" s="21" t="s">
        <v>34</v>
      </c>
      <c r="V1811" s="22">
        <v>48</v>
      </c>
      <c r="W1811" s="22">
        <v>2</v>
      </c>
      <c r="X1811" s="23"/>
    </row>
    <row r="1812" spans="1:24" s="1" customFormat="1" ht="108" customHeight="1" x14ac:dyDescent="0.3">
      <c r="A1812" s="11" t="s">
        <v>23</v>
      </c>
      <c r="B1812" s="11" t="s">
        <v>1479</v>
      </c>
      <c r="C1812" s="12" t="s">
        <v>1480</v>
      </c>
      <c r="D1812" s="13"/>
      <c r="E1812" s="43" t="str">
        <f>HYPERLINK("https://www.google.ru/search?q=A8526-0000&amp;newwindow=1&amp;tbm=isch","Еще фото")</f>
        <v>Еще фото</v>
      </c>
      <c r="F1812" s="14"/>
      <c r="G1812" s="11" t="s">
        <v>1396</v>
      </c>
      <c r="H1812" s="11" t="s">
        <v>27</v>
      </c>
      <c r="I1812" s="15" t="s">
        <v>1351</v>
      </c>
      <c r="J1812" s="15" t="s">
        <v>37</v>
      </c>
      <c r="K1812" s="16" t="s">
        <v>29</v>
      </c>
      <c r="L1812" s="15" t="s">
        <v>1481</v>
      </c>
      <c r="M1812" s="15"/>
      <c r="N1812" s="15" t="s">
        <v>130</v>
      </c>
      <c r="O1812" s="15"/>
      <c r="P1812" s="16" t="s">
        <v>172</v>
      </c>
      <c r="Q1812" s="17">
        <v>23299</v>
      </c>
      <c r="R1812" s="18">
        <v>45</v>
      </c>
      <c r="S1812" s="19">
        <v>14736.6175</v>
      </c>
      <c r="T1812" s="20" t="s">
        <v>33</v>
      </c>
      <c r="U1812" s="21" t="s">
        <v>61</v>
      </c>
      <c r="V1812" s="22">
        <v>42</v>
      </c>
      <c r="W1812" s="22">
        <v>1</v>
      </c>
      <c r="X1812" s="23"/>
    </row>
    <row r="1813" spans="1:24" s="1" customFormat="1" ht="108" customHeight="1" x14ac:dyDescent="0.3">
      <c r="A1813" s="11" t="s">
        <v>23</v>
      </c>
      <c r="B1813" s="11" t="s">
        <v>1482</v>
      </c>
      <c r="C1813" s="12" t="s">
        <v>1483</v>
      </c>
      <c r="D1813" s="13"/>
      <c r="E1813" s="43" t="str">
        <f>HYPERLINK("https://www.google.ru/search?q=A8527-0001&amp;newwindow=1&amp;tbm=isch","Еще фото")</f>
        <v>Еще фото</v>
      </c>
      <c r="F1813" s="14"/>
      <c r="G1813" s="11" t="s">
        <v>1350</v>
      </c>
      <c r="H1813" s="11" t="s">
        <v>27</v>
      </c>
      <c r="I1813" s="15" t="s">
        <v>1351</v>
      </c>
      <c r="J1813" s="15" t="s">
        <v>37</v>
      </c>
      <c r="K1813" s="16" t="s">
        <v>29</v>
      </c>
      <c r="L1813" s="15" t="s">
        <v>1484</v>
      </c>
      <c r="M1813" s="15"/>
      <c r="N1813" s="15" t="s">
        <v>156</v>
      </c>
      <c r="O1813" s="15"/>
      <c r="P1813" s="16" t="s">
        <v>1397</v>
      </c>
      <c r="Q1813" s="17">
        <v>30799</v>
      </c>
      <c r="R1813" s="18">
        <v>45</v>
      </c>
      <c r="S1813" s="19">
        <v>19480.3675</v>
      </c>
      <c r="T1813" s="20" t="s">
        <v>33</v>
      </c>
      <c r="U1813" s="21" t="s">
        <v>61</v>
      </c>
      <c r="V1813" s="22">
        <v>42</v>
      </c>
      <c r="W1813" s="22">
        <v>1</v>
      </c>
      <c r="X1813" s="23"/>
    </row>
    <row r="1814" spans="1:24" s="1" customFormat="1" ht="108" customHeight="1" x14ac:dyDescent="0.3">
      <c r="A1814" s="11" t="s">
        <v>23</v>
      </c>
      <c r="B1814" s="11" t="s">
        <v>1485</v>
      </c>
      <c r="C1814" s="12" t="s">
        <v>1486</v>
      </c>
      <c r="D1814" s="13"/>
      <c r="E1814" s="43" t="str">
        <f>HYPERLINK("https://www.google.ru/search?q=A8529-0000&amp;newwindow=1&amp;tbm=isch","Еще фото")</f>
        <v>Еще фото</v>
      </c>
      <c r="F1814" s="14"/>
      <c r="G1814" s="11" t="s">
        <v>1350</v>
      </c>
      <c r="H1814" s="11" t="s">
        <v>27</v>
      </c>
      <c r="I1814" s="15" t="s">
        <v>1351</v>
      </c>
      <c r="J1814" s="15" t="s">
        <v>37</v>
      </c>
      <c r="K1814" s="16" t="s">
        <v>29</v>
      </c>
      <c r="L1814" s="15"/>
      <c r="M1814" s="15"/>
      <c r="N1814" s="15" t="s">
        <v>39</v>
      </c>
      <c r="O1814" s="15"/>
      <c r="P1814" s="16" t="s">
        <v>1397</v>
      </c>
      <c r="Q1814" s="17">
        <v>45799</v>
      </c>
      <c r="R1814" s="18">
        <v>45</v>
      </c>
      <c r="S1814" s="19">
        <v>28967.8675</v>
      </c>
      <c r="T1814" s="20" t="s">
        <v>33</v>
      </c>
      <c r="U1814" s="21" t="s">
        <v>61</v>
      </c>
      <c r="V1814" s="22">
        <v>42</v>
      </c>
      <c r="W1814" s="22">
        <v>1</v>
      </c>
      <c r="X1814" s="23"/>
    </row>
    <row r="1815" spans="1:24" s="1" customFormat="1" ht="21" customHeight="1" x14ac:dyDescent="0.3">
      <c r="A1815" s="11" t="s">
        <v>23</v>
      </c>
      <c r="B1815" s="11" t="s">
        <v>1487</v>
      </c>
      <c r="C1815" s="30" t="s">
        <v>1488</v>
      </c>
      <c r="D1815" s="57"/>
      <c r="E1815" s="43" t="str">
        <f>HYPERLINK("https://www.google.ru/search?q=A8556-0000&amp;newwindow=1&amp;tbm=isch","Еще фото")</f>
        <v>Еще фото</v>
      </c>
      <c r="F1815" s="34" t="s">
        <v>469</v>
      </c>
      <c r="G1815" s="11" t="s">
        <v>1489</v>
      </c>
      <c r="H1815" s="11" t="s">
        <v>27</v>
      </c>
      <c r="I1815" s="15" t="s">
        <v>1351</v>
      </c>
      <c r="J1815" s="15" t="s">
        <v>37</v>
      </c>
      <c r="K1815" s="16" t="s">
        <v>57</v>
      </c>
      <c r="L1815" s="60" t="s">
        <v>1490</v>
      </c>
      <c r="M1815" s="15"/>
      <c r="N1815" s="15" t="s">
        <v>39</v>
      </c>
      <c r="O1815" s="15"/>
      <c r="P1815" s="16" t="s">
        <v>1418</v>
      </c>
      <c r="Q1815" s="17">
        <v>30599</v>
      </c>
      <c r="R1815" s="18">
        <v>45</v>
      </c>
      <c r="S1815" s="19">
        <v>19353.8675</v>
      </c>
      <c r="T1815" s="20" t="s">
        <v>33</v>
      </c>
      <c r="U1815" s="21" t="s">
        <v>61</v>
      </c>
      <c r="V1815" s="22">
        <v>44</v>
      </c>
      <c r="W1815" s="22">
        <v>5</v>
      </c>
      <c r="X1815" s="23"/>
    </row>
    <row r="1816" spans="1:24" s="1" customFormat="1" ht="21" customHeight="1" x14ac:dyDescent="0.3">
      <c r="A1816" s="24" t="s">
        <v>23</v>
      </c>
      <c r="B1816" s="24" t="s">
        <v>1487</v>
      </c>
      <c r="C1816" s="31" t="s">
        <v>1488</v>
      </c>
      <c r="D1816" s="58"/>
      <c r="E1816" s="43" t="str">
        <f>HYPERLINK("https://www.google.ru/search?q=A8556-0000&amp;newwindow=1&amp;tbm=isch","Еще фото")</f>
        <v>Еще фото</v>
      </c>
      <c r="F1816" s="34" t="s">
        <v>469</v>
      </c>
      <c r="G1816" s="24" t="s">
        <v>1489</v>
      </c>
      <c r="H1816" s="24" t="s">
        <v>27</v>
      </c>
      <c r="I1816" s="24" t="s">
        <v>1351</v>
      </c>
      <c r="J1816" s="15" t="s">
        <v>37</v>
      </c>
      <c r="K1816" s="16" t="s">
        <v>57</v>
      </c>
      <c r="L1816" s="61"/>
      <c r="M1816" s="15"/>
      <c r="N1816" s="15" t="s">
        <v>39</v>
      </c>
      <c r="O1816" s="15"/>
      <c r="P1816" s="16" t="s">
        <v>1418</v>
      </c>
      <c r="Q1816" s="17">
        <v>30599</v>
      </c>
      <c r="R1816" s="18">
        <v>45</v>
      </c>
      <c r="S1816" s="19">
        <v>19353.8675</v>
      </c>
      <c r="T1816" s="20" t="s">
        <v>33</v>
      </c>
      <c r="U1816" s="21" t="s">
        <v>62</v>
      </c>
      <c r="V1816" s="22">
        <v>46</v>
      </c>
      <c r="W1816" s="22">
        <v>24</v>
      </c>
      <c r="X1816" s="23"/>
    </row>
    <row r="1817" spans="1:24" s="1" customFormat="1" ht="21" customHeight="1" x14ac:dyDescent="0.3">
      <c r="A1817" s="24" t="s">
        <v>23</v>
      </c>
      <c r="B1817" s="24" t="s">
        <v>1487</v>
      </c>
      <c r="C1817" s="31" t="s">
        <v>1488</v>
      </c>
      <c r="D1817" s="58"/>
      <c r="E1817" s="43" t="str">
        <f>HYPERLINK("https://www.google.ru/search?q=A8556-0000&amp;newwindow=1&amp;tbm=isch","Еще фото")</f>
        <v>Еще фото</v>
      </c>
      <c r="F1817" s="34" t="s">
        <v>469</v>
      </c>
      <c r="G1817" s="24" t="s">
        <v>1489</v>
      </c>
      <c r="H1817" s="24" t="s">
        <v>27</v>
      </c>
      <c r="I1817" s="24" t="s">
        <v>1351</v>
      </c>
      <c r="J1817" s="15" t="s">
        <v>37</v>
      </c>
      <c r="K1817" s="16" t="s">
        <v>57</v>
      </c>
      <c r="L1817" s="61"/>
      <c r="M1817" s="15"/>
      <c r="N1817" s="15" t="s">
        <v>39</v>
      </c>
      <c r="O1817" s="15"/>
      <c r="P1817" s="16" t="s">
        <v>1418</v>
      </c>
      <c r="Q1817" s="17">
        <v>30599</v>
      </c>
      <c r="R1817" s="18">
        <v>45</v>
      </c>
      <c r="S1817" s="19">
        <v>19353.8675</v>
      </c>
      <c r="T1817" s="20" t="s">
        <v>33</v>
      </c>
      <c r="U1817" s="21" t="s">
        <v>64</v>
      </c>
      <c r="V1817" s="22">
        <v>48</v>
      </c>
      <c r="W1817" s="22">
        <v>67</v>
      </c>
      <c r="X1817" s="23"/>
    </row>
    <row r="1818" spans="1:24" s="1" customFormat="1" ht="21" customHeight="1" x14ac:dyDescent="0.3">
      <c r="A1818" s="24" t="s">
        <v>23</v>
      </c>
      <c r="B1818" s="24" t="s">
        <v>1487</v>
      </c>
      <c r="C1818" s="31" t="s">
        <v>1488</v>
      </c>
      <c r="D1818" s="58"/>
      <c r="E1818" s="43" t="str">
        <f>HYPERLINK("https://www.google.ru/search?q=A8556-0000&amp;newwindow=1&amp;tbm=isch","Еще фото")</f>
        <v>Еще фото</v>
      </c>
      <c r="F1818" s="34" t="s">
        <v>469</v>
      </c>
      <c r="G1818" s="24" t="s">
        <v>1489</v>
      </c>
      <c r="H1818" s="24" t="s">
        <v>27</v>
      </c>
      <c r="I1818" s="24" t="s">
        <v>1351</v>
      </c>
      <c r="J1818" s="15" t="s">
        <v>37</v>
      </c>
      <c r="K1818" s="16" t="s">
        <v>57</v>
      </c>
      <c r="L1818" s="61"/>
      <c r="M1818" s="15"/>
      <c r="N1818" s="15" t="s">
        <v>39</v>
      </c>
      <c r="O1818" s="15"/>
      <c r="P1818" s="16" t="s">
        <v>1418</v>
      </c>
      <c r="Q1818" s="17">
        <v>30599</v>
      </c>
      <c r="R1818" s="18">
        <v>45</v>
      </c>
      <c r="S1818" s="19">
        <v>19353.8675</v>
      </c>
      <c r="T1818" s="20" t="s">
        <v>33</v>
      </c>
      <c r="U1818" s="21" t="s">
        <v>34</v>
      </c>
      <c r="V1818" s="25" t="s">
        <v>90</v>
      </c>
      <c r="W1818" s="22">
        <v>37</v>
      </c>
      <c r="X1818" s="23"/>
    </row>
    <row r="1819" spans="1:24" s="1" customFormat="1" ht="32" customHeight="1" x14ac:dyDescent="0.3">
      <c r="A1819" s="24" t="s">
        <v>23</v>
      </c>
      <c r="B1819" s="24" t="s">
        <v>1487</v>
      </c>
      <c r="C1819" s="31" t="s">
        <v>1488</v>
      </c>
      <c r="D1819" s="59"/>
      <c r="E1819" s="43" t="str">
        <f>HYPERLINK("https://www.google.ru/search?q=A8556-0000&amp;newwindow=1&amp;tbm=isch","Еще фото")</f>
        <v>Еще фото</v>
      </c>
      <c r="F1819" s="34" t="s">
        <v>469</v>
      </c>
      <c r="G1819" s="24" t="s">
        <v>1489</v>
      </c>
      <c r="H1819" s="24" t="s">
        <v>27</v>
      </c>
      <c r="I1819" s="24" t="s">
        <v>1351</v>
      </c>
      <c r="J1819" s="15" t="s">
        <v>37</v>
      </c>
      <c r="K1819" s="16" t="s">
        <v>57</v>
      </c>
      <c r="L1819" s="62"/>
      <c r="M1819" s="15"/>
      <c r="N1819" s="15" t="s">
        <v>39</v>
      </c>
      <c r="O1819" s="15"/>
      <c r="P1819" s="16" t="s">
        <v>1418</v>
      </c>
      <c r="Q1819" s="17">
        <v>30599</v>
      </c>
      <c r="R1819" s="18">
        <v>45</v>
      </c>
      <c r="S1819" s="19">
        <v>19353.8675</v>
      </c>
      <c r="T1819" s="20" t="s">
        <v>33</v>
      </c>
      <c r="U1819" s="21" t="s">
        <v>150</v>
      </c>
      <c r="V1819" s="25" t="s">
        <v>761</v>
      </c>
      <c r="W1819" s="22">
        <v>12</v>
      </c>
      <c r="X1819" s="23"/>
    </row>
    <row r="1820" spans="1:24" s="1" customFormat="1" ht="21" customHeight="1" x14ac:dyDescent="0.3">
      <c r="A1820" s="11" t="s">
        <v>23</v>
      </c>
      <c r="B1820" s="11" t="s">
        <v>1491</v>
      </c>
      <c r="C1820" s="30" t="s">
        <v>1492</v>
      </c>
      <c r="D1820" s="57"/>
      <c r="E1820" s="43" t="str">
        <f>HYPERLINK("https://www.google.ru/search?q=A8557-0000&amp;newwindow=1&amp;tbm=isch","Еще фото")</f>
        <v>Еще фото</v>
      </c>
      <c r="F1820" s="34" t="s">
        <v>469</v>
      </c>
      <c r="G1820" s="11" t="s">
        <v>1350</v>
      </c>
      <c r="H1820" s="11" t="s">
        <v>27</v>
      </c>
      <c r="I1820" s="15" t="s">
        <v>1351</v>
      </c>
      <c r="J1820" s="15" t="s">
        <v>37</v>
      </c>
      <c r="K1820" s="16" t="s">
        <v>57</v>
      </c>
      <c r="L1820" s="60" t="s">
        <v>1493</v>
      </c>
      <c r="M1820" s="15"/>
      <c r="N1820" s="15" t="s">
        <v>39</v>
      </c>
      <c r="O1820" s="15"/>
      <c r="P1820" s="16" t="s">
        <v>1418</v>
      </c>
      <c r="Q1820" s="17">
        <v>40999</v>
      </c>
      <c r="R1820" s="18">
        <v>45</v>
      </c>
      <c r="S1820" s="19">
        <v>25931.8675</v>
      </c>
      <c r="T1820" s="20" t="s">
        <v>33</v>
      </c>
      <c r="U1820" s="21" t="s">
        <v>62</v>
      </c>
      <c r="V1820" s="22">
        <v>46</v>
      </c>
      <c r="W1820" s="22">
        <v>1</v>
      </c>
      <c r="X1820" s="23"/>
    </row>
    <row r="1821" spans="1:24" s="1" customFormat="1" ht="21" customHeight="1" x14ac:dyDescent="0.3">
      <c r="A1821" s="24" t="s">
        <v>23</v>
      </c>
      <c r="B1821" s="24" t="s">
        <v>1491</v>
      </c>
      <c r="C1821" s="31" t="s">
        <v>1492</v>
      </c>
      <c r="D1821" s="58"/>
      <c r="E1821" s="43" t="str">
        <f>HYPERLINK("https://www.google.ru/search?q=A8557-0000&amp;newwindow=1&amp;tbm=isch","Еще фото")</f>
        <v>Еще фото</v>
      </c>
      <c r="F1821" s="34" t="s">
        <v>469</v>
      </c>
      <c r="G1821" s="24" t="s">
        <v>1350</v>
      </c>
      <c r="H1821" s="24" t="s">
        <v>27</v>
      </c>
      <c r="I1821" s="24" t="s">
        <v>1351</v>
      </c>
      <c r="J1821" s="15" t="s">
        <v>37</v>
      </c>
      <c r="K1821" s="16" t="s">
        <v>57</v>
      </c>
      <c r="L1821" s="61"/>
      <c r="M1821" s="15"/>
      <c r="N1821" s="15" t="s">
        <v>39</v>
      </c>
      <c r="O1821" s="15"/>
      <c r="P1821" s="16" t="s">
        <v>1418</v>
      </c>
      <c r="Q1821" s="17">
        <v>40999</v>
      </c>
      <c r="R1821" s="18">
        <v>45</v>
      </c>
      <c r="S1821" s="19">
        <v>25931.8675</v>
      </c>
      <c r="T1821" s="20" t="s">
        <v>33</v>
      </c>
      <c r="U1821" s="21" t="s">
        <v>64</v>
      </c>
      <c r="V1821" s="22">
        <v>48</v>
      </c>
      <c r="W1821" s="22">
        <v>20</v>
      </c>
      <c r="X1821" s="23"/>
    </row>
    <row r="1822" spans="1:24" s="1" customFormat="1" ht="21" customHeight="1" x14ac:dyDescent="0.3">
      <c r="A1822" s="24" t="s">
        <v>23</v>
      </c>
      <c r="B1822" s="24" t="s">
        <v>1491</v>
      </c>
      <c r="C1822" s="31" t="s">
        <v>1492</v>
      </c>
      <c r="D1822" s="58"/>
      <c r="E1822" s="43" t="str">
        <f>HYPERLINK("https://www.google.ru/search?q=A8557-0000&amp;newwindow=1&amp;tbm=isch","Еще фото")</f>
        <v>Еще фото</v>
      </c>
      <c r="F1822" s="34" t="s">
        <v>469</v>
      </c>
      <c r="G1822" s="24" t="s">
        <v>1350</v>
      </c>
      <c r="H1822" s="24" t="s">
        <v>27</v>
      </c>
      <c r="I1822" s="24" t="s">
        <v>1351</v>
      </c>
      <c r="J1822" s="15" t="s">
        <v>37</v>
      </c>
      <c r="K1822" s="16" t="s">
        <v>57</v>
      </c>
      <c r="L1822" s="61"/>
      <c r="M1822" s="15"/>
      <c r="N1822" s="15" t="s">
        <v>39</v>
      </c>
      <c r="O1822" s="15"/>
      <c r="P1822" s="16" t="s">
        <v>1418</v>
      </c>
      <c r="Q1822" s="17">
        <v>40999</v>
      </c>
      <c r="R1822" s="18">
        <v>45</v>
      </c>
      <c r="S1822" s="19">
        <v>25931.8675</v>
      </c>
      <c r="T1822" s="20" t="s">
        <v>33</v>
      </c>
      <c r="U1822" s="21" t="s">
        <v>34</v>
      </c>
      <c r="V1822" s="25" t="s">
        <v>90</v>
      </c>
      <c r="W1822" s="22">
        <v>64</v>
      </c>
      <c r="X1822" s="23"/>
    </row>
    <row r="1823" spans="1:24" s="1" customFormat="1" ht="21" customHeight="1" x14ac:dyDescent="0.3">
      <c r="A1823" s="24" t="s">
        <v>23</v>
      </c>
      <c r="B1823" s="24" t="s">
        <v>1491</v>
      </c>
      <c r="C1823" s="31" t="s">
        <v>1492</v>
      </c>
      <c r="D1823" s="58"/>
      <c r="E1823" s="43" t="str">
        <f>HYPERLINK("https://www.google.ru/search?q=A8557-0000&amp;newwindow=1&amp;tbm=isch","Еще фото")</f>
        <v>Еще фото</v>
      </c>
      <c r="F1823" s="34" t="s">
        <v>469</v>
      </c>
      <c r="G1823" s="24" t="s">
        <v>1350</v>
      </c>
      <c r="H1823" s="24" t="s">
        <v>27</v>
      </c>
      <c r="I1823" s="24" t="s">
        <v>1351</v>
      </c>
      <c r="J1823" s="15" t="s">
        <v>37</v>
      </c>
      <c r="K1823" s="16" t="s">
        <v>57</v>
      </c>
      <c r="L1823" s="61"/>
      <c r="M1823" s="15"/>
      <c r="N1823" s="15" t="s">
        <v>39</v>
      </c>
      <c r="O1823" s="15"/>
      <c r="P1823" s="16" t="s">
        <v>1418</v>
      </c>
      <c r="Q1823" s="17">
        <v>40999</v>
      </c>
      <c r="R1823" s="18">
        <v>45</v>
      </c>
      <c r="S1823" s="19">
        <v>25931.8675</v>
      </c>
      <c r="T1823" s="20" t="s">
        <v>33</v>
      </c>
      <c r="U1823" s="21" t="s">
        <v>150</v>
      </c>
      <c r="V1823" s="25" t="s">
        <v>761</v>
      </c>
      <c r="W1823" s="22">
        <v>37</v>
      </c>
      <c r="X1823" s="23"/>
    </row>
    <row r="1824" spans="1:24" s="1" customFormat="1" ht="32" customHeight="1" x14ac:dyDescent="0.3">
      <c r="A1824" s="24" t="s">
        <v>23</v>
      </c>
      <c r="B1824" s="24" t="s">
        <v>1491</v>
      </c>
      <c r="C1824" s="31" t="s">
        <v>1492</v>
      </c>
      <c r="D1824" s="59"/>
      <c r="E1824" s="43" t="str">
        <f>HYPERLINK("https://www.google.ru/search?q=A8557-0000&amp;newwindow=1&amp;tbm=isch","Еще фото")</f>
        <v>Еще фото</v>
      </c>
      <c r="F1824" s="34" t="s">
        <v>469</v>
      </c>
      <c r="G1824" s="24" t="s">
        <v>1350</v>
      </c>
      <c r="H1824" s="24" t="s">
        <v>27</v>
      </c>
      <c r="I1824" s="24" t="s">
        <v>1351</v>
      </c>
      <c r="J1824" s="15" t="s">
        <v>37</v>
      </c>
      <c r="K1824" s="16" t="s">
        <v>57</v>
      </c>
      <c r="L1824" s="62"/>
      <c r="M1824" s="15"/>
      <c r="N1824" s="15" t="s">
        <v>39</v>
      </c>
      <c r="O1824" s="15"/>
      <c r="P1824" s="16" t="s">
        <v>1418</v>
      </c>
      <c r="Q1824" s="17">
        <v>40999</v>
      </c>
      <c r="R1824" s="18">
        <v>45</v>
      </c>
      <c r="S1824" s="19">
        <v>25931.8675</v>
      </c>
      <c r="T1824" s="20" t="s">
        <v>33</v>
      </c>
      <c r="U1824" s="21" t="s">
        <v>1494</v>
      </c>
      <c r="V1824" s="22">
        <v>54</v>
      </c>
      <c r="W1824" s="22">
        <v>14</v>
      </c>
      <c r="X1824" s="23"/>
    </row>
    <row r="1825" spans="1:24" s="1" customFormat="1" ht="21" customHeight="1" x14ac:dyDescent="0.3">
      <c r="A1825" s="11" t="s">
        <v>23</v>
      </c>
      <c r="B1825" s="11" t="s">
        <v>1495</v>
      </c>
      <c r="C1825" s="30" t="s">
        <v>1496</v>
      </c>
      <c r="D1825" s="57"/>
      <c r="E1825" s="43" t="str">
        <f>HYPERLINK("https://www.google.ru/search?q=A8557-0001&amp;newwindow=1&amp;tbm=isch","Еще фото")</f>
        <v>Еще фото</v>
      </c>
      <c r="F1825" s="34" t="s">
        <v>469</v>
      </c>
      <c r="G1825" s="11" t="s">
        <v>1350</v>
      </c>
      <c r="H1825" s="11" t="s">
        <v>27</v>
      </c>
      <c r="I1825" s="15" t="s">
        <v>1351</v>
      </c>
      <c r="J1825" s="15" t="s">
        <v>37</v>
      </c>
      <c r="K1825" s="16" t="s">
        <v>57</v>
      </c>
      <c r="L1825" s="60" t="s">
        <v>1497</v>
      </c>
      <c r="M1825" s="15"/>
      <c r="N1825" s="15" t="s">
        <v>130</v>
      </c>
      <c r="O1825" s="15"/>
      <c r="P1825" s="16" t="s">
        <v>1498</v>
      </c>
      <c r="Q1825" s="17">
        <v>31799</v>
      </c>
      <c r="R1825" s="18">
        <v>45</v>
      </c>
      <c r="S1825" s="19">
        <v>20112.8675</v>
      </c>
      <c r="T1825" s="20" t="s">
        <v>33</v>
      </c>
      <c r="U1825" s="21" t="s">
        <v>61</v>
      </c>
      <c r="V1825" s="22">
        <v>44</v>
      </c>
      <c r="W1825" s="22">
        <v>4</v>
      </c>
      <c r="X1825" s="23"/>
    </row>
    <row r="1826" spans="1:24" s="1" customFormat="1" ht="21" customHeight="1" x14ac:dyDescent="0.3">
      <c r="A1826" s="24" t="s">
        <v>23</v>
      </c>
      <c r="B1826" s="24" t="s">
        <v>1495</v>
      </c>
      <c r="C1826" s="31" t="s">
        <v>1496</v>
      </c>
      <c r="D1826" s="58"/>
      <c r="E1826" s="43" t="str">
        <f>HYPERLINK("https://www.google.ru/search?q=A8557-0001&amp;newwindow=1&amp;tbm=isch","Еще фото")</f>
        <v>Еще фото</v>
      </c>
      <c r="F1826" s="34" t="s">
        <v>469</v>
      </c>
      <c r="G1826" s="24" t="s">
        <v>1350</v>
      </c>
      <c r="H1826" s="24" t="s">
        <v>27</v>
      </c>
      <c r="I1826" s="24" t="s">
        <v>1351</v>
      </c>
      <c r="J1826" s="15" t="s">
        <v>37</v>
      </c>
      <c r="K1826" s="16" t="s">
        <v>57</v>
      </c>
      <c r="L1826" s="61"/>
      <c r="M1826" s="15"/>
      <c r="N1826" s="15" t="s">
        <v>130</v>
      </c>
      <c r="O1826" s="15"/>
      <c r="P1826" s="16" t="s">
        <v>1498</v>
      </c>
      <c r="Q1826" s="17">
        <v>31799</v>
      </c>
      <c r="R1826" s="18">
        <v>45</v>
      </c>
      <c r="S1826" s="19">
        <v>20112.8675</v>
      </c>
      <c r="T1826" s="20" t="s">
        <v>33</v>
      </c>
      <c r="U1826" s="21" t="s">
        <v>62</v>
      </c>
      <c r="V1826" s="22">
        <v>46</v>
      </c>
      <c r="W1826" s="22">
        <v>25</v>
      </c>
      <c r="X1826" s="23"/>
    </row>
    <row r="1827" spans="1:24" s="1" customFormat="1" ht="21" customHeight="1" x14ac:dyDescent="0.3">
      <c r="A1827" s="24" t="s">
        <v>23</v>
      </c>
      <c r="B1827" s="24" t="s">
        <v>1495</v>
      </c>
      <c r="C1827" s="31" t="s">
        <v>1496</v>
      </c>
      <c r="D1827" s="58"/>
      <c r="E1827" s="43" t="str">
        <f>HYPERLINK("https://www.google.ru/search?q=A8557-0001&amp;newwindow=1&amp;tbm=isch","Еще фото")</f>
        <v>Еще фото</v>
      </c>
      <c r="F1827" s="34" t="s">
        <v>469</v>
      </c>
      <c r="G1827" s="24" t="s">
        <v>1350</v>
      </c>
      <c r="H1827" s="24" t="s">
        <v>27</v>
      </c>
      <c r="I1827" s="24" t="s">
        <v>1351</v>
      </c>
      <c r="J1827" s="15" t="s">
        <v>37</v>
      </c>
      <c r="K1827" s="16" t="s">
        <v>57</v>
      </c>
      <c r="L1827" s="61"/>
      <c r="M1827" s="15"/>
      <c r="N1827" s="15" t="s">
        <v>130</v>
      </c>
      <c r="O1827" s="15"/>
      <c r="P1827" s="16" t="s">
        <v>1498</v>
      </c>
      <c r="Q1827" s="17">
        <v>31799</v>
      </c>
      <c r="R1827" s="18">
        <v>45</v>
      </c>
      <c r="S1827" s="19">
        <v>20112.8675</v>
      </c>
      <c r="T1827" s="20" t="s">
        <v>33</v>
      </c>
      <c r="U1827" s="21" t="s">
        <v>64</v>
      </c>
      <c r="V1827" s="22">
        <v>48</v>
      </c>
      <c r="W1827" s="22">
        <v>66</v>
      </c>
      <c r="X1827" s="23"/>
    </row>
    <row r="1828" spans="1:24" s="1" customFormat="1" ht="21" customHeight="1" x14ac:dyDescent="0.3">
      <c r="A1828" s="24" t="s">
        <v>23</v>
      </c>
      <c r="B1828" s="24" t="s">
        <v>1495</v>
      </c>
      <c r="C1828" s="31" t="s">
        <v>1496</v>
      </c>
      <c r="D1828" s="58"/>
      <c r="E1828" s="43" t="str">
        <f>HYPERLINK("https://www.google.ru/search?q=A8557-0001&amp;newwindow=1&amp;tbm=isch","Еще фото")</f>
        <v>Еще фото</v>
      </c>
      <c r="F1828" s="34" t="s">
        <v>469</v>
      </c>
      <c r="G1828" s="24" t="s">
        <v>1350</v>
      </c>
      <c r="H1828" s="24" t="s">
        <v>27</v>
      </c>
      <c r="I1828" s="24" t="s">
        <v>1351</v>
      </c>
      <c r="J1828" s="15" t="s">
        <v>37</v>
      </c>
      <c r="K1828" s="16" t="s">
        <v>57</v>
      </c>
      <c r="L1828" s="61"/>
      <c r="M1828" s="15"/>
      <c r="N1828" s="15" t="s">
        <v>130</v>
      </c>
      <c r="O1828" s="15"/>
      <c r="P1828" s="16" t="s">
        <v>1498</v>
      </c>
      <c r="Q1828" s="17">
        <v>31799</v>
      </c>
      <c r="R1828" s="18">
        <v>45</v>
      </c>
      <c r="S1828" s="19">
        <v>20112.8675</v>
      </c>
      <c r="T1828" s="20" t="s">
        <v>33</v>
      </c>
      <c r="U1828" s="21" t="s">
        <v>34</v>
      </c>
      <c r="V1828" s="25" t="s">
        <v>90</v>
      </c>
      <c r="W1828" s="22">
        <v>35</v>
      </c>
      <c r="X1828" s="23"/>
    </row>
    <row r="1829" spans="1:24" s="1" customFormat="1" ht="32" customHeight="1" x14ac:dyDescent="0.3">
      <c r="A1829" s="24" t="s">
        <v>23</v>
      </c>
      <c r="B1829" s="24" t="s">
        <v>1495</v>
      </c>
      <c r="C1829" s="31" t="s">
        <v>1496</v>
      </c>
      <c r="D1829" s="59"/>
      <c r="E1829" s="43" t="str">
        <f>HYPERLINK("https://www.google.ru/search?q=A8557-0001&amp;newwindow=1&amp;tbm=isch","Еще фото")</f>
        <v>Еще фото</v>
      </c>
      <c r="F1829" s="34" t="s">
        <v>469</v>
      </c>
      <c r="G1829" s="24" t="s">
        <v>1350</v>
      </c>
      <c r="H1829" s="24" t="s">
        <v>27</v>
      </c>
      <c r="I1829" s="24" t="s">
        <v>1351</v>
      </c>
      <c r="J1829" s="15" t="s">
        <v>37</v>
      </c>
      <c r="K1829" s="16" t="s">
        <v>57</v>
      </c>
      <c r="L1829" s="62"/>
      <c r="M1829" s="15"/>
      <c r="N1829" s="15" t="s">
        <v>130</v>
      </c>
      <c r="O1829" s="15"/>
      <c r="P1829" s="16" t="s">
        <v>1498</v>
      </c>
      <c r="Q1829" s="17">
        <v>31799</v>
      </c>
      <c r="R1829" s="18">
        <v>45</v>
      </c>
      <c r="S1829" s="19">
        <v>20112.8675</v>
      </c>
      <c r="T1829" s="20" t="s">
        <v>33</v>
      </c>
      <c r="U1829" s="21" t="s">
        <v>150</v>
      </c>
      <c r="V1829" s="25" t="s">
        <v>761</v>
      </c>
      <c r="W1829" s="22">
        <v>13</v>
      </c>
      <c r="X1829" s="23"/>
    </row>
    <row r="1830" spans="1:24" s="1" customFormat="1" ht="108" customHeight="1" x14ac:dyDescent="0.3">
      <c r="A1830" s="11" t="s">
        <v>23</v>
      </c>
      <c r="B1830" s="11" t="s">
        <v>1499</v>
      </c>
      <c r="C1830" s="12" t="s">
        <v>1500</v>
      </c>
      <c r="D1830" s="13"/>
      <c r="E1830" s="43" t="str">
        <f>HYPERLINK("https://www.google.ru/search?q=A8568-0018&amp;newwindow=1&amp;tbm=isch","Еще фото")</f>
        <v>Еще фото</v>
      </c>
      <c r="F1830" s="14"/>
      <c r="G1830" s="11" t="s">
        <v>1350</v>
      </c>
      <c r="H1830" s="11" t="s">
        <v>27</v>
      </c>
      <c r="I1830" s="15" t="s">
        <v>1351</v>
      </c>
      <c r="J1830" s="15" t="s">
        <v>37</v>
      </c>
      <c r="K1830" s="16" t="s">
        <v>57</v>
      </c>
      <c r="L1830" s="15"/>
      <c r="M1830" s="15"/>
      <c r="N1830" s="15" t="s">
        <v>39</v>
      </c>
      <c r="O1830" s="15"/>
      <c r="P1830" s="16" t="s">
        <v>40</v>
      </c>
      <c r="Q1830" s="17">
        <v>20799</v>
      </c>
      <c r="R1830" s="18">
        <v>45</v>
      </c>
      <c r="S1830" s="19">
        <v>13155.3675</v>
      </c>
      <c r="T1830" s="20" t="s">
        <v>33</v>
      </c>
      <c r="U1830" s="21" t="s">
        <v>1494</v>
      </c>
      <c r="V1830" s="22">
        <v>54</v>
      </c>
      <c r="W1830" s="22">
        <v>1</v>
      </c>
      <c r="X1830" s="23"/>
    </row>
    <row r="1831" spans="1:24" s="1" customFormat="1" ht="26" customHeight="1" x14ac:dyDescent="0.3">
      <c r="A1831" s="11" t="s">
        <v>23</v>
      </c>
      <c r="B1831" s="11" t="s">
        <v>1501</v>
      </c>
      <c r="C1831" s="12" t="s">
        <v>1502</v>
      </c>
      <c r="D1831" s="57"/>
      <c r="E1831" s="43" t="str">
        <f>HYPERLINK("https://www.google.ru/search?q=A9340-0000&amp;newwindow=1&amp;tbm=isch","Еще фото")</f>
        <v>Еще фото</v>
      </c>
      <c r="F1831" s="14"/>
      <c r="G1831" s="11" t="s">
        <v>1396</v>
      </c>
      <c r="H1831" s="11" t="s">
        <v>27</v>
      </c>
      <c r="I1831" s="15" t="s">
        <v>1351</v>
      </c>
      <c r="J1831" s="15" t="s">
        <v>37</v>
      </c>
      <c r="K1831" s="16" t="s">
        <v>29</v>
      </c>
      <c r="L1831" s="60" t="s">
        <v>1503</v>
      </c>
      <c r="M1831" s="15"/>
      <c r="N1831" s="15" t="s">
        <v>156</v>
      </c>
      <c r="O1831" s="15"/>
      <c r="P1831" s="16" t="s">
        <v>1504</v>
      </c>
      <c r="Q1831" s="17">
        <v>10499</v>
      </c>
      <c r="R1831" s="18">
        <v>45</v>
      </c>
      <c r="S1831" s="19">
        <v>6640.6174999999994</v>
      </c>
      <c r="T1831" s="20" t="s">
        <v>33</v>
      </c>
      <c r="U1831" s="21" t="s">
        <v>61</v>
      </c>
      <c r="V1831" s="22">
        <v>42</v>
      </c>
      <c r="W1831" s="22">
        <v>2</v>
      </c>
      <c r="X1831" s="23"/>
    </row>
    <row r="1832" spans="1:24" s="1" customFormat="1" ht="26" customHeight="1" x14ac:dyDescent="0.3">
      <c r="A1832" s="24" t="s">
        <v>23</v>
      </c>
      <c r="B1832" s="24" t="s">
        <v>1501</v>
      </c>
      <c r="C1832" s="12" t="s">
        <v>1502</v>
      </c>
      <c r="D1832" s="58"/>
      <c r="E1832" s="43" t="str">
        <f>HYPERLINK("https://www.google.ru/search?q=A9340-0000&amp;newwindow=1&amp;tbm=isch","Еще фото")</f>
        <v>Еще фото</v>
      </c>
      <c r="F1832" s="14"/>
      <c r="G1832" s="24" t="s">
        <v>1396</v>
      </c>
      <c r="H1832" s="24" t="s">
        <v>27</v>
      </c>
      <c r="I1832" s="24" t="s">
        <v>1351</v>
      </c>
      <c r="J1832" s="15" t="s">
        <v>37</v>
      </c>
      <c r="K1832" s="16" t="s">
        <v>29</v>
      </c>
      <c r="L1832" s="61"/>
      <c r="M1832" s="15"/>
      <c r="N1832" s="15" t="s">
        <v>156</v>
      </c>
      <c r="O1832" s="15"/>
      <c r="P1832" s="16" t="s">
        <v>1504</v>
      </c>
      <c r="Q1832" s="17">
        <v>10499</v>
      </c>
      <c r="R1832" s="18">
        <v>45</v>
      </c>
      <c r="S1832" s="19">
        <v>6640.6174999999994</v>
      </c>
      <c r="T1832" s="20" t="s">
        <v>33</v>
      </c>
      <c r="U1832" s="21" t="s">
        <v>62</v>
      </c>
      <c r="V1832" s="22">
        <v>44</v>
      </c>
      <c r="W1832" s="22">
        <v>3</v>
      </c>
      <c r="X1832" s="23"/>
    </row>
    <row r="1833" spans="1:24" s="1" customFormat="1" ht="26" customHeight="1" x14ac:dyDescent="0.3">
      <c r="A1833" s="24" t="s">
        <v>23</v>
      </c>
      <c r="B1833" s="24" t="s">
        <v>1501</v>
      </c>
      <c r="C1833" s="12" t="s">
        <v>1502</v>
      </c>
      <c r="D1833" s="58"/>
      <c r="E1833" s="43" t="str">
        <f>HYPERLINK("https://www.google.ru/search?q=A9340-0000&amp;newwindow=1&amp;tbm=isch","Еще фото")</f>
        <v>Еще фото</v>
      </c>
      <c r="F1833" s="14"/>
      <c r="G1833" s="24" t="s">
        <v>1396</v>
      </c>
      <c r="H1833" s="24" t="s">
        <v>27</v>
      </c>
      <c r="I1833" s="24" t="s">
        <v>1351</v>
      </c>
      <c r="J1833" s="15" t="s">
        <v>37</v>
      </c>
      <c r="K1833" s="16" t="s">
        <v>29</v>
      </c>
      <c r="L1833" s="61"/>
      <c r="M1833" s="15"/>
      <c r="N1833" s="15" t="s">
        <v>156</v>
      </c>
      <c r="O1833" s="15"/>
      <c r="P1833" s="16" t="s">
        <v>1504</v>
      </c>
      <c r="Q1833" s="17">
        <v>10499</v>
      </c>
      <c r="R1833" s="18">
        <v>45</v>
      </c>
      <c r="S1833" s="19">
        <v>6640.6174999999994</v>
      </c>
      <c r="T1833" s="20" t="s">
        <v>33</v>
      </c>
      <c r="U1833" s="21" t="s">
        <v>64</v>
      </c>
      <c r="V1833" s="22">
        <v>46</v>
      </c>
      <c r="W1833" s="22">
        <v>1</v>
      </c>
      <c r="X1833" s="23"/>
    </row>
    <row r="1834" spans="1:24" s="1" customFormat="1" ht="26" customHeight="1" x14ac:dyDescent="0.3">
      <c r="A1834" s="24" t="s">
        <v>23</v>
      </c>
      <c r="B1834" s="24" t="s">
        <v>1501</v>
      </c>
      <c r="C1834" s="12" t="s">
        <v>1502</v>
      </c>
      <c r="D1834" s="59"/>
      <c r="E1834" s="43" t="str">
        <f>HYPERLINK("https://www.google.ru/search?q=A9340-0000&amp;newwindow=1&amp;tbm=isch","Еще фото")</f>
        <v>Еще фото</v>
      </c>
      <c r="F1834" s="14"/>
      <c r="G1834" s="24" t="s">
        <v>1396</v>
      </c>
      <c r="H1834" s="24" t="s">
        <v>27</v>
      </c>
      <c r="I1834" s="24" t="s">
        <v>1351</v>
      </c>
      <c r="J1834" s="15" t="s">
        <v>37</v>
      </c>
      <c r="K1834" s="16" t="s">
        <v>29</v>
      </c>
      <c r="L1834" s="62"/>
      <c r="M1834" s="15"/>
      <c r="N1834" s="15" t="s">
        <v>156</v>
      </c>
      <c r="O1834" s="15"/>
      <c r="P1834" s="16" t="s">
        <v>1504</v>
      </c>
      <c r="Q1834" s="17">
        <v>10499</v>
      </c>
      <c r="R1834" s="18">
        <v>45</v>
      </c>
      <c r="S1834" s="19">
        <v>6640.6174999999994</v>
      </c>
      <c r="T1834" s="20" t="s">
        <v>33</v>
      </c>
      <c r="U1834" s="21" t="s">
        <v>34</v>
      </c>
      <c r="V1834" s="22">
        <v>48</v>
      </c>
      <c r="W1834" s="22">
        <v>1</v>
      </c>
      <c r="X1834" s="23"/>
    </row>
    <row r="1835" spans="1:24" s="1" customFormat="1" ht="108" customHeight="1" x14ac:dyDescent="0.3">
      <c r="A1835" s="11" t="s">
        <v>23</v>
      </c>
      <c r="B1835" s="11" t="s">
        <v>1348</v>
      </c>
      <c r="C1835" s="12" t="s">
        <v>1505</v>
      </c>
      <c r="D1835" s="13"/>
      <c r="E1835" s="43" t="str">
        <f>HYPERLINK("https://www.google.ru/search?q=LM2RP401-BRN&amp;newwindow=1&amp;tbm=isch","Еще фото")</f>
        <v>Еще фото</v>
      </c>
      <c r="F1835" s="14"/>
      <c r="G1835" s="11" t="s">
        <v>1350</v>
      </c>
      <c r="H1835" s="11" t="s">
        <v>27</v>
      </c>
      <c r="I1835" s="15" t="s">
        <v>1351</v>
      </c>
      <c r="J1835" s="15" t="s">
        <v>28</v>
      </c>
      <c r="K1835" s="16" t="s">
        <v>57</v>
      </c>
      <c r="L1835" s="15" t="s">
        <v>1506</v>
      </c>
      <c r="M1835" s="15"/>
      <c r="N1835" s="15" t="s">
        <v>99</v>
      </c>
      <c r="O1835" s="15"/>
      <c r="P1835" s="16" t="s">
        <v>1507</v>
      </c>
      <c r="Q1835" s="17">
        <v>24199</v>
      </c>
      <c r="R1835" s="18">
        <v>45</v>
      </c>
      <c r="S1835" s="19">
        <v>15305.8675</v>
      </c>
      <c r="T1835" s="20" t="s">
        <v>33</v>
      </c>
      <c r="U1835" s="21" t="s">
        <v>64</v>
      </c>
      <c r="V1835" s="22">
        <v>48</v>
      </c>
      <c r="W1835" s="22">
        <v>1</v>
      </c>
      <c r="X1835" s="23"/>
    </row>
    <row r="1836" spans="1:24" s="1" customFormat="1" ht="108" customHeight="1" x14ac:dyDescent="0.3">
      <c r="A1836" s="11" t="s">
        <v>23</v>
      </c>
      <c r="B1836" s="11" t="s">
        <v>1348</v>
      </c>
      <c r="C1836" s="12" t="s">
        <v>1508</v>
      </c>
      <c r="D1836" s="13"/>
      <c r="E1836" s="43" t="str">
        <f>HYPERLINK("https://www.google.ru/search?q=LM2RP467-RBD&amp;newwindow=1&amp;tbm=isch","Еще фото")</f>
        <v>Еще фото</v>
      </c>
      <c r="F1836" s="14"/>
      <c r="G1836" s="11" t="s">
        <v>1350</v>
      </c>
      <c r="H1836" s="11" t="s">
        <v>27</v>
      </c>
      <c r="I1836" s="15" t="s">
        <v>1351</v>
      </c>
      <c r="J1836" s="15" t="s">
        <v>28</v>
      </c>
      <c r="K1836" s="16" t="s">
        <v>57</v>
      </c>
      <c r="L1836" s="15" t="s">
        <v>1355</v>
      </c>
      <c r="M1836" s="15"/>
      <c r="N1836" s="15" t="s">
        <v>59</v>
      </c>
      <c r="O1836" s="15"/>
      <c r="P1836" s="16" t="s">
        <v>40</v>
      </c>
      <c r="Q1836" s="17">
        <v>23099</v>
      </c>
      <c r="R1836" s="18">
        <v>45</v>
      </c>
      <c r="S1836" s="19">
        <v>14610.1175</v>
      </c>
      <c r="T1836" s="20" t="s">
        <v>75</v>
      </c>
      <c r="U1836" s="21" t="s">
        <v>64</v>
      </c>
      <c r="V1836" s="22">
        <v>48</v>
      </c>
      <c r="W1836" s="22">
        <v>1</v>
      </c>
      <c r="X1836" s="23"/>
    </row>
    <row r="1837" spans="1:24" s="1" customFormat="1" ht="108" customHeight="1" x14ac:dyDescent="0.3">
      <c r="A1837" s="11" t="s">
        <v>23</v>
      </c>
      <c r="B1837" s="11" t="s">
        <v>1348</v>
      </c>
      <c r="C1837" s="12" t="s">
        <v>1509</v>
      </c>
      <c r="D1837" s="13"/>
      <c r="E1837" s="43" t="str">
        <f>HYPERLINK("https://www.google.ru/search?q=LM2RP472-RBD&amp;newwindow=1&amp;tbm=isch","Еще фото")</f>
        <v>Еще фото</v>
      </c>
      <c r="F1837" s="14"/>
      <c r="G1837" s="11" t="s">
        <v>1350</v>
      </c>
      <c r="H1837" s="11" t="s">
        <v>27</v>
      </c>
      <c r="I1837" s="15" t="s">
        <v>1351</v>
      </c>
      <c r="J1837" s="15" t="s">
        <v>28</v>
      </c>
      <c r="K1837" s="16" t="s">
        <v>57</v>
      </c>
      <c r="L1837" s="15" t="s">
        <v>1370</v>
      </c>
      <c r="M1837" s="15"/>
      <c r="N1837" s="15" t="s">
        <v>59</v>
      </c>
      <c r="O1837" s="15"/>
      <c r="P1837" s="16" t="s">
        <v>1371</v>
      </c>
      <c r="Q1837" s="17">
        <v>23099</v>
      </c>
      <c r="R1837" s="18">
        <v>45</v>
      </c>
      <c r="S1837" s="19">
        <v>14610.1175</v>
      </c>
      <c r="T1837" s="20" t="s">
        <v>75</v>
      </c>
      <c r="U1837" s="21" t="s">
        <v>64</v>
      </c>
      <c r="V1837" s="22">
        <v>48</v>
      </c>
      <c r="W1837" s="22">
        <v>5</v>
      </c>
      <c r="X1837" s="23"/>
    </row>
    <row r="1838" spans="1:24" s="1" customFormat="1" ht="108" customHeight="1" x14ac:dyDescent="0.3">
      <c r="A1838" s="11" t="s">
        <v>23</v>
      </c>
      <c r="B1838" s="11" t="s">
        <v>1510</v>
      </c>
      <c r="C1838" s="12" t="s">
        <v>1511</v>
      </c>
      <c r="D1838" s="13"/>
      <c r="E1838" s="43" t="str">
        <f>HYPERLINK("https://www.google.ru/search?q=37149-0812&amp;newwindow=1&amp;tbm=isch","Еще фото")</f>
        <v>Еще фото</v>
      </c>
      <c r="F1838" s="14"/>
      <c r="G1838" s="11" t="s">
        <v>1512</v>
      </c>
      <c r="H1838" s="11" t="s">
        <v>27</v>
      </c>
      <c r="I1838" s="15" t="s">
        <v>1513</v>
      </c>
      <c r="J1838" s="15" t="s">
        <v>28</v>
      </c>
      <c r="K1838" s="16" t="s">
        <v>57</v>
      </c>
      <c r="L1838" s="15" t="s">
        <v>1514</v>
      </c>
      <c r="M1838" s="15"/>
      <c r="N1838" s="15" t="s">
        <v>1515</v>
      </c>
      <c r="O1838" s="15"/>
      <c r="P1838" s="16" t="s">
        <v>1516</v>
      </c>
      <c r="Q1838" s="17">
        <v>4999</v>
      </c>
      <c r="R1838" s="18">
        <v>45.99</v>
      </c>
      <c r="S1838" s="19">
        <v>3104.9884999999995</v>
      </c>
      <c r="T1838" s="20" t="s">
        <v>33</v>
      </c>
      <c r="U1838" s="21" t="s">
        <v>62</v>
      </c>
      <c r="V1838" s="22">
        <v>46</v>
      </c>
      <c r="W1838" s="22">
        <v>1</v>
      </c>
      <c r="X1838" s="23"/>
    </row>
    <row r="1839" spans="1:24" s="1" customFormat="1" ht="108" customHeight="1" x14ac:dyDescent="0.3">
      <c r="A1839" s="11" t="s">
        <v>23</v>
      </c>
      <c r="B1839" s="11" t="s">
        <v>1517</v>
      </c>
      <c r="C1839" s="12" t="s">
        <v>1518</v>
      </c>
      <c r="D1839" s="13"/>
      <c r="E1839" s="43" t="str">
        <f>HYPERLINK("https://www.google.ru/search?q=37149-0736&amp;newwindow=1&amp;tbm=isch","Еще фото")</f>
        <v>Еще фото</v>
      </c>
      <c r="F1839" s="14"/>
      <c r="G1839" s="11" t="s">
        <v>1512</v>
      </c>
      <c r="H1839" s="11" t="s">
        <v>27</v>
      </c>
      <c r="I1839" s="15" t="s">
        <v>1513</v>
      </c>
      <c r="J1839" s="15" t="s">
        <v>28</v>
      </c>
      <c r="K1839" s="16" t="s">
        <v>57</v>
      </c>
      <c r="L1839" s="15" t="s">
        <v>1519</v>
      </c>
      <c r="M1839" s="15" t="s">
        <v>72</v>
      </c>
      <c r="N1839" s="15" t="s">
        <v>87</v>
      </c>
      <c r="O1839" s="15" t="s">
        <v>121</v>
      </c>
      <c r="P1839" s="16" t="s">
        <v>1516</v>
      </c>
      <c r="Q1839" s="17">
        <v>5099</v>
      </c>
      <c r="R1839" s="18">
        <v>45.09</v>
      </c>
      <c r="S1839" s="19">
        <v>3219.9884999999995</v>
      </c>
      <c r="T1839" s="20" t="s">
        <v>33</v>
      </c>
      <c r="U1839" s="21" t="s">
        <v>62</v>
      </c>
      <c r="V1839" s="22">
        <v>46</v>
      </c>
      <c r="W1839" s="22">
        <v>1</v>
      </c>
      <c r="X1839" s="23"/>
    </row>
    <row r="1840" spans="1:24" s="1" customFormat="1" ht="108" customHeight="1" x14ac:dyDescent="0.3">
      <c r="A1840" s="11" t="s">
        <v>23</v>
      </c>
      <c r="B1840" s="11" t="s">
        <v>1520</v>
      </c>
      <c r="C1840" s="12" t="s">
        <v>1521</v>
      </c>
      <c r="D1840" s="13"/>
      <c r="E1840" s="43" t="str">
        <f>HYPERLINK("https://www.google.ru/search?q=37149-1173&amp;newwindow=1&amp;tbm=isch","Еще фото")</f>
        <v>Еще фото</v>
      </c>
      <c r="F1840" s="14"/>
      <c r="G1840" s="11" t="s">
        <v>1522</v>
      </c>
      <c r="H1840" s="11" t="s">
        <v>27</v>
      </c>
      <c r="I1840" s="15" t="s">
        <v>1513</v>
      </c>
      <c r="J1840" s="15" t="s">
        <v>28</v>
      </c>
      <c r="K1840" s="16" t="s">
        <v>57</v>
      </c>
      <c r="L1840" s="15" t="s">
        <v>1523</v>
      </c>
      <c r="M1840" s="15"/>
      <c r="N1840" s="15" t="s">
        <v>83</v>
      </c>
      <c r="O1840" s="15"/>
      <c r="P1840" s="16" t="s">
        <v>1516</v>
      </c>
      <c r="Q1840" s="17">
        <v>3099</v>
      </c>
      <c r="R1840" s="18">
        <v>45</v>
      </c>
      <c r="S1840" s="19">
        <v>1960.1174999999998</v>
      </c>
      <c r="T1840" s="20" t="s">
        <v>33</v>
      </c>
      <c r="U1840" s="21" t="s">
        <v>64</v>
      </c>
      <c r="V1840" s="22">
        <v>48</v>
      </c>
      <c r="W1840" s="22">
        <v>4</v>
      </c>
      <c r="X1840" s="23"/>
    </row>
    <row r="1841" spans="1:24" s="1" customFormat="1" ht="108" customHeight="1" x14ac:dyDescent="0.3">
      <c r="A1841" s="11" t="s">
        <v>23</v>
      </c>
      <c r="B1841" s="11" t="s">
        <v>1524</v>
      </c>
      <c r="C1841" s="12" t="s">
        <v>1525</v>
      </c>
      <c r="D1841" s="13"/>
      <c r="E1841" s="43" t="str">
        <f>HYPERLINK("https://www.google.ru/search?q=37149-1283&amp;newwindow=1&amp;tbm=isch","Еще фото")</f>
        <v>Еще фото</v>
      </c>
      <c r="F1841" s="14"/>
      <c r="G1841" s="11" t="s">
        <v>1522</v>
      </c>
      <c r="H1841" s="11" t="s">
        <v>27</v>
      </c>
      <c r="I1841" s="15" t="s">
        <v>1513</v>
      </c>
      <c r="J1841" s="15" t="s">
        <v>28</v>
      </c>
      <c r="K1841" s="16" t="s">
        <v>57</v>
      </c>
      <c r="L1841" s="15" t="s">
        <v>1523</v>
      </c>
      <c r="M1841" s="15"/>
      <c r="N1841" s="15" t="s">
        <v>1526</v>
      </c>
      <c r="O1841" s="15"/>
      <c r="P1841" s="16" t="s">
        <v>1516</v>
      </c>
      <c r="Q1841" s="17">
        <v>2999</v>
      </c>
      <c r="R1841" s="18">
        <v>45</v>
      </c>
      <c r="S1841" s="19">
        <v>1896.8674999999998</v>
      </c>
      <c r="T1841" s="20" t="s">
        <v>33</v>
      </c>
      <c r="U1841" s="21" t="s">
        <v>64</v>
      </c>
      <c r="V1841" s="22">
        <v>48</v>
      </c>
      <c r="W1841" s="22">
        <v>3</v>
      </c>
      <c r="X1841" s="23"/>
    </row>
    <row r="1842" spans="1:24" s="1" customFormat="1" ht="52.05" customHeight="1" x14ac:dyDescent="0.3">
      <c r="A1842" s="11" t="s">
        <v>23</v>
      </c>
      <c r="B1842" s="11" t="s">
        <v>1524</v>
      </c>
      <c r="C1842" s="12" t="s">
        <v>1527</v>
      </c>
      <c r="D1842" s="63"/>
      <c r="E1842" s="43" t="str">
        <f>HYPERLINK("https://www.google.ru/search?q=37149-1284&amp;newwindow=1&amp;tbm=isch","Еще фото")</f>
        <v>Еще фото</v>
      </c>
      <c r="F1842" s="14"/>
      <c r="G1842" s="11" t="s">
        <v>1522</v>
      </c>
      <c r="H1842" s="11" t="s">
        <v>27</v>
      </c>
      <c r="I1842" s="15" t="s">
        <v>1513</v>
      </c>
      <c r="J1842" s="15" t="s">
        <v>28</v>
      </c>
      <c r="K1842" s="16" t="s">
        <v>57</v>
      </c>
      <c r="L1842" s="60" t="s">
        <v>1523</v>
      </c>
      <c r="M1842" s="15"/>
      <c r="N1842" s="15" t="s">
        <v>1528</v>
      </c>
      <c r="O1842" s="15"/>
      <c r="P1842" s="16" t="s">
        <v>1516</v>
      </c>
      <c r="Q1842" s="17">
        <v>2999</v>
      </c>
      <c r="R1842" s="18">
        <v>45</v>
      </c>
      <c r="S1842" s="19">
        <v>1896.8674999999998</v>
      </c>
      <c r="T1842" s="20" t="s">
        <v>33</v>
      </c>
      <c r="U1842" s="21" t="s">
        <v>62</v>
      </c>
      <c r="V1842" s="22">
        <v>46</v>
      </c>
      <c r="W1842" s="22">
        <v>1</v>
      </c>
      <c r="X1842" s="23"/>
    </row>
    <row r="1843" spans="1:24" s="1" customFormat="1" ht="61.05" customHeight="1" x14ac:dyDescent="0.3">
      <c r="A1843" s="24" t="s">
        <v>23</v>
      </c>
      <c r="B1843" s="24" t="s">
        <v>1524</v>
      </c>
      <c r="C1843" s="12" t="s">
        <v>1527</v>
      </c>
      <c r="D1843" s="64"/>
      <c r="E1843" s="43" t="str">
        <f>HYPERLINK("https://www.google.ru/search?q=37149-1284&amp;newwindow=1&amp;tbm=isch","Еще фото")</f>
        <v>Еще фото</v>
      </c>
      <c r="F1843" s="14"/>
      <c r="G1843" s="24" t="s">
        <v>1522</v>
      </c>
      <c r="H1843" s="24" t="s">
        <v>27</v>
      </c>
      <c r="I1843" s="24" t="s">
        <v>1513</v>
      </c>
      <c r="J1843" s="15" t="s">
        <v>28</v>
      </c>
      <c r="K1843" s="16" t="s">
        <v>57</v>
      </c>
      <c r="L1843" s="62"/>
      <c r="M1843" s="15"/>
      <c r="N1843" s="15" t="s">
        <v>1528</v>
      </c>
      <c r="O1843" s="15"/>
      <c r="P1843" s="16" t="s">
        <v>1516</v>
      </c>
      <c r="Q1843" s="17">
        <v>2999</v>
      </c>
      <c r="R1843" s="18">
        <v>45</v>
      </c>
      <c r="S1843" s="19">
        <v>1896.8674999999998</v>
      </c>
      <c r="T1843" s="20" t="s">
        <v>33</v>
      </c>
      <c r="U1843" s="21" t="s">
        <v>34</v>
      </c>
      <c r="V1843" s="25" t="s">
        <v>90</v>
      </c>
      <c r="W1843" s="22">
        <v>11</v>
      </c>
      <c r="X1843" s="23"/>
    </row>
    <row r="1844" spans="1:24" s="1" customFormat="1" ht="108" customHeight="1" x14ac:dyDescent="0.3">
      <c r="A1844" s="11" t="s">
        <v>23</v>
      </c>
      <c r="B1844" s="11" t="s">
        <v>1529</v>
      </c>
      <c r="C1844" s="12" t="s">
        <v>1530</v>
      </c>
      <c r="D1844" s="13"/>
      <c r="E1844" s="43" t="str">
        <f>HYPERLINK("https://www.google.ru/search?q=37149-1296&amp;newwindow=1&amp;tbm=isch","Еще фото")</f>
        <v>Еще фото</v>
      </c>
      <c r="F1844" s="14"/>
      <c r="G1844" s="11" t="s">
        <v>1522</v>
      </c>
      <c r="H1844" s="11" t="s">
        <v>27</v>
      </c>
      <c r="I1844" s="15" t="s">
        <v>1513</v>
      </c>
      <c r="J1844" s="15" t="s">
        <v>28</v>
      </c>
      <c r="K1844" s="16" t="s">
        <v>57</v>
      </c>
      <c r="L1844" s="15" t="s">
        <v>1523</v>
      </c>
      <c r="M1844" s="15"/>
      <c r="N1844" s="15" t="s">
        <v>1531</v>
      </c>
      <c r="O1844" s="15"/>
      <c r="P1844" s="16" t="s">
        <v>1516</v>
      </c>
      <c r="Q1844" s="17">
        <v>2999</v>
      </c>
      <c r="R1844" s="18">
        <v>45</v>
      </c>
      <c r="S1844" s="19">
        <v>1896.8674999999998</v>
      </c>
      <c r="T1844" s="20" t="s">
        <v>33</v>
      </c>
      <c r="U1844" s="21" t="s">
        <v>34</v>
      </c>
      <c r="V1844" s="25" t="s">
        <v>90</v>
      </c>
      <c r="W1844" s="22">
        <v>8</v>
      </c>
      <c r="X1844" s="23"/>
    </row>
    <row r="1845" spans="1:24" s="1" customFormat="1" ht="52.05" customHeight="1" x14ac:dyDescent="0.3">
      <c r="A1845" s="11" t="s">
        <v>23</v>
      </c>
      <c r="B1845" s="11" t="s">
        <v>1532</v>
      </c>
      <c r="C1845" s="12" t="s">
        <v>1533</v>
      </c>
      <c r="D1845" s="63"/>
      <c r="E1845" s="43" t="str">
        <f>HYPERLINK("https://www.google.ru/search?q=79541-0001&amp;newwindow=1&amp;tbm=isch","Еще фото")</f>
        <v>Еще фото</v>
      </c>
      <c r="F1845" s="14"/>
      <c r="G1845" s="11" t="s">
        <v>1534</v>
      </c>
      <c r="H1845" s="11" t="s">
        <v>27</v>
      </c>
      <c r="I1845" s="15" t="s">
        <v>1513</v>
      </c>
      <c r="J1845" s="15" t="s">
        <v>28</v>
      </c>
      <c r="K1845" s="16" t="s">
        <v>57</v>
      </c>
      <c r="L1845" s="60" t="s">
        <v>1535</v>
      </c>
      <c r="M1845" s="15" t="s">
        <v>72</v>
      </c>
      <c r="N1845" s="15" t="s">
        <v>39</v>
      </c>
      <c r="O1845" s="15" t="s">
        <v>121</v>
      </c>
      <c r="P1845" s="16" t="s">
        <v>32</v>
      </c>
      <c r="Q1845" s="17">
        <v>5099</v>
      </c>
      <c r="R1845" s="18">
        <v>45</v>
      </c>
      <c r="S1845" s="19">
        <v>3225.1174999999994</v>
      </c>
      <c r="T1845" s="20" t="s">
        <v>75</v>
      </c>
      <c r="U1845" s="21" t="s">
        <v>1366</v>
      </c>
      <c r="V1845" s="22">
        <v>42</v>
      </c>
      <c r="W1845" s="22">
        <v>38</v>
      </c>
      <c r="X1845" s="23"/>
    </row>
    <row r="1846" spans="1:24" s="1" customFormat="1" ht="61.05" customHeight="1" x14ac:dyDescent="0.3">
      <c r="A1846" s="24" t="s">
        <v>23</v>
      </c>
      <c r="B1846" s="24" t="s">
        <v>1532</v>
      </c>
      <c r="C1846" s="12" t="s">
        <v>1533</v>
      </c>
      <c r="D1846" s="64"/>
      <c r="E1846" s="43" t="str">
        <f>HYPERLINK("https://www.google.ru/search?q=79541-0001&amp;newwindow=1&amp;tbm=isch","Еще фото")</f>
        <v>Еще фото</v>
      </c>
      <c r="F1846" s="14"/>
      <c r="G1846" s="24" t="s">
        <v>1534</v>
      </c>
      <c r="H1846" s="24" t="s">
        <v>27</v>
      </c>
      <c r="I1846" s="24" t="s">
        <v>1513</v>
      </c>
      <c r="J1846" s="15" t="s">
        <v>28</v>
      </c>
      <c r="K1846" s="16" t="s">
        <v>57</v>
      </c>
      <c r="L1846" s="62"/>
      <c r="M1846" s="15" t="s">
        <v>72</v>
      </c>
      <c r="N1846" s="15" t="s">
        <v>39</v>
      </c>
      <c r="O1846" s="15" t="s">
        <v>121</v>
      </c>
      <c r="P1846" s="16" t="s">
        <v>32</v>
      </c>
      <c r="Q1846" s="17">
        <v>5099</v>
      </c>
      <c r="R1846" s="18">
        <v>45</v>
      </c>
      <c r="S1846" s="19">
        <v>3225.1174999999994</v>
      </c>
      <c r="T1846" s="20" t="s">
        <v>75</v>
      </c>
      <c r="U1846" s="21" t="s">
        <v>62</v>
      </c>
      <c r="V1846" s="22">
        <v>46</v>
      </c>
      <c r="W1846" s="22">
        <v>1</v>
      </c>
      <c r="X1846" s="23"/>
    </row>
    <row r="1847" spans="1:24" s="1" customFormat="1" ht="52.05" customHeight="1" x14ac:dyDescent="0.3">
      <c r="A1847" s="11" t="s">
        <v>23</v>
      </c>
      <c r="B1847" s="11" t="s">
        <v>1536</v>
      </c>
      <c r="C1847" s="12" t="s">
        <v>1537</v>
      </c>
      <c r="D1847" s="63"/>
      <c r="E1847" s="43" t="str">
        <f>HYPERLINK("https://www.google.ru/search?q=37157-1063&amp;newwindow=1&amp;tbm=isch","Еще фото")</f>
        <v>Еще фото</v>
      </c>
      <c r="F1847" s="14"/>
      <c r="G1847" s="11" t="s">
        <v>1538</v>
      </c>
      <c r="H1847" s="11" t="s">
        <v>1338</v>
      </c>
      <c r="I1847" s="15" t="s">
        <v>1539</v>
      </c>
      <c r="J1847" s="15" t="s">
        <v>28</v>
      </c>
      <c r="K1847" s="16" t="s">
        <v>1540</v>
      </c>
      <c r="L1847" s="60" t="s">
        <v>1541</v>
      </c>
      <c r="M1847" s="15"/>
      <c r="N1847" s="15" t="s">
        <v>1515</v>
      </c>
      <c r="O1847" s="15"/>
      <c r="P1847" s="16" t="s">
        <v>1542</v>
      </c>
      <c r="Q1847" s="17">
        <v>2499</v>
      </c>
      <c r="R1847" s="18">
        <v>48.87</v>
      </c>
      <c r="S1847" s="19">
        <v>1469.4354999999998</v>
      </c>
      <c r="T1847" s="20" t="s">
        <v>33</v>
      </c>
      <c r="U1847" s="21" t="s">
        <v>1543</v>
      </c>
      <c r="V1847" s="25" t="s">
        <v>1544</v>
      </c>
      <c r="W1847" s="22">
        <v>1</v>
      </c>
      <c r="X1847" s="23"/>
    </row>
    <row r="1848" spans="1:24" s="1" customFormat="1" ht="61.05" customHeight="1" x14ac:dyDescent="0.3">
      <c r="A1848" s="24" t="s">
        <v>23</v>
      </c>
      <c r="B1848" s="24" t="s">
        <v>1536</v>
      </c>
      <c r="C1848" s="12" t="s">
        <v>1537</v>
      </c>
      <c r="D1848" s="64"/>
      <c r="E1848" s="43" t="str">
        <f>HYPERLINK("https://www.google.ru/search?q=37157-1063&amp;newwindow=1&amp;tbm=isch","Еще фото")</f>
        <v>Еще фото</v>
      </c>
      <c r="F1848" s="14"/>
      <c r="G1848" s="24" t="s">
        <v>1538</v>
      </c>
      <c r="H1848" s="24" t="s">
        <v>1338</v>
      </c>
      <c r="I1848" s="24" t="s">
        <v>1539</v>
      </c>
      <c r="J1848" s="15" t="s">
        <v>28</v>
      </c>
      <c r="K1848" s="16" t="s">
        <v>1540</v>
      </c>
      <c r="L1848" s="62"/>
      <c r="M1848" s="15"/>
      <c r="N1848" s="15" t="s">
        <v>1515</v>
      </c>
      <c r="O1848" s="15"/>
      <c r="P1848" s="16" t="s">
        <v>1542</v>
      </c>
      <c r="Q1848" s="17">
        <v>2499</v>
      </c>
      <c r="R1848" s="18">
        <v>48.87</v>
      </c>
      <c r="S1848" s="19">
        <v>1469.4354999999998</v>
      </c>
      <c r="T1848" s="20" t="s">
        <v>33</v>
      </c>
      <c r="U1848" s="21" t="s">
        <v>1545</v>
      </c>
      <c r="V1848" s="25" t="s">
        <v>1546</v>
      </c>
      <c r="W1848" s="22">
        <v>21</v>
      </c>
      <c r="X1848" s="23"/>
    </row>
    <row r="1849" spans="1:24" s="1" customFormat="1" ht="108" customHeight="1" x14ac:dyDescent="0.3">
      <c r="A1849" s="11" t="s">
        <v>23</v>
      </c>
      <c r="B1849" s="11" t="s">
        <v>1547</v>
      </c>
      <c r="C1849" s="12" t="s">
        <v>1548</v>
      </c>
      <c r="D1849" s="13"/>
      <c r="E1849" s="43" t="str">
        <f>HYPERLINK("https://www.google.ru/search?q=37157-0151&amp;newwindow=1&amp;tbm=isch","Еще фото")</f>
        <v>Еще фото</v>
      </c>
      <c r="F1849" s="14"/>
      <c r="G1849" s="11" t="s">
        <v>1538</v>
      </c>
      <c r="H1849" s="11" t="s">
        <v>1338</v>
      </c>
      <c r="I1849" s="15" t="s">
        <v>1539</v>
      </c>
      <c r="J1849" s="15" t="s">
        <v>28</v>
      </c>
      <c r="K1849" s="16" t="s">
        <v>57</v>
      </c>
      <c r="L1849" s="15" t="s">
        <v>1549</v>
      </c>
      <c r="M1849" s="15" t="s">
        <v>72</v>
      </c>
      <c r="N1849" s="15" t="s">
        <v>477</v>
      </c>
      <c r="O1849" s="15"/>
      <c r="P1849" s="16" t="s">
        <v>1550</v>
      </c>
      <c r="Q1849" s="17">
        <v>2299</v>
      </c>
      <c r="R1849" s="18">
        <v>45</v>
      </c>
      <c r="S1849" s="19">
        <v>1454.1174999999998</v>
      </c>
      <c r="T1849" s="20" t="s">
        <v>1551</v>
      </c>
      <c r="U1849" s="21" t="s">
        <v>1545</v>
      </c>
      <c r="V1849" s="25" t="s">
        <v>1546</v>
      </c>
      <c r="W1849" s="22">
        <v>3</v>
      </c>
      <c r="X1849" s="23"/>
    </row>
    <row r="1850" spans="1:24" s="1" customFormat="1" ht="108" customHeight="1" x14ac:dyDescent="0.3">
      <c r="A1850" s="11" t="s">
        <v>23</v>
      </c>
      <c r="B1850" s="11" t="s">
        <v>1552</v>
      </c>
      <c r="C1850" s="12" t="s">
        <v>1553</v>
      </c>
      <c r="D1850" s="13"/>
      <c r="E1850" s="43" t="str">
        <f>HYPERLINK("https://www.google.ru/search?q=37157-0153&amp;newwindow=1&amp;tbm=isch","Еще фото")</f>
        <v>Еще фото</v>
      </c>
      <c r="F1850" s="14"/>
      <c r="G1850" s="11" t="s">
        <v>1538</v>
      </c>
      <c r="H1850" s="11" t="s">
        <v>1338</v>
      </c>
      <c r="I1850" s="15" t="s">
        <v>1539</v>
      </c>
      <c r="J1850" s="15" t="s">
        <v>28</v>
      </c>
      <c r="K1850" s="16" t="s">
        <v>57</v>
      </c>
      <c r="L1850" s="15" t="s">
        <v>1554</v>
      </c>
      <c r="M1850" s="15" t="s">
        <v>72</v>
      </c>
      <c r="N1850" s="15" t="s">
        <v>384</v>
      </c>
      <c r="O1850" s="15" t="s">
        <v>121</v>
      </c>
      <c r="P1850" s="16" t="s">
        <v>1550</v>
      </c>
      <c r="Q1850" s="17">
        <v>2299</v>
      </c>
      <c r="R1850" s="18">
        <v>45</v>
      </c>
      <c r="S1850" s="19">
        <v>1454.1174999999998</v>
      </c>
      <c r="T1850" s="20" t="s">
        <v>1551</v>
      </c>
      <c r="U1850" s="21" t="s">
        <v>1543</v>
      </c>
      <c r="V1850" s="25" t="s">
        <v>1544</v>
      </c>
      <c r="W1850" s="22">
        <v>1</v>
      </c>
      <c r="X1850" s="23"/>
    </row>
    <row r="1851" spans="1:24" s="1" customFormat="1" ht="108" customHeight="1" x14ac:dyDescent="0.3">
      <c r="A1851" s="11" t="s">
        <v>23</v>
      </c>
      <c r="B1851" s="11" t="s">
        <v>1555</v>
      </c>
      <c r="C1851" s="12" t="s">
        <v>1556</v>
      </c>
      <c r="D1851" s="13"/>
      <c r="E1851" s="43" t="str">
        <f>HYPERLINK("https://www.google.ru/search?q=37157-0666&amp;newwindow=1&amp;tbm=isch","Еще фото")</f>
        <v>Еще фото</v>
      </c>
      <c r="F1851" s="14"/>
      <c r="G1851" s="11" t="s">
        <v>1538</v>
      </c>
      <c r="H1851" s="11" t="s">
        <v>1338</v>
      </c>
      <c r="I1851" s="15" t="s">
        <v>1539</v>
      </c>
      <c r="J1851" s="15" t="s">
        <v>28</v>
      </c>
      <c r="K1851" s="16" t="s">
        <v>1540</v>
      </c>
      <c r="L1851" s="15" t="s">
        <v>1557</v>
      </c>
      <c r="M1851" s="15"/>
      <c r="N1851" s="15" t="s">
        <v>39</v>
      </c>
      <c r="O1851" s="15"/>
      <c r="P1851" s="16" t="s">
        <v>1558</v>
      </c>
      <c r="Q1851" s="17">
        <v>2299</v>
      </c>
      <c r="R1851" s="18">
        <v>45</v>
      </c>
      <c r="S1851" s="19">
        <v>1454.1174999999998</v>
      </c>
      <c r="T1851" s="20" t="s">
        <v>33</v>
      </c>
      <c r="U1851" s="21" t="s">
        <v>1543</v>
      </c>
      <c r="V1851" s="25" t="s">
        <v>1544</v>
      </c>
      <c r="W1851" s="22">
        <v>4</v>
      </c>
      <c r="X1851" s="23"/>
    </row>
    <row r="1852" spans="1:24" s="1" customFormat="1" ht="108" customHeight="1" x14ac:dyDescent="0.3">
      <c r="A1852" s="11" t="s">
        <v>23</v>
      </c>
      <c r="B1852" s="11" t="s">
        <v>1559</v>
      </c>
      <c r="C1852" s="12" t="s">
        <v>1560</v>
      </c>
      <c r="D1852" s="13"/>
      <c r="E1852" s="43" t="str">
        <f>HYPERLINK("https://www.google.ru/search?q=37157-0668&amp;newwindow=1&amp;tbm=isch","Еще фото")</f>
        <v>Еще фото</v>
      </c>
      <c r="F1852" s="14"/>
      <c r="G1852" s="11" t="s">
        <v>1561</v>
      </c>
      <c r="H1852" s="11" t="s">
        <v>1338</v>
      </c>
      <c r="I1852" s="15" t="s">
        <v>1539</v>
      </c>
      <c r="J1852" s="15" t="s">
        <v>28</v>
      </c>
      <c r="K1852" s="16" t="s">
        <v>1540</v>
      </c>
      <c r="L1852" s="15" t="s">
        <v>1541</v>
      </c>
      <c r="M1852" s="15" t="s">
        <v>72</v>
      </c>
      <c r="N1852" s="15" t="s">
        <v>31</v>
      </c>
      <c r="O1852" s="15" t="s">
        <v>121</v>
      </c>
      <c r="P1852" s="16" t="s">
        <v>1558</v>
      </c>
      <c r="Q1852" s="17">
        <v>2299</v>
      </c>
      <c r="R1852" s="18">
        <v>45</v>
      </c>
      <c r="S1852" s="19">
        <v>1454.1174999999998</v>
      </c>
      <c r="T1852" s="20" t="s">
        <v>33</v>
      </c>
      <c r="U1852" s="21" t="s">
        <v>1545</v>
      </c>
      <c r="V1852" s="25" t="s">
        <v>1546</v>
      </c>
      <c r="W1852" s="22">
        <v>23</v>
      </c>
      <c r="X1852" s="23"/>
    </row>
    <row r="1853" spans="1:24" s="1" customFormat="1" ht="108" customHeight="1" x14ac:dyDescent="0.3">
      <c r="A1853" s="11" t="s">
        <v>23</v>
      </c>
      <c r="B1853" s="11" t="s">
        <v>1562</v>
      </c>
      <c r="C1853" s="12" t="s">
        <v>1563</v>
      </c>
      <c r="D1853" s="13"/>
      <c r="E1853" s="43" t="str">
        <f>HYPERLINK("https://www.google.ru/search?q=37157-1216&amp;newwindow=1&amp;tbm=isch","Еще фото")</f>
        <v>Еще фото</v>
      </c>
      <c r="F1853" s="14"/>
      <c r="G1853" s="11" t="s">
        <v>1538</v>
      </c>
      <c r="H1853" s="11" t="s">
        <v>1338</v>
      </c>
      <c r="I1853" s="15" t="s">
        <v>1539</v>
      </c>
      <c r="J1853" s="15" t="s">
        <v>28</v>
      </c>
      <c r="K1853" s="16" t="s">
        <v>57</v>
      </c>
      <c r="L1853" s="15" t="s">
        <v>1541</v>
      </c>
      <c r="M1853" s="15"/>
      <c r="N1853" s="15" t="s">
        <v>31</v>
      </c>
      <c r="O1853" s="15"/>
      <c r="P1853" s="16" t="s">
        <v>1564</v>
      </c>
      <c r="Q1853" s="17">
        <v>2099</v>
      </c>
      <c r="R1853" s="18">
        <v>45</v>
      </c>
      <c r="S1853" s="19">
        <v>1327.6174999999998</v>
      </c>
      <c r="T1853" s="20" t="s">
        <v>33</v>
      </c>
      <c r="U1853" s="21" t="s">
        <v>1543</v>
      </c>
      <c r="V1853" s="25" t="s">
        <v>1544</v>
      </c>
      <c r="W1853" s="22">
        <v>2</v>
      </c>
      <c r="X1853" s="23"/>
    </row>
    <row r="1854" spans="1:24" s="1" customFormat="1" ht="108" customHeight="1" x14ac:dyDescent="0.3">
      <c r="A1854" s="11" t="s">
        <v>23</v>
      </c>
      <c r="B1854" s="11" t="s">
        <v>1565</v>
      </c>
      <c r="C1854" s="12" t="s">
        <v>1566</v>
      </c>
      <c r="D1854" s="13"/>
      <c r="E1854" s="43" t="str">
        <f>HYPERLINK("https://www.google.ru/search?q=37157-1314&amp;newwindow=1&amp;tbm=isch","Еще фото")</f>
        <v>Еще фото</v>
      </c>
      <c r="F1854" s="14"/>
      <c r="G1854" s="11" t="s">
        <v>1561</v>
      </c>
      <c r="H1854" s="11" t="s">
        <v>1338</v>
      </c>
      <c r="I1854" s="15" t="s">
        <v>1539</v>
      </c>
      <c r="J1854" s="15" t="s">
        <v>28</v>
      </c>
      <c r="K1854" s="16" t="s">
        <v>1540</v>
      </c>
      <c r="L1854" s="15" t="s">
        <v>1567</v>
      </c>
      <c r="M1854" s="15"/>
      <c r="N1854" s="15" t="s">
        <v>31</v>
      </c>
      <c r="O1854" s="15"/>
      <c r="P1854" s="16" t="s">
        <v>1568</v>
      </c>
      <c r="Q1854" s="17">
        <v>1099</v>
      </c>
      <c r="R1854" s="18">
        <v>45</v>
      </c>
      <c r="S1854" s="32">
        <v>695.11749999999995</v>
      </c>
      <c r="T1854" s="20" t="s">
        <v>1551</v>
      </c>
      <c r="U1854" s="21" t="s">
        <v>1569</v>
      </c>
      <c r="V1854" s="25" t="s">
        <v>1570</v>
      </c>
      <c r="W1854" s="22">
        <v>7</v>
      </c>
      <c r="X1854" s="23"/>
    </row>
    <row r="1855" spans="1:24" s="1" customFormat="1" ht="108" customHeight="1" x14ac:dyDescent="0.3">
      <c r="A1855" s="11" t="s">
        <v>23</v>
      </c>
      <c r="B1855" s="11" t="s">
        <v>1571</v>
      </c>
      <c r="C1855" s="12" t="s">
        <v>1572</v>
      </c>
      <c r="D1855" s="13"/>
      <c r="E1855" s="43" t="str">
        <f>HYPERLINK("https://www.google.ru/search?q=D5274-0004&amp;newwindow=1&amp;tbm=isch","Еще фото")</f>
        <v>Еще фото</v>
      </c>
      <c r="F1855" s="14"/>
      <c r="G1855" s="11" t="s">
        <v>1573</v>
      </c>
      <c r="H1855" s="11" t="s">
        <v>1330</v>
      </c>
      <c r="I1855" s="15" t="s">
        <v>1574</v>
      </c>
      <c r="J1855" s="15" t="s">
        <v>28</v>
      </c>
      <c r="K1855" s="16" t="s">
        <v>29</v>
      </c>
      <c r="L1855" s="15" t="s">
        <v>1575</v>
      </c>
      <c r="M1855" s="15" t="s">
        <v>72</v>
      </c>
      <c r="N1855" s="15" t="s">
        <v>156</v>
      </c>
      <c r="O1855" s="15"/>
      <c r="P1855" s="16" t="s">
        <v>1576</v>
      </c>
      <c r="Q1855" s="17">
        <v>7399</v>
      </c>
      <c r="R1855" s="18">
        <v>45</v>
      </c>
      <c r="S1855" s="19">
        <v>4679.8674999999994</v>
      </c>
      <c r="T1855" s="20" t="s">
        <v>33</v>
      </c>
      <c r="U1855" s="21" t="s">
        <v>1577</v>
      </c>
      <c r="V1855" s="22">
        <v>42</v>
      </c>
      <c r="W1855" s="22">
        <v>1</v>
      </c>
      <c r="X1855" s="23"/>
    </row>
    <row r="1856" spans="1:24" s="1" customFormat="1" ht="108" customHeight="1" x14ac:dyDescent="0.3">
      <c r="A1856" s="11" t="s">
        <v>23</v>
      </c>
      <c r="B1856" s="11" t="s">
        <v>1578</v>
      </c>
      <c r="C1856" s="12" t="s">
        <v>1579</v>
      </c>
      <c r="D1856" s="13"/>
      <c r="E1856" s="43" t="str">
        <f>HYPERLINK("https://www.google.ru/search?q=0009Y-0001&amp;newwindow=1&amp;tbm=isch","Еще фото")</f>
        <v>Еще фото</v>
      </c>
      <c r="F1856" s="14"/>
      <c r="G1856" s="11" t="s">
        <v>1580</v>
      </c>
      <c r="H1856" s="11" t="s">
        <v>1338</v>
      </c>
      <c r="I1856" s="15" t="s">
        <v>1581</v>
      </c>
      <c r="J1856" s="15" t="s">
        <v>37</v>
      </c>
      <c r="K1856" s="16" t="s">
        <v>57</v>
      </c>
      <c r="L1856" s="15" t="s">
        <v>1582</v>
      </c>
      <c r="M1856" s="15"/>
      <c r="N1856" s="15" t="s">
        <v>99</v>
      </c>
      <c r="O1856" s="15"/>
      <c r="P1856" s="16" t="s">
        <v>1583</v>
      </c>
      <c r="Q1856" s="17">
        <v>5899</v>
      </c>
      <c r="R1856" s="18">
        <v>45</v>
      </c>
      <c r="S1856" s="19">
        <v>3731.1174999999994</v>
      </c>
      <c r="T1856" s="20" t="s">
        <v>1584</v>
      </c>
      <c r="U1856" s="21" t="s">
        <v>1585</v>
      </c>
      <c r="V1856" s="22">
        <v>110</v>
      </c>
      <c r="W1856" s="22">
        <v>1</v>
      </c>
      <c r="X1856" s="23"/>
    </row>
    <row r="1857" spans="1:24" s="1" customFormat="1" ht="108" customHeight="1" x14ac:dyDescent="0.3">
      <c r="A1857" s="11" t="s">
        <v>23</v>
      </c>
      <c r="B1857" s="11" t="s">
        <v>1586</v>
      </c>
      <c r="C1857" s="12" t="s">
        <v>1587</v>
      </c>
      <c r="D1857" s="13"/>
      <c r="E1857" s="43" t="str">
        <f>HYPERLINK("https://www.google.ru/search?q=000I7-0000&amp;newwindow=1&amp;tbm=isch","Еще фото")</f>
        <v>Еще фото</v>
      </c>
      <c r="F1857" s="14"/>
      <c r="G1857" s="11" t="s">
        <v>1580</v>
      </c>
      <c r="H1857" s="11" t="s">
        <v>1338</v>
      </c>
      <c r="I1857" s="15" t="s">
        <v>1581</v>
      </c>
      <c r="J1857" s="15" t="s">
        <v>37</v>
      </c>
      <c r="K1857" s="16" t="s">
        <v>1540</v>
      </c>
      <c r="L1857" s="15" t="s">
        <v>1588</v>
      </c>
      <c r="M1857" s="15"/>
      <c r="N1857" s="15" t="s">
        <v>130</v>
      </c>
      <c r="O1857" s="15"/>
      <c r="P1857" s="16" t="s">
        <v>40</v>
      </c>
      <c r="Q1857" s="17">
        <v>6199</v>
      </c>
      <c r="R1857" s="18">
        <v>45</v>
      </c>
      <c r="S1857" s="19">
        <v>3920.8674999999994</v>
      </c>
      <c r="T1857" s="20" t="s">
        <v>1341</v>
      </c>
      <c r="U1857" s="21" t="s">
        <v>1342</v>
      </c>
      <c r="V1857" s="25" t="s">
        <v>1343</v>
      </c>
      <c r="W1857" s="22">
        <v>2</v>
      </c>
      <c r="X1857" s="23"/>
    </row>
    <row r="1858" spans="1:24" s="1" customFormat="1" ht="108" customHeight="1" x14ac:dyDescent="0.3">
      <c r="A1858" s="11" t="s">
        <v>23</v>
      </c>
      <c r="B1858" s="11" t="s">
        <v>1589</v>
      </c>
      <c r="C1858" s="12" t="s">
        <v>1590</v>
      </c>
      <c r="D1858" s="13"/>
      <c r="E1858" s="43" t="str">
        <f>HYPERLINK("https://www.google.ru/search?q=004CH-0002&amp;newwindow=1&amp;tbm=isch","Еще фото")</f>
        <v>Еще фото</v>
      </c>
      <c r="F1858" s="14"/>
      <c r="G1858" s="11" t="s">
        <v>1580</v>
      </c>
      <c r="H1858" s="11" t="s">
        <v>1338</v>
      </c>
      <c r="I1858" s="15" t="s">
        <v>1581</v>
      </c>
      <c r="J1858" s="15" t="s">
        <v>37</v>
      </c>
      <c r="K1858" s="16" t="s">
        <v>29</v>
      </c>
      <c r="L1858" s="15"/>
      <c r="M1858" s="15"/>
      <c r="N1858" s="15" t="s">
        <v>99</v>
      </c>
      <c r="O1858" s="15"/>
      <c r="P1858" s="16" t="s">
        <v>1591</v>
      </c>
      <c r="Q1858" s="17">
        <v>5699</v>
      </c>
      <c r="R1858" s="18">
        <v>45</v>
      </c>
      <c r="S1858" s="19">
        <v>3604.6174999999994</v>
      </c>
      <c r="T1858" s="20" t="s">
        <v>1584</v>
      </c>
      <c r="U1858" s="21" t="s">
        <v>1592</v>
      </c>
      <c r="V1858" s="22">
        <v>100</v>
      </c>
      <c r="W1858" s="22">
        <v>1</v>
      </c>
      <c r="X1858" s="23"/>
    </row>
    <row r="1859" spans="1:24" s="1" customFormat="1" ht="108" customHeight="1" x14ac:dyDescent="0.3">
      <c r="A1859" s="11" t="s">
        <v>23</v>
      </c>
      <c r="B1859" s="11" t="s">
        <v>1593</v>
      </c>
      <c r="C1859" s="12" t="s">
        <v>1594</v>
      </c>
      <c r="D1859" s="13"/>
      <c r="E1859" s="43" t="str">
        <f>HYPERLINK("https://www.google.ru/search?q=37460-0090&amp;newwindow=1&amp;tbm=isch","Еще фото")</f>
        <v>Еще фото</v>
      </c>
      <c r="F1859" s="14"/>
      <c r="G1859" s="11" t="s">
        <v>1580</v>
      </c>
      <c r="H1859" s="11" t="s">
        <v>1338</v>
      </c>
      <c r="I1859" s="15" t="s">
        <v>1581</v>
      </c>
      <c r="J1859" s="15" t="s">
        <v>28</v>
      </c>
      <c r="K1859" s="16" t="s">
        <v>29</v>
      </c>
      <c r="L1859" s="15" t="s">
        <v>1595</v>
      </c>
      <c r="M1859" s="15" t="s">
        <v>72</v>
      </c>
      <c r="N1859" s="15" t="s">
        <v>99</v>
      </c>
      <c r="O1859" s="15"/>
      <c r="P1859" s="16" t="s">
        <v>1583</v>
      </c>
      <c r="Q1859" s="17">
        <v>4399</v>
      </c>
      <c r="R1859" s="18">
        <v>45</v>
      </c>
      <c r="S1859" s="19">
        <v>2782.3674999999994</v>
      </c>
      <c r="T1859" s="20" t="s">
        <v>1584</v>
      </c>
      <c r="U1859" s="21" t="s">
        <v>1596</v>
      </c>
      <c r="V1859" s="22">
        <v>95</v>
      </c>
      <c r="W1859" s="22">
        <v>1</v>
      </c>
      <c r="X1859" s="23"/>
    </row>
    <row r="1860" spans="1:24" s="1" customFormat="1" ht="108" customHeight="1" x14ac:dyDescent="0.3">
      <c r="A1860" s="11" t="s">
        <v>23</v>
      </c>
      <c r="B1860" s="11" t="s">
        <v>1597</v>
      </c>
      <c r="C1860" s="12" t="s">
        <v>1598</v>
      </c>
      <c r="D1860" s="13"/>
      <c r="E1860" s="43" t="str">
        <f>HYPERLINK("https://www.google.ru/search?q=37460-0271&amp;newwindow=1&amp;tbm=isch","Еще фото")</f>
        <v>Еще фото</v>
      </c>
      <c r="F1860" s="14"/>
      <c r="G1860" s="11" t="s">
        <v>1580</v>
      </c>
      <c r="H1860" s="11" t="s">
        <v>1338</v>
      </c>
      <c r="I1860" s="15" t="s">
        <v>1581</v>
      </c>
      <c r="J1860" s="15" t="s">
        <v>28</v>
      </c>
      <c r="K1860" s="16" t="s">
        <v>29</v>
      </c>
      <c r="L1860" s="15" t="s">
        <v>1599</v>
      </c>
      <c r="M1860" s="15" t="s">
        <v>72</v>
      </c>
      <c r="N1860" s="15" t="s">
        <v>99</v>
      </c>
      <c r="O1860" s="15" t="s">
        <v>121</v>
      </c>
      <c r="P1860" s="16" t="s">
        <v>1600</v>
      </c>
      <c r="Q1860" s="17">
        <v>4199</v>
      </c>
      <c r="R1860" s="18">
        <v>45</v>
      </c>
      <c r="S1860" s="19">
        <v>2655.8674999999994</v>
      </c>
      <c r="T1860" s="20" t="s">
        <v>1584</v>
      </c>
      <c r="U1860" s="21" t="s">
        <v>1601</v>
      </c>
      <c r="V1860" s="22">
        <v>90</v>
      </c>
      <c r="W1860" s="22">
        <v>1</v>
      </c>
      <c r="X1860" s="23"/>
    </row>
    <row r="1861" spans="1:24" s="1" customFormat="1" ht="26" customHeight="1" x14ac:dyDescent="0.3">
      <c r="A1861" s="11" t="s">
        <v>23</v>
      </c>
      <c r="B1861" s="11" t="s">
        <v>1602</v>
      </c>
      <c r="C1861" s="12" t="s">
        <v>1603</v>
      </c>
      <c r="D1861" s="57"/>
      <c r="E1861" s="43" t="str">
        <f>HYPERLINK("https://www.google.ru/search?q=38016-0033&amp;newwindow=1&amp;tbm=isch","Еще фото")</f>
        <v>Еще фото</v>
      </c>
      <c r="F1861" s="14" t="s">
        <v>182</v>
      </c>
      <c r="G1861" s="11" t="s">
        <v>1580</v>
      </c>
      <c r="H1861" s="11" t="s">
        <v>1338</v>
      </c>
      <c r="I1861" s="15" t="s">
        <v>1581</v>
      </c>
      <c r="J1861" s="15" t="s">
        <v>28</v>
      </c>
      <c r="K1861" s="16" t="s">
        <v>57</v>
      </c>
      <c r="L1861" s="60" t="s">
        <v>1604</v>
      </c>
      <c r="M1861" s="15" t="s">
        <v>72</v>
      </c>
      <c r="N1861" s="15" t="s">
        <v>39</v>
      </c>
      <c r="O1861" s="15" t="s">
        <v>121</v>
      </c>
      <c r="P1861" s="16" t="s">
        <v>1583</v>
      </c>
      <c r="Q1861" s="17">
        <v>5299</v>
      </c>
      <c r="R1861" s="18">
        <v>45</v>
      </c>
      <c r="S1861" s="19">
        <v>3351.6174999999994</v>
      </c>
      <c r="T1861" s="20" t="s">
        <v>1584</v>
      </c>
      <c r="U1861" s="21" t="s">
        <v>1605</v>
      </c>
      <c r="V1861" s="22">
        <v>85</v>
      </c>
      <c r="W1861" s="22">
        <v>1</v>
      </c>
      <c r="X1861" s="23"/>
    </row>
    <row r="1862" spans="1:24" s="1" customFormat="1" ht="26" customHeight="1" x14ac:dyDescent="0.3">
      <c r="A1862" s="24" t="s">
        <v>23</v>
      </c>
      <c r="B1862" s="24" t="s">
        <v>1602</v>
      </c>
      <c r="C1862" s="12" t="s">
        <v>1603</v>
      </c>
      <c r="D1862" s="58"/>
      <c r="E1862" s="43" t="str">
        <f>HYPERLINK("https://www.google.ru/search?q=38016-0033&amp;newwindow=1&amp;tbm=isch","Еще фото")</f>
        <v>Еще фото</v>
      </c>
      <c r="F1862" s="14" t="s">
        <v>182</v>
      </c>
      <c r="G1862" s="24" t="s">
        <v>1580</v>
      </c>
      <c r="H1862" s="24" t="s">
        <v>1338</v>
      </c>
      <c r="I1862" s="24" t="s">
        <v>1581</v>
      </c>
      <c r="J1862" s="15" t="s">
        <v>28</v>
      </c>
      <c r="K1862" s="16" t="s">
        <v>57</v>
      </c>
      <c r="L1862" s="61"/>
      <c r="M1862" s="15" t="s">
        <v>72</v>
      </c>
      <c r="N1862" s="15" t="s">
        <v>39</v>
      </c>
      <c r="O1862" s="15" t="s">
        <v>121</v>
      </c>
      <c r="P1862" s="16" t="s">
        <v>1583</v>
      </c>
      <c r="Q1862" s="17">
        <v>5299</v>
      </c>
      <c r="R1862" s="18">
        <v>45</v>
      </c>
      <c r="S1862" s="19">
        <v>3351.6174999999994</v>
      </c>
      <c r="T1862" s="20" t="s">
        <v>1584</v>
      </c>
      <c r="U1862" s="21" t="s">
        <v>1601</v>
      </c>
      <c r="V1862" s="22">
        <v>90</v>
      </c>
      <c r="W1862" s="22">
        <v>1</v>
      </c>
      <c r="X1862" s="23"/>
    </row>
    <row r="1863" spans="1:24" s="1" customFormat="1" ht="26" customHeight="1" x14ac:dyDescent="0.3">
      <c r="A1863" s="24" t="s">
        <v>23</v>
      </c>
      <c r="B1863" s="24" t="s">
        <v>1602</v>
      </c>
      <c r="C1863" s="12" t="s">
        <v>1603</v>
      </c>
      <c r="D1863" s="58"/>
      <c r="E1863" s="43" t="str">
        <f>HYPERLINK("https://www.google.ru/search?q=38016-0033&amp;newwindow=1&amp;tbm=isch","Еще фото")</f>
        <v>Еще фото</v>
      </c>
      <c r="F1863" s="14" t="s">
        <v>182</v>
      </c>
      <c r="G1863" s="24" t="s">
        <v>1580</v>
      </c>
      <c r="H1863" s="24" t="s">
        <v>1338</v>
      </c>
      <c r="I1863" s="24" t="s">
        <v>1581</v>
      </c>
      <c r="J1863" s="15" t="s">
        <v>28</v>
      </c>
      <c r="K1863" s="16" t="s">
        <v>57</v>
      </c>
      <c r="L1863" s="61"/>
      <c r="M1863" s="15" t="s">
        <v>72</v>
      </c>
      <c r="N1863" s="15" t="s">
        <v>39</v>
      </c>
      <c r="O1863" s="15" t="s">
        <v>121</v>
      </c>
      <c r="P1863" s="16" t="s">
        <v>1583</v>
      </c>
      <c r="Q1863" s="17">
        <v>5299</v>
      </c>
      <c r="R1863" s="18">
        <v>45</v>
      </c>
      <c r="S1863" s="19">
        <v>3351.6174999999994</v>
      </c>
      <c r="T1863" s="20" t="s">
        <v>1584</v>
      </c>
      <c r="U1863" s="21" t="s">
        <v>1596</v>
      </c>
      <c r="V1863" s="22">
        <v>95</v>
      </c>
      <c r="W1863" s="22">
        <v>1</v>
      </c>
      <c r="X1863" s="23"/>
    </row>
    <row r="1864" spans="1:24" s="1" customFormat="1" ht="26" customHeight="1" x14ac:dyDescent="0.3">
      <c r="A1864" s="24" t="s">
        <v>23</v>
      </c>
      <c r="B1864" s="24" t="s">
        <v>1602</v>
      </c>
      <c r="C1864" s="12" t="s">
        <v>1603</v>
      </c>
      <c r="D1864" s="59"/>
      <c r="E1864" s="43" t="str">
        <f>HYPERLINK("https://www.google.ru/search?q=38016-0033&amp;newwindow=1&amp;tbm=isch","Еще фото")</f>
        <v>Еще фото</v>
      </c>
      <c r="F1864" s="14" t="s">
        <v>182</v>
      </c>
      <c r="G1864" s="24" t="s">
        <v>1580</v>
      </c>
      <c r="H1864" s="24" t="s">
        <v>1338</v>
      </c>
      <c r="I1864" s="24" t="s">
        <v>1581</v>
      </c>
      <c r="J1864" s="15" t="s">
        <v>28</v>
      </c>
      <c r="K1864" s="16" t="s">
        <v>57</v>
      </c>
      <c r="L1864" s="62"/>
      <c r="M1864" s="15" t="s">
        <v>72</v>
      </c>
      <c r="N1864" s="15" t="s">
        <v>39</v>
      </c>
      <c r="O1864" s="15" t="s">
        <v>121</v>
      </c>
      <c r="P1864" s="16" t="s">
        <v>1583</v>
      </c>
      <c r="Q1864" s="17">
        <v>5299</v>
      </c>
      <c r="R1864" s="18">
        <v>45</v>
      </c>
      <c r="S1864" s="19">
        <v>3351.6174999999994</v>
      </c>
      <c r="T1864" s="20" t="s">
        <v>1584</v>
      </c>
      <c r="U1864" s="21" t="s">
        <v>1585</v>
      </c>
      <c r="V1864" s="22">
        <v>110</v>
      </c>
      <c r="W1864" s="22">
        <v>2</v>
      </c>
      <c r="X1864" s="23"/>
    </row>
    <row r="1865" spans="1:24" s="1" customFormat="1" ht="108" customHeight="1" x14ac:dyDescent="0.3">
      <c r="A1865" s="11" t="s">
        <v>23</v>
      </c>
      <c r="B1865" s="11" t="s">
        <v>1606</v>
      </c>
      <c r="C1865" s="12" t="s">
        <v>1607</v>
      </c>
      <c r="D1865" s="13"/>
      <c r="E1865" s="43" t="str">
        <f>HYPERLINK("https://www.google.ru/search?q=38016-0195&amp;newwindow=1&amp;tbm=isch","Еще фото")</f>
        <v>Еще фото</v>
      </c>
      <c r="F1865" s="14"/>
      <c r="G1865" s="11" t="s">
        <v>1580</v>
      </c>
      <c r="H1865" s="11" t="s">
        <v>1338</v>
      </c>
      <c r="I1865" s="15" t="s">
        <v>1581</v>
      </c>
      <c r="J1865" s="15" t="s">
        <v>28</v>
      </c>
      <c r="K1865" s="16" t="s">
        <v>1540</v>
      </c>
      <c r="L1865" s="15" t="s">
        <v>1608</v>
      </c>
      <c r="M1865" s="15" t="s">
        <v>72</v>
      </c>
      <c r="N1865" s="15" t="s">
        <v>99</v>
      </c>
      <c r="O1865" s="15"/>
      <c r="P1865" s="16" t="s">
        <v>1583</v>
      </c>
      <c r="Q1865" s="17">
        <v>4199</v>
      </c>
      <c r="R1865" s="18">
        <v>45</v>
      </c>
      <c r="S1865" s="19">
        <v>2655.8674999999994</v>
      </c>
      <c r="T1865" s="20" t="s">
        <v>1584</v>
      </c>
      <c r="U1865" s="21" t="s">
        <v>1601</v>
      </c>
      <c r="V1865" s="22">
        <v>90</v>
      </c>
      <c r="W1865" s="22">
        <v>1</v>
      </c>
      <c r="X1865" s="23"/>
    </row>
    <row r="1866" spans="1:24" s="1" customFormat="1" ht="108" customHeight="1" x14ac:dyDescent="0.3">
      <c r="A1866" s="11" t="s">
        <v>23</v>
      </c>
      <c r="B1866" s="11" t="s">
        <v>1609</v>
      </c>
      <c r="C1866" s="12" t="s">
        <v>1610</v>
      </c>
      <c r="D1866" s="13"/>
      <c r="E1866" s="43" t="str">
        <f>HYPERLINK("https://www.google.ru/search?q=38136-0012&amp;newwindow=1&amp;tbm=isch","Еще фото")</f>
        <v>Еще фото</v>
      </c>
      <c r="F1866" s="14"/>
      <c r="G1866" s="11" t="s">
        <v>1580</v>
      </c>
      <c r="H1866" s="11" t="s">
        <v>1338</v>
      </c>
      <c r="I1866" s="15" t="s">
        <v>1581</v>
      </c>
      <c r="J1866" s="15" t="s">
        <v>28</v>
      </c>
      <c r="K1866" s="16" t="s">
        <v>29</v>
      </c>
      <c r="L1866" s="15" t="s">
        <v>1611</v>
      </c>
      <c r="M1866" s="15" t="s">
        <v>72</v>
      </c>
      <c r="N1866" s="15" t="s">
        <v>73</v>
      </c>
      <c r="O1866" s="15" t="s">
        <v>121</v>
      </c>
      <c r="P1866" s="16" t="s">
        <v>40</v>
      </c>
      <c r="Q1866" s="17">
        <v>2899</v>
      </c>
      <c r="R1866" s="18">
        <v>45</v>
      </c>
      <c r="S1866" s="19">
        <v>1833.6174999999998</v>
      </c>
      <c r="T1866" s="20" t="s">
        <v>1341</v>
      </c>
      <c r="U1866" s="21" t="s">
        <v>1342</v>
      </c>
      <c r="V1866" s="25" t="s">
        <v>1343</v>
      </c>
      <c r="W1866" s="22">
        <v>3</v>
      </c>
      <c r="X1866" s="23"/>
    </row>
    <row r="1867" spans="1:24" s="1" customFormat="1" ht="108" customHeight="1" x14ac:dyDescent="0.3">
      <c r="A1867" s="11" t="s">
        <v>23</v>
      </c>
      <c r="B1867" s="11" t="s">
        <v>1609</v>
      </c>
      <c r="C1867" s="12" t="s">
        <v>1612</v>
      </c>
      <c r="D1867" s="13"/>
      <c r="E1867" s="43" t="str">
        <f>HYPERLINK("https://www.google.ru/search?q=D5480-0002&amp;newwindow=1&amp;tbm=isch","Еще фото")</f>
        <v>Еще фото</v>
      </c>
      <c r="F1867" s="14"/>
      <c r="G1867" s="11" t="s">
        <v>1580</v>
      </c>
      <c r="H1867" s="11" t="s">
        <v>1338</v>
      </c>
      <c r="I1867" s="15" t="s">
        <v>1581</v>
      </c>
      <c r="J1867" s="15" t="s">
        <v>28</v>
      </c>
      <c r="K1867" s="16" t="s">
        <v>29</v>
      </c>
      <c r="L1867" s="15" t="s">
        <v>1613</v>
      </c>
      <c r="M1867" s="15" t="s">
        <v>72</v>
      </c>
      <c r="N1867" s="15" t="s">
        <v>156</v>
      </c>
      <c r="O1867" s="15" t="s">
        <v>121</v>
      </c>
      <c r="P1867" s="16" t="s">
        <v>40</v>
      </c>
      <c r="Q1867" s="17">
        <v>2999</v>
      </c>
      <c r="R1867" s="18">
        <v>45</v>
      </c>
      <c r="S1867" s="19">
        <v>1896.8674999999998</v>
      </c>
      <c r="T1867" s="20" t="s">
        <v>1341</v>
      </c>
      <c r="U1867" s="21" t="s">
        <v>1342</v>
      </c>
      <c r="V1867" s="25" t="s">
        <v>1343</v>
      </c>
      <c r="W1867" s="22">
        <v>1</v>
      </c>
      <c r="X1867" s="23"/>
    </row>
    <row r="1868" spans="1:24" s="1" customFormat="1" ht="35" customHeight="1" x14ac:dyDescent="0.3">
      <c r="A1868" s="11" t="s">
        <v>23</v>
      </c>
      <c r="B1868" s="11" t="s">
        <v>1614</v>
      </c>
      <c r="C1868" s="12" t="s">
        <v>1615</v>
      </c>
      <c r="D1868" s="57"/>
      <c r="E1868" s="43" t="str">
        <f>HYPERLINK("https://www.google.ru/search?q=D5484-0001&amp;newwindow=1&amp;tbm=isch","Еще фото")</f>
        <v>Еще фото</v>
      </c>
      <c r="F1868" s="14"/>
      <c r="G1868" s="11" t="s">
        <v>1580</v>
      </c>
      <c r="H1868" s="11" t="s">
        <v>1338</v>
      </c>
      <c r="I1868" s="15" t="s">
        <v>1581</v>
      </c>
      <c r="J1868" s="15" t="s">
        <v>28</v>
      </c>
      <c r="K1868" s="16" t="s">
        <v>29</v>
      </c>
      <c r="L1868" s="60" t="s">
        <v>1616</v>
      </c>
      <c r="M1868" s="15" t="s">
        <v>72</v>
      </c>
      <c r="N1868" s="15" t="s">
        <v>99</v>
      </c>
      <c r="O1868" s="15" t="s">
        <v>121</v>
      </c>
      <c r="P1868" s="16" t="s">
        <v>1600</v>
      </c>
      <c r="Q1868" s="17">
        <v>4599</v>
      </c>
      <c r="R1868" s="18">
        <v>45</v>
      </c>
      <c r="S1868" s="19">
        <v>2908.8674999999994</v>
      </c>
      <c r="T1868" s="20" t="s">
        <v>1584</v>
      </c>
      <c r="U1868" s="21" t="s">
        <v>1617</v>
      </c>
      <c r="V1868" s="22">
        <v>75</v>
      </c>
      <c r="W1868" s="22">
        <v>2</v>
      </c>
      <c r="X1868" s="23"/>
    </row>
    <row r="1869" spans="1:24" s="1" customFormat="1" ht="35" customHeight="1" x14ac:dyDescent="0.3">
      <c r="A1869" s="24" t="s">
        <v>23</v>
      </c>
      <c r="B1869" s="24" t="s">
        <v>1614</v>
      </c>
      <c r="C1869" s="12" t="s">
        <v>1615</v>
      </c>
      <c r="D1869" s="58"/>
      <c r="E1869" s="43" t="str">
        <f>HYPERLINK("https://www.google.ru/search?q=D5484-0001&amp;newwindow=1&amp;tbm=isch","Еще фото")</f>
        <v>Еще фото</v>
      </c>
      <c r="F1869" s="14"/>
      <c r="G1869" s="24" t="s">
        <v>1580</v>
      </c>
      <c r="H1869" s="24" t="s">
        <v>1338</v>
      </c>
      <c r="I1869" s="24" t="s">
        <v>1581</v>
      </c>
      <c r="J1869" s="15" t="s">
        <v>28</v>
      </c>
      <c r="K1869" s="16" t="s">
        <v>29</v>
      </c>
      <c r="L1869" s="61"/>
      <c r="M1869" s="15" t="s">
        <v>72</v>
      </c>
      <c r="N1869" s="15" t="s">
        <v>99</v>
      </c>
      <c r="O1869" s="15" t="s">
        <v>121</v>
      </c>
      <c r="P1869" s="16" t="s">
        <v>1600</v>
      </c>
      <c r="Q1869" s="17">
        <v>4599</v>
      </c>
      <c r="R1869" s="18">
        <v>45</v>
      </c>
      <c r="S1869" s="19">
        <v>2908.8674999999994</v>
      </c>
      <c r="T1869" s="20" t="s">
        <v>1584</v>
      </c>
      <c r="U1869" s="21" t="s">
        <v>1605</v>
      </c>
      <c r="V1869" s="22">
        <v>85</v>
      </c>
      <c r="W1869" s="22">
        <v>2</v>
      </c>
      <c r="X1869" s="23"/>
    </row>
    <row r="1870" spans="1:24" s="1" customFormat="1" ht="37.049999999999997" customHeight="1" x14ac:dyDescent="0.3">
      <c r="A1870" s="24" t="s">
        <v>23</v>
      </c>
      <c r="B1870" s="24" t="s">
        <v>1614</v>
      </c>
      <c r="C1870" s="12" t="s">
        <v>1615</v>
      </c>
      <c r="D1870" s="59"/>
      <c r="E1870" s="43" t="str">
        <f>HYPERLINK("https://www.google.ru/search?q=D5484-0001&amp;newwindow=1&amp;tbm=isch","Еще фото")</f>
        <v>Еще фото</v>
      </c>
      <c r="F1870" s="14"/>
      <c r="G1870" s="24" t="s">
        <v>1580</v>
      </c>
      <c r="H1870" s="24" t="s">
        <v>1338</v>
      </c>
      <c r="I1870" s="24" t="s">
        <v>1581</v>
      </c>
      <c r="J1870" s="15" t="s">
        <v>28</v>
      </c>
      <c r="K1870" s="16" t="s">
        <v>29</v>
      </c>
      <c r="L1870" s="62"/>
      <c r="M1870" s="15" t="s">
        <v>72</v>
      </c>
      <c r="N1870" s="15" t="s">
        <v>99</v>
      </c>
      <c r="O1870" s="15" t="s">
        <v>121</v>
      </c>
      <c r="P1870" s="16" t="s">
        <v>1600</v>
      </c>
      <c r="Q1870" s="17">
        <v>4599</v>
      </c>
      <c r="R1870" s="18">
        <v>45</v>
      </c>
      <c r="S1870" s="19">
        <v>2908.8674999999994</v>
      </c>
      <c r="T1870" s="20" t="s">
        <v>1584</v>
      </c>
      <c r="U1870" s="21" t="s">
        <v>1592</v>
      </c>
      <c r="V1870" s="22">
        <v>100</v>
      </c>
      <c r="W1870" s="22">
        <v>1</v>
      </c>
      <c r="X1870" s="23"/>
    </row>
    <row r="1871" spans="1:24" s="1" customFormat="1" ht="35" customHeight="1" x14ac:dyDescent="0.3">
      <c r="A1871" s="11" t="s">
        <v>23</v>
      </c>
      <c r="B1871" s="11" t="s">
        <v>1618</v>
      </c>
      <c r="C1871" s="12" t="s">
        <v>1619</v>
      </c>
      <c r="D1871" s="57"/>
      <c r="E1871" s="43" t="str">
        <f>HYPERLINK("https://www.google.ru/search?q=D6014-0002&amp;newwindow=1&amp;tbm=isch","Еще фото")</f>
        <v>Еще фото</v>
      </c>
      <c r="F1871" s="14"/>
      <c r="G1871" s="11" t="s">
        <v>1580</v>
      </c>
      <c r="H1871" s="11" t="s">
        <v>1338</v>
      </c>
      <c r="I1871" s="15" t="s">
        <v>1581</v>
      </c>
      <c r="J1871" s="15" t="s">
        <v>28</v>
      </c>
      <c r="K1871" s="16" t="s">
        <v>29</v>
      </c>
      <c r="L1871" s="60" t="s">
        <v>1620</v>
      </c>
      <c r="M1871" s="15" t="s">
        <v>72</v>
      </c>
      <c r="N1871" s="15" t="s">
        <v>73</v>
      </c>
      <c r="O1871" s="15" t="s">
        <v>121</v>
      </c>
      <c r="P1871" s="16" t="s">
        <v>1621</v>
      </c>
      <c r="Q1871" s="17">
        <v>3399</v>
      </c>
      <c r="R1871" s="18">
        <v>45</v>
      </c>
      <c r="S1871" s="19">
        <v>2149.8674999999998</v>
      </c>
      <c r="T1871" s="20" t="s">
        <v>1584</v>
      </c>
      <c r="U1871" s="21" t="s">
        <v>1605</v>
      </c>
      <c r="V1871" s="22">
        <v>85</v>
      </c>
      <c r="W1871" s="22">
        <v>1</v>
      </c>
      <c r="X1871" s="23"/>
    </row>
    <row r="1872" spans="1:24" s="1" customFormat="1" ht="35" customHeight="1" x14ac:dyDescent="0.3">
      <c r="A1872" s="24" t="s">
        <v>23</v>
      </c>
      <c r="B1872" s="24" t="s">
        <v>1618</v>
      </c>
      <c r="C1872" s="12" t="s">
        <v>1619</v>
      </c>
      <c r="D1872" s="58"/>
      <c r="E1872" s="43" t="str">
        <f>HYPERLINK("https://www.google.ru/search?q=D6014-0002&amp;newwindow=1&amp;tbm=isch","Еще фото")</f>
        <v>Еще фото</v>
      </c>
      <c r="F1872" s="14"/>
      <c r="G1872" s="24" t="s">
        <v>1580</v>
      </c>
      <c r="H1872" s="24" t="s">
        <v>1338</v>
      </c>
      <c r="I1872" s="24" t="s">
        <v>1581</v>
      </c>
      <c r="J1872" s="15" t="s">
        <v>28</v>
      </c>
      <c r="K1872" s="16" t="s">
        <v>29</v>
      </c>
      <c r="L1872" s="61"/>
      <c r="M1872" s="15" t="s">
        <v>72</v>
      </c>
      <c r="N1872" s="15" t="s">
        <v>73</v>
      </c>
      <c r="O1872" s="15" t="s">
        <v>121</v>
      </c>
      <c r="P1872" s="16" t="s">
        <v>1621</v>
      </c>
      <c r="Q1872" s="17">
        <v>3399</v>
      </c>
      <c r="R1872" s="18">
        <v>45</v>
      </c>
      <c r="S1872" s="19">
        <v>2149.8674999999998</v>
      </c>
      <c r="T1872" s="20" t="s">
        <v>1584</v>
      </c>
      <c r="U1872" s="21" t="s">
        <v>1601</v>
      </c>
      <c r="V1872" s="22">
        <v>90</v>
      </c>
      <c r="W1872" s="22">
        <v>1</v>
      </c>
      <c r="X1872" s="23"/>
    </row>
    <row r="1873" spans="1:24" s="1" customFormat="1" ht="37.049999999999997" customHeight="1" x14ac:dyDescent="0.3">
      <c r="A1873" s="24" t="s">
        <v>23</v>
      </c>
      <c r="B1873" s="24" t="s">
        <v>1618</v>
      </c>
      <c r="C1873" s="12" t="s">
        <v>1619</v>
      </c>
      <c r="D1873" s="59"/>
      <c r="E1873" s="43" t="str">
        <f>HYPERLINK("https://www.google.ru/search?q=D6014-0002&amp;newwindow=1&amp;tbm=isch","Еще фото")</f>
        <v>Еще фото</v>
      </c>
      <c r="F1873" s="14"/>
      <c r="G1873" s="24" t="s">
        <v>1580</v>
      </c>
      <c r="H1873" s="24" t="s">
        <v>1338</v>
      </c>
      <c r="I1873" s="24" t="s">
        <v>1581</v>
      </c>
      <c r="J1873" s="15" t="s">
        <v>28</v>
      </c>
      <c r="K1873" s="16" t="s">
        <v>29</v>
      </c>
      <c r="L1873" s="62"/>
      <c r="M1873" s="15" t="s">
        <v>72</v>
      </c>
      <c r="N1873" s="15" t="s">
        <v>73</v>
      </c>
      <c r="O1873" s="15" t="s">
        <v>121</v>
      </c>
      <c r="P1873" s="16" t="s">
        <v>1621</v>
      </c>
      <c r="Q1873" s="17">
        <v>3399</v>
      </c>
      <c r="R1873" s="18">
        <v>45</v>
      </c>
      <c r="S1873" s="19">
        <v>2149.8674999999998</v>
      </c>
      <c r="T1873" s="20" t="s">
        <v>1584</v>
      </c>
      <c r="U1873" s="21" t="s">
        <v>1596</v>
      </c>
      <c r="V1873" s="22">
        <v>95</v>
      </c>
      <c r="W1873" s="22">
        <v>1</v>
      </c>
      <c r="X1873" s="23"/>
    </row>
    <row r="1874" spans="1:24" s="1" customFormat="1" ht="52.05" customHeight="1" x14ac:dyDescent="0.3">
      <c r="A1874" s="11" t="s">
        <v>23</v>
      </c>
      <c r="B1874" s="11" t="s">
        <v>1618</v>
      </c>
      <c r="C1874" s="12" t="s">
        <v>1622</v>
      </c>
      <c r="D1874" s="63"/>
      <c r="E1874" s="43" t="str">
        <f>HYPERLINK("https://www.google.ru/search?q=D6014-0003&amp;newwindow=1&amp;tbm=isch","Еще фото")</f>
        <v>Еще фото</v>
      </c>
      <c r="F1874" s="14"/>
      <c r="G1874" s="11" t="s">
        <v>1580</v>
      </c>
      <c r="H1874" s="11" t="s">
        <v>1338</v>
      </c>
      <c r="I1874" s="15" t="s">
        <v>1581</v>
      </c>
      <c r="J1874" s="15" t="s">
        <v>28</v>
      </c>
      <c r="K1874" s="16" t="s">
        <v>29</v>
      </c>
      <c r="L1874" s="60" t="s">
        <v>1620</v>
      </c>
      <c r="M1874" s="15" t="s">
        <v>72</v>
      </c>
      <c r="N1874" s="15" t="s">
        <v>156</v>
      </c>
      <c r="O1874" s="15" t="s">
        <v>121</v>
      </c>
      <c r="P1874" s="16" t="s">
        <v>1621</v>
      </c>
      <c r="Q1874" s="17">
        <v>2999</v>
      </c>
      <c r="R1874" s="18">
        <v>45</v>
      </c>
      <c r="S1874" s="19">
        <v>1896.8674999999998</v>
      </c>
      <c r="T1874" s="20" t="s">
        <v>1584</v>
      </c>
      <c r="U1874" s="21" t="s">
        <v>1623</v>
      </c>
      <c r="V1874" s="22">
        <v>70</v>
      </c>
      <c r="W1874" s="22">
        <v>1</v>
      </c>
      <c r="X1874" s="23"/>
    </row>
    <row r="1875" spans="1:24" s="1" customFormat="1" ht="61.05" customHeight="1" x14ac:dyDescent="0.3">
      <c r="A1875" s="24" t="s">
        <v>23</v>
      </c>
      <c r="B1875" s="24" t="s">
        <v>1618</v>
      </c>
      <c r="C1875" s="12" t="s">
        <v>1622</v>
      </c>
      <c r="D1875" s="64"/>
      <c r="E1875" s="43" t="str">
        <f>HYPERLINK("https://www.google.ru/search?q=D6014-0003&amp;newwindow=1&amp;tbm=isch","Еще фото")</f>
        <v>Еще фото</v>
      </c>
      <c r="F1875" s="14"/>
      <c r="G1875" s="24" t="s">
        <v>1580</v>
      </c>
      <c r="H1875" s="24" t="s">
        <v>1338</v>
      </c>
      <c r="I1875" s="24" t="s">
        <v>1581</v>
      </c>
      <c r="J1875" s="15" t="s">
        <v>28</v>
      </c>
      <c r="K1875" s="16" t="s">
        <v>29</v>
      </c>
      <c r="L1875" s="62"/>
      <c r="M1875" s="15" t="s">
        <v>72</v>
      </c>
      <c r="N1875" s="15" t="s">
        <v>156</v>
      </c>
      <c r="O1875" s="15" t="s">
        <v>121</v>
      </c>
      <c r="P1875" s="16" t="s">
        <v>1621</v>
      </c>
      <c r="Q1875" s="17">
        <v>2999</v>
      </c>
      <c r="R1875" s="18">
        <v>45</v>
      </c>
      <c r="S1875" s="19">
        <v>1896.8674999999998</v>
      </c>
      <c r="T1875" s="20" t="s">
        <v>1584</v>
      </c>
      <c r="U1875" s="21" t="s">
        <v>1596</v>
      </c>
      <c r="V1875" s="22">
        <v>95</v>
      </c>
      <c r="W1875" s="22">
        <v>1</v>
      </c>
      <c r="X1875" s="23"/>
    </row>
    <row r="1876" spans="1:24" s="1" customFormat="1" ht="35" customHeight="1" x14ac:dyDescent="0.3">
      <c r="A1876" s="11" t="s">
        <v>23</v>
      </c>
      <c r="B1876" s="11" t="s">
        <v>1624</v>
      </c>
      <c r="C1876" s="12" t="s">
        <v>1625</v>
      </c>
      <c r="D1876" s="57"/>
      <c r="E1876" s="43" t="str">
        <f>HYPERLINK("https://www.google.ru/search?q=D6024-0002&amp;newwindow=1&amp;tbm=isch","Еще фото")</f>
        <v>Еще фото</v>
      </c>
      <c r="F1876" s="14"/>
      <c r="G1876" s="11" t="s">
        <v>1580</v>
      </c>
      <c r="H1876" s="11" t="s">
        <v>1338</v>
      </c>
      <c r="I1876" s="15" t="s">
        <v>1581</v>
      </c>
      <c r="J1876" s="15" t="s">
        <v>28</v>
      </c>
      <c r="K1876" s="16" t="s">
        <v>29</v>
      </c>
      <c r="L1876" s="60" t="s">
        <v>1626</v>
      </c>
      <c r="M1876" s="15" t="s">
        <v>72</v>
      </c>
      <c r="N1876" s="15" t="s">
        <v>156</v>
      </c>
      <c r="O1876" s="15"/>
      <c r="P1876" s="16" t="s">
        <v>1627</v>
      </c>
      <c r="Q1876" s="17">
        <v>3990</v>
      </c>
      <c r="R1876" s="18">
        <v>45</v>
      </c>
      <c r="S1876" s="19">
        <v>2523.6749999999997</v>
      </c>
      <c r="T1876" s="20" t="s">
        <v>1584</v>
      </c>
      <c r="U1876" s="21" t="s">
        <v>1623</v>
      </c>
      <c r="V1876" s="22">
        <v>70</v>
      </c>
      <c r="W1876" s="22">
        <v>1</v>
      </c>
      <c r="X1876" s="23"/>
    </row>
    <row r="1877" spans="1:24" s="1" customFormat="1" ht="35" customHeight="1" x14ac:dyDescent="0.3">
      <c r="A1877" s="24" t="s">
        <v>23</v>
      </c>
      <c r="B1877" s="24" t="s">
        <v>1624</v>
      </c>
      <c r="C1877" s="12" t="s">
        <v>1625</v>
      </c>
      <c r="D1877" s="58"/>
      <c r="E1877" s="43" t="str">
        <f>HYPERLINK("https://www.google.ru/search?q=D6024-0002&amp;newwindow=1&amp;tbm=isch","Еще фото")</f>
        <v>Еще фото</v>
      </c>
      <c r="F1877" s="14"/>
      <c r="G1877" s="24" t="s">
        <v>1580</v>
      </c>
      <c r="H1877" s="24" t="s">
        <v>1338</v>
      </c>
      <c r="I1877" s="24" t="s">
        <v>1581</v>
      </c>
      <c r="J1877" s="15" t="s">
        <v>28</v>
      </c>
      <c r="K1877" s="16" t="s">
        <v>29</v>
      </c>
      <c r="L1877" s="61"/>
      <c r="M1877" s="15" t="s">
        <v>72</v>
      </c>
      <c r="N1877" s="15" t="s">
        <v>156</v>
      </c>
      <c r="O1877" s="15"/>
      <c r="P1877" s="16" t="s">
        <v>1627</v>
      </c>
      <c r="Q1877" s="17">
        <v>3990</v>
      </c>
      <c r="R1877" s="18">
        <v>45</v>
      </c>
      <c r="S1877" s="19">
        <v>2523.6749999999997</v>
      </c>
      <c r="T1877" s="20" t="s">
        <v>1584</v>
      </c>
      <c r="U1877" s="21" t="s">
        <v>1628</v>
      </c>
      <c r="V1877" s="22">
        <v>80</v>
      </c>
      <c r="W1877" s="22">
        <v>1</v>
      </c>
      <c r="X1877" s="23"/>
    </row>
    <row r="1878" spans="1:24" s="1" customFormat="1" ht="37.049999999999997" customHeight="1" x14ac:dyDescent="0.3">
      <c r="A1878" s="24" t="s">
        <v>23</v>
      </c>
      <c r="B1878" s="24" t="s">
        <v>1624</v>
      </c>
      <c r="C1878" s="12" t="s">
        <v>1625</v>
      </c>
      <c r="D1878" s="59"/>
      <c r="E1878" s="43" t="str">
        <f>HYPERLINK("https://www.google.ru/search?q=D6024-0002&amp;newwindow=1&amp;tbm=isch","Еще фото")</f>
        <v>Еще фото</v>
      </c>
      <c r="F1878" s="14"/>
      <c r="G1878" s="24" t="s">
        <v>1580</v>
      </c>
      <c r="H1878" s="24" t="s">
        <v>1338</v>
      </c>
      <c r="I1878" s="24" t="s">
        <v>1581</v>
      </c>
      <c r="J1878" s="15" t="s">
        <v>28</v>
      </c>
      <c r="K1878" s="16" t="s">
        <v>29</v>
      </c>
      <c r="L1878" s="62"/>
      <c r="M1878" s="15" t="s">
        <v>72</v>
      </c>
      <c r="N1878" s="15" t="s">
        <v>156</v>
      </c>
      <c r="O1878" s="15"/>
      <c r="P1878" s="16" t="s">
        <v>1627</v>
      </c>
      <c r="Q1878" s="17">
        <v>3990</v>
      </c>
      <c r="R1878" s="18">
        <v>45</v>
      </c>
      <c r="S1878" s="19">
        <v>2523.6749999999997</v>
      </c>
      <c r="T1878" s="20" t="s">
        <v>1584</v>
      </c>
      <c r="U1878" s="21" t="s">
        <v>1601</v>
      </c>
      <c r="V1878" s="22">
        <v>90</v>
      </c>
      <c r="W1878" s="22">
        <v>1</v>
      </c>
      <c r="X1878" s="23"/>
    </row>
    <row r="1879" spans="1:24" s="1" customFormat="1" ht="108" customHeight="1" x14ac:dyDescent="0.3">
      <c r="A1879" s="11" t="s">
        <v>23</v>
      </c>
      <c r="B1879" s="11" t="s">
        <v>1597</v>
      </c>
      <c r="C1879" s="12" t="s">
        <v>1629</v>
      </c>
      <c r="D1879" s="13"/>
      <c r="E1879" s="43" t="str">
        <f>HYPERLINK("https://www.google.ru/search?q=D6606-0001&amp;newwindow=1&amp;tbm=isch","Еще фото")</f>
        <v>Еще фото</v>
      </c>
      <c r="F1879" s="14"/>
      <c r="G1879" s="11" t="s">
        <v>1580</v>
      </c>
      <c r="H1879" s="11" t="s">
        <v>1338</v>
      </c>
      <c r="I1879" s="15" t="s">
        <v>1581</v>
      </c>
      <c r="J1879" s="15" t="s">
        <v>28</v>
      </c>
      <c r="K1879" s="16" t="s">
        <v>29</v>
      </c>
      <c r="L1879" s="15" t="s">
        <v>1630</v>
      </c>
      <c r="M1879" s="15" t="s">
        <v>72</v>
      </c>
      <c r="N1879" s="15" t="s">
        <v>83</v>
      </c>
      <c r="O1879" s="15"/>
      <c r="P1879" s="16" t="s">
        <v>1600</v>
      </c>
      <c r="Q1879" s="17">
        <v>4499</v>
      </c>
      <c r="R1879" s="18">
        <v>45</v>
      </c>
      <c r="S1879" s="19">
        <v>2845.6174999999994</v>
      </c>
      <c r="T1879" s="20" t="s">
        <v>1584</v>
      </c>
      <c r="U1879" s="21" t="s">
        <v>1617</v>
      </c>
      <c r="V1879" s="22">
        <v>75</v>
      </c>
      <c r="W1879" s="22">
        <v>2</v>
      </c>
      <c r="X1879" s="23"/>
    </row>
    <row r="1880" spans="1:24" s="1" customFormat="1" ht="52.05" customHeight="1" x14ac:dyDescent="0.3">
      <c r="A1880" s="11" t="s">
        <v>23</v>
      </c>
      <c r="B1880" s="11" t="s">
        <v>1631</v>
      </c>
      <c r="C1880" s="12" t="s">
        <v>1632</v>
      </c>
      <c r="D1880" s="63"/>
      <c r="E1880" s="43" t="str">
        <f>HYPERLINK("https://www.google.ru/search?q=29764-0002&amp;newwindow=1&amp;tbm=isch","Еще фото")</f>
        <v>Еще фото</v>
      </c>
      <c r="F1880" s="14"/>
      <c r="G1880" s="11" t="s">
        <v>1633</v>
      </c>
      <c r="H1880" s="11" t="s">
        <v>27</v>
      </c>
      <c r="I1880" s="15" t="s">
        <v>1634</v>
      </c>
      <c r="J1880" s="15" t="s">
        <v>37</v>
      </c>
      <c r="K1880" s="16" t="s">
        <v>29</v>
      </c>
      <c r="L1880" s="60" t="s">
        <v>1635</v>
      </c>
      <c r="M1880" s="15"/>
      <c r="N1880" s="15" t="s">
        <v>1636</v>
      </c>
      <c r="O1880" s="15"/>
      <c r="P1880" s="16" t="s">
        <v>32</v>
      </c>
      <c r="Q1880" s="17">
        <v>8099</v>
      </c>
      <c r="R1880" s="18">
        <v>92.13</v>
      </c>
      <c r="S1880" s="32">
        <v>733.43549999999993</v>
      </c>
      <c r="T1880" s="20" t="s">
        <v>33</v>
      </c>
      <c r="U1880" s="21" t="s">
        <v>1366</v>
      </c>
      <c r="V1880" s="22">
        <v>40</v>
      </c>
      <c r="W1880" s="22">
        <v>31</v>
      </c>
      <c r="X1880" s="23"/>
    </row>
    <row r="1881" spans="1:24" s="1" customFormat="1" ht="61.05" customHeight="1" x14ac:dyDescent="0.3">
      <c r="A1881" s="24" t="s">
        <v>23</v>
      </c>
      <c r="B1881" s="24" t="s">
        <v>1631</v>
      </c>
      <c r="C1881" s="12" t="s">
        <v>1632</v>
      </c>
      <c r="D1881" s="64"/>
      <c r="E1881" s="43" t="str">
        <f>HYPERLINK("https://www.google.ru/search?q=29764-0002&amp;newwindow=1&amp;tbm=isch","Еще фото")</f>
        <v>Еще фото</v>
      </c>
      <c r="F1881" s="14"/>
      <c r="G1881" s="24" t="s">
        <v>1633</v>
      </c>
      <c r="H1881" s="24" t="s">
        <v>27</v>
      </c>
      <c r="I1881" s="24" t="s">
        <v>1634</v>
      </c>
      <c r="J1881" s="15" t="s">
        <v>37</v>
      </c>
      <c r="K1881" s="16" t="s">
        <v>29</v>
      </c>
      <c r="L1881" s="62"/>
      <c r="M1881" s="15"/>
      <c r="N1881" s="15" t="s">
        <v>1636</v>
      </c>
      <c r="O1881" s="15"/>
      <c r="P1881" s="16" t="s">
        <v>32</v>
      </c>
      <c r="Q1881" s="17">
        <v>8099</v>
      </c>
      <c r="R1881" s="18">
        <v>92.13</v>
      </c>
      <c r="S1881" s="32">
        <v>733.43549999999993</v>
      </c>
      <c r="T1881" s="20" t="s">
        <v>33</v>
      </c>
      <c r="U1881" s="21" t="s">
        <v>61</v>
      </c>
      <c r="V1881" s="22">
        <v>42</v>
      </c>
      <c r="W1881" s="22">
        <v>9</v>
      </c>
      <c r="X1881" s="23"/>
    </row>
    <row r="1882" spans="1:24" s="1" customFormat="1" ht="21" customHeight="1" x14ac:dyDescent="0.3">
      <c r="A1882" s="11" t="s">
        <v>23</v>
      </c>
      <c r="B1882" s="11" t="s">
        <v>1637</v>
      </c>
      <c r="C1882" s="30" t="s">
        <v>1638</v>
      </c>
      <c r="D1882" s="57"/>
      <c r="E1882" s="43" t="str">
        <f>HYPERLINK("https://www.google.ru/search?q=A1875-0001&amp;newwindow=1&amp;tbm=isch","Еще фото")</f>
        <v>Еще фото</v>
      </c>
      <c r="F1882" s="14"/>
      <c r="G1882" s="11" t="s">
        <v>1639</v>
      </c>
      <c r="H1882" s="11" t="s">
        <v>27</v>
      </c>
      <c r="I1882" s="15" t="s">
        <v>1634</v>
      </c>
      <c r="J1882" s="15" t="s">
        <v>28</v>
      </c>
      <c r="K1882" s="16" t="s">
        <v>29</v>
      </c>
      <c r="L1882" s="60" t="s">
        <v>1640</v>
      </c>
      <c r="M1882" s="15" t="s">
        <v>72</v>
      </c>
      <c r="N1882" s="15" t="s">
        <v>120</v>
      </c>
      <c r="O1882" s="15" t="s">
        <v>121</v>
      </c>
      <c r="P1882" s="16" t="s">
        <v>40</v>
      </c>
      <c r="Q1882" s="17">
        <v>8299</v>
      </c>
      <c r="R1882" s="18">
        <v>90.87</v>
      </c>
      <c r="S1882" s="32">
        <v>871.43549999999993</v>
      </c>
      <c r="T1882" s="20" t="s">
        <v>33</v>
      </c>
      <c r="U1882" s="21" t="s">
        <v>61</v>
      </c>
      <c r="V1882" s="22">
        <v>42</v>
      </c>
      <c r="W1882" s="22">
        <v>39</v>
      </c>
      <c r="X1882" s="23"/>
    </row>
    <row r="1883" spans="1:24" s="1" customFormat="1" ht="21" customHeight="1" x14ac:dyDescent="0.3">
      <c r="A1883" s="24" t="s">
        <v>23</v>
      </c>
      <c r="B1883" s="24" t="s">
        <v>1637</v>
      </c>
      <c r="C1883" s="31" t="s">
        <v>1638</v>
      </c>
      <c r="D1883" s="58"/>
      <c r="E1883" s="43" t="str">
        <f>HYPERLINK("https://www.google.ru/search?q=A1875-0001&amp;newwindow=1&amp;tbm=isch","Еще фото")</f>
        <v>Еще фото</v>
      </c>
      <c r="F1883" s="14"/>
      <c r="G1883" s="24" t="s">
        <v>1639</v>
      </c>
      <c r="H1883" s="24" t="s">
        <v>27</v>
      </c>
      <c r="I1883" s="24" t="s">
        <v>1634</v>
      </c>
      <c r="J1883" s="15" t="s">
        <v>28</v>
      </c>
      <c r="K1883" s="16" t="s">
        <v>29</v>
      </c>
      <c r="L1883" s="61"/>
      <c r="M1883" s="15" t="s">
        <v>72</v>
      </c>
      <c r="N1883" s="15" t="s">
        <v>120</v>
      </c>
      <c r="O1883" s="15" t="s">
        <v>121</v>
      </c>
      <c r="P1883" s="16" t="s">
        <v>40</v>
      </c>
      <c r="Q1883" s="17">
        <v>8299</v>
      </c>
      <c r="R1883" s="18">
        <v>90.87</v>
      </c>
      <c r="S1883" s="32">
        <v>871.43549999999993</v>
      </c>
      <c r="T1883" s="20" t="s">
        <v>33</v>
      </c>
      <c r="U1883" s="21" t="s">
        <v>62</v>
      </c>
      <c r="V1883" s="22">
        <v>44</v>
      </c>
      <c r="W1883" s="22">
        <v>17</v>
      </c>
      <c r="X1883" s="23"/>
    </row>
    <row r="1884" spans="1:24" s="1" customFormat="1" ht="21" customHeight="1" x14ac:dyDescent="0.3">
      <c r="A1884" s="24" t="s">
        <v>23</v>
      </c>
      <c r="B1884" s="24" t="s">
        <v>1637</v>
      </c>
      <c r="C1884" s="31" t="s">
        <v>1638</v>
      </c>
      <c r="D1884" s="58"/>
      <c r="E1884" s="43" t="str">
        <f>HYPERLINK("https://www.google.ru/search?q=A1875-0001&amp;newwindow=1&amp;tbm=isch","Еще фото")</f>
        <v>Еще фото</v>
      </c>
      <c r="F1884" s="14"/>
      <c r="G1884" s="24" t="s">
        <v>1639</v>
      </c>
      <c r="H1884" s="24" t="s">
        <v>27</v>
      </c>
      <c r="I1884" s="24" t="s">
        <v>1634</v>
      </c>
      <c r="J1884" s="15" t="s">
        <v>28</v>
      </c>
      <c r="K1884" s="16" t="s">
        <v>29</v>
      </c>
      <c r="L1884" s="61"/>
      <c r="M1884" s="15" t="s">
        <v>72</v>
      </c>
      <c r="N1884" s="15" t="s">
        <v>120</v>
      </c>
      <c r="O1884" s="15" t="s">
        <v>121</v>
      </c>
      <c r="P1884" s="16" t="s">
        <v>40</v>
      </c>
      <c r="Q1884" s="17">
        <v>8299</v>
      </c>
      <c r="R1884" s="18">
        <v>90.87</v>
      </c>
      <c r="S1884" s="32">
        <v>871.43549999999993</v>
      </c>
      <c r="T1884" s="20" t="s">
        <v>33</v>
      </c>
      <c r="U1884" s="21" t="s">
        <v>64</v>
      </c>
      <c r="V1884" s="22">
        <v>46</v>
      </c>
      <c r="W1884" s="22">
        <v>33</v>
      </c>
      <c r="X1884" s="23"/>
    </row>
    <row r="1885" spans="1:24" s="1" customFormat="1" ht="21" customHeight="1" x14ac:dyDescent="0.3">
      <c r="A1885" s="24" t="s">
        <v>23</v>
      </c>
      <c r="B1885" s="24" t="s">
        <v>1637</v>
      </c>
      <c r="C1885" s="31" t="s">
        <v>1638</v>
      </c>
      <c r="D1885" s="58"/>
      <c r="E1885" s="43" t="str">
        <f>HYPERLINK("https://www.google.ru/search?q=A1875-0001&amp;newwindow=1&amp;tbm=isch","Еще фото")</f>
        <v>Еще фото</v>
      </c>
      <c r="F1885" s="14"/>
      <c r="G1885" s="24" t="s">
        <v>1639</v>
      </c>
      <c r="H1885" s="24" t="s">
        <v>27</v>
      </c>
      <c r="I1885" s="24" t="s">
        <v>1634</v>
      </c>
      <c r="J1885" s="15" t="s">
        <v>28</v>
      </c>
      <c r="K1885" s="16" t="s">
        <v>29</v>
      </c>
      <c r="L1885" s="61"/>
      <c r="M1885" s="15" t="s">
        <v>72</v>
      </c>
      <c r="N1885" s="15" t="s">
        <v>120</v>
      </c>
      <c r="O1885" s="15" t="s">
        <v>121</v>
      </c>
      <c r="P1885" s="16" t="s">
        <v>40</v>
      </c>
      <c r="Q1885" s="17">
        <v>8299</v>
      </c>
      <c r="R1885" s="18">
        <v>90.87</v>
      </c>
      <c r="S1885" s="32">
        <v>871.43549999999993</v>
      </c>
      <c r="T1885" s="20" t="s">
        <v>33</v>
      </c>
      <c r="U1885" s="21" t="s">
        <v>34</v>
      </c>
      <c r="V1885" s="22">
        <v>48</v>
      </c>
      <c r="W1885" s="22">
        <v>11</v>
      </c>
      <c r="X1885" s="23"/>
    </row>
    <row r="1886" spans="1:24" s="1" customFormat="1" ht="32" customHeight="1" x14ac:dyDescent="0.3">
      <c r="A1886" s="24" t="s">
        <v>23</v>
      </c>
      <c r="B1886" s="24" t="s">
        <v>1637</v>
      </c>
      <c r="C1886" s="31" t="s">
        <v>1638</v>
      </c>
      <c r="D1886" s="59"/>
      <c r="E1886" s="43" t="str">
        <f>HYPERLINK("https://www.google.ru/search?q=A1875-0001&amp;newwindow=1&amp;tbm=isch","Еще фото")</f>
        <v>Еще фото</v>
      </c>
      <c r="F1886" s="14"/>
      <c r="G1886" s="24" t="s">
        <v>1639</v>
      </c>
      <c r="H1886" s="24" t="s">
        <v>27</v>
      </c>
      <c r="I1886" s="24" t="s">
        <v>1634</v>
      </c>
      <c r="J1886" s="15" t="s">
        <v>28</v>
      </c>
      <c r="K1886" s="16" t="s">
        <v>29</v>
      </c>
      <c r="L1886" s="62"/>
      <c r="M1886" s="15" t="s">
        <v>72</v>
      </c>
      <c r="N1886" s="15" t="s">
        <v>120</v>
      </c>
      <c r="O1886" s="15" t="s">
        <v>121</v>
      </c>
      <c r="P1886" s="16" t="s">
        <v>40</v>
      </c>
      <c r="Q1886" s="17">
        <v>8299</v>
      </c>
      <c r="R1886" s="18">
        <v>90.87</v>
      </c>
      <c r="S1886" s="32">
        <v>871.43549999999993</v>
      </c>
      <c r="T1886" s="20" t="s">
        <v>33</v>
      </c>
      <c r="U1886" s="21" t="s">
        <v>150</v>
      </c>
      <c r="V1886" s="22">
        <v>50</v>
      </c>
      <c r="W1886" s="22">
        <v>9</v>
      </c>
      <c r="X1886" s="23"/>
    </row>
    <row r="1887" spans="1:24" s="1" customFormat="1" ht="108" customHeight="1" x14ac:dyDescent="0.3">
      <c r="A1887" s="11" t="s">
        <v>23</v>
      </c>
      <c r="B1887" s="11" t="s">
        <v>1641</v>
      </c>
      <c r="C1887" s="12" t="s">
        <v>1642</v>
      </c>
      <c r="D1887" s="13"/>
      <c r="E1887" s="43" t="str">
        <f>HYPERLINK("https://www.google.ru/search?q=A7423-0000&amp;newwindow=1&amp;tbm=isch","Еще фото")</f>
        <v>Еще фото</v>
      </c>
      <c r="F1887" s="14"/>
      <c r="G1887" s="11" t="s">
        <v>1633</v>
      </c>
      <c r="H1887" s="11" t="s">
        <v>27</v>
      </c>
      <c r="I1887" s="15" t="s">
        <v>1634</v>
      </c>
      <c r="J1887" s="15" t="s">
        <v>37</v>
      </c>
      <c r="K1887" s="16" t="s">
        <v>29</v>
      </c>
      <c r="L1887" s="15" t="s">
        <v>1643</v>
      </c>
      <c r="M1887" s="15"/>
      <c r="N1887" s="15" t="s">
        <v>39</v>
      </c>
      <c r="O1887" s="15"/>
      <c r="P1887" s="16" t="s">
        <v>1644</v>
      </c>
      <c r="Q1887" s="17">
        <v>8599</v>
      </c>
      <c r="R1887" s="18">
        <v>56.07</v>
      </c>
      <c r="S1887" s="19">
        <v>4344.4354999999996</v>
      </c>
      <c r="T1887" s="20" t="s">
        <v>33</v>
      </c>
      <c r="U1887" s="21" t="s">
        <v>61</v>
      </c>
      <c r="V1887" s="22">
        <v>42</v>
      </c>
      <c r="W1887" s="22">
        <v>7</v>
      </c>
      <c r="X1887" s="23"/>
    </row>
    <row r="1888" spans="1:24" s="1" customFormat="1" ht="52.05" customHeight="1" x14ac:dyDescent="0.3">
      <c r="A1888" s="11" t="s">
        <v>23</v>
      </c>
      <c r="B1888" s="11" t="s">
        <v>1645</v>
      </c>
      <c r="C1888" s="12" t="s">
        <v>1646</v>
      </c>
      <c r="D1888" s="63"/>
      <c r="E1888" s="43" t="str">
        <f>HYPERLINK("https://www.google.ru/search?q=A7423-0005&amp;newwindow=1&amp;tbm=isch","Еще фото")</f>
        <v>Еще фото</v>
      </c>
      <c r="F1888" s="14"/>
      <c r="G1888" s="11" t="s">
        <v>1633</v>
      </c>
      <c r="H1888" s="11" t="s">
        <v>27</v>
      </c>
      <c r="I1888" s="15" t="s">
        <v>1634</v>
      </c>
      <c r="J1888" s="15" t="s">
        <v>37</v>
      </c>
      <c r="K1888" s="16" t="s">
        <v>29</v>
      </c>
      <c r="L1888" s="60" t="s">
        <v>1647</v>
      </c>
      <c r="M1888" s="15"/>
      <c r="N1888" s="15" t="s">
        <v>138</v>
      </c>
      <c r="O1888" s="15"/>
      <c r="P1888" s="16" t="s">
        <v>1648</v>
      </c>
      <c r="Q1888" s="17">
        <v>9199</v>
      </c>
      <c r="R1888" s="18">
        <v>52.63</v>
      </c>
      <c r="S1888" s="19">
        <v>5011.4355000000005</v>
      </c>
      <c r="T1888" s="20" t="s">
        <v>33</v>
      </c>
      <c r="U1888" s="21" t="s">
        <v>61</v>
      </c>
      <c r="V1888" s="22">
        <v>42</v>
      </c>
      <c r="W1888" s="22">
        <v>5</v>
      </c>
      <c r="X1888" s="23"/>
    </row>
    <row r="1889" spans="1:24" s="1" customFormat="1" ht="61.05" customHeight="1" x14ac:dyDescent="0.3">
      <c r="A1889" s="24" t="s">
        <v>23</v>
      </c>
      <c r="B1889" s="24" t="s">
        <v>1645</v>
      </c>
      <c r="C1889" s="12" t="s">
        <v>1646</v>
      </c>
      <c r="D1889" s="64"/>
      <c r="E1889" s="43" t="str">
        <f>HYPERLINK("https://www.google.ru/search?q=A7423-0005&amp;newwindow=1&amp;tbm=isch","Еще фото")</f>
        <v>Еще фото</v>
      </c>
      <c r="F1889" s="14"/>
      <c r="G1889" s="24" t="s">
        <v>1633</v>
      </c>
      <c r="H1889" s="24" t="s">
        <v>27</v>
      </c>
      <c r="I1889" s="24" t="s">
        <v>1634</v>
      </c>
      <c r="J1889" s="15" t="s">
        <v>37</v>
      </c>
      <c r="K1889" s="16" t="s">
        <v>29</v>
      </c>
      <c r="L1889" s="62"/>
      <c r="M1889" s="15"/>
      <c r="N1889" s="15" t="s">
        <v>138</v>
      </c>
      <c r="O1889" s="15"/>
      <c r="P1889" s="16" t="s">
        <v>1648</v>
      </c>
      <c r="Q1889" s="17">
        <v>9199</v>
      </c>
      <c r="R1889" s="18">
        <v>52.63</v>
      </c>
      <c r="S1889" s="19">
        <v>5011.4355000000005</v>
      </c>
      <c r="T1889" s="20" t="s">
        <v>33</v>
      </c>
      <c r="U1889" s="21" t="s">
        <v>62</v>
      </c>
      <c r="V1889" s="22">
        <v>44</v>
      </c>
      <c r="W1889" s="22">
        <v>1</v>
      </c>
      <c r="X1889" s="23"/>
    </row>
    <row r="1890" spans="1:24" s="1" customFormat="1" ht="108" customHeight="1" x14ac:dyDescent="0.3">
      <c r="A1890" s="11" t="s">
        <v>23</v>
      </c>
      <c r="B1890" s="11" t="s">
        <v>1649</v>
      </c>
      <c r="C1890" s="12" t="s">
        <v>1650</v>
      </c>
      <c r="D1890" s="13"/>
      <c r="E1890" s="43" t="str">
        <f>HYPERLINK("https://www.google.ru/search?q=85744-0049&amp;newwindow=1&amp;tbm=isch","Еще фото")</f>
        <v>Еще фото</v>
      </c>
      <c r="F1890" s="14"/>
      <c r="G1890" s="11" t="s">
        <v>1633</v>
      </c>
      <c r="H1890" s="11" t="s">
        <v>27</v>
      </c>
      <c r="I1890" s="15" t="s">
        <v>1634</v>
      </c>
      <c r="J1890" s="15" t="s">
        <v>37</v>
      </c>
      <c r="K1890" s="16" t="s">
        <v>57</v>
      </c>
      <c r="L1890" s="15" t="s">
        <v>1651</v>
      </c>
      <c r="M1890" s="15"/>
      <c r="N1890" s="15" t="s">
        <v>130</v>
      </c>
      <c r="O1890" s="15"/>
      <c r="P1890" s="16" t="s">
        <v>32</v>
      </c>
      <c r="Q1890" s="17">
        <v>9399</v>
      </c>
      <c r="R1890" s="18">
        <v>49.49</v>
      </c>
      <c r="S1890" s="19">
        <v>5459.9355000000005</v>
      </c>
      <c r="T1890" s="20" t="s">
        <v>33</v>
      </c>
      <c r="U1890" s="21" t="s">
        <v>62</v>
      </c>
      <c r="V1890" s="22">
        <v>46</v>
      </c>
      <c r="W1890" s="22">
        <v>5</v>
      </c>
      <c r="X1890" s="23"/>
    </row>
    <row r="1891" spans="1:24" s="1" customFormat="1" ht="108" customHeight="1" x14ac:dyDescent="0.3">
      <c r="A1891" s="11" t="s">
        <v>23</v>
      </c>
      <c r="B1891" s="11" t="s">
        <v>1652</v>
      </c>
      <c r="C1891" s="12" t="s">
        <v>1653</v>
      </c>
      <c r="D1891" s="13"/>
      <c r="E1891" s="43" t="str">
        <f>HYPERLINK("https://www.google.ru/search?q=A0668-0002&amp;newwindow=1&amp;tbm=isch","Еще фото")</f>
        <v>Еще фото</v>
      </c>
      <c r="F1891" s="14"/>
      <c r="G1891" s="11" t="s">
        <v>1639</v>
      </c>
      <c r="H1891" s="11" t="s">
        <v>27</v>
      </c>
      <c r="I1891" s="15" t="s">
        <v>1634</v>
      </c>
      <c r="J1891" s="15" t="s">
        <v>28</v>
      </c>
      <c r="K1891" s="16" t="s">
        <v>29</v>
      </c>
      <c r="L1891" s="15" t="s">
        <v>1654</v>
      </c>
      <c r="M1891" s="15" t="s">
        <v>72</v>
      </c>
      <c r="N1891" s="15" t="s">
        <v>138</v>
      </c>
      <c r="O1891" s="15" t="s">
        <v>121</v>
      </c>
      <c r="P1891" s="16" t="s">
        <v>32</v>
      </c>
      <c r="Q1891" s="17">
        <v>7899</v>
      </c>
      <c r="R1891" s="18">
        <v>48.76</v>
      </c>
      <c r="S1891" s="19">
        <v>4654.9354999999996</v>
      </c>
      <c r="T1891" s="20" t="s">
        <v>33</v>
      </c>
      <c r="U1891" s="21" t="s">
        <v>61</v>
      </c>
      <c r="V1891" s="22">
        <v>42</v>
      </c>
      <c r="W1891" s="22">
        <v>11</v>
      </c>
      <c r="X1891" s="23"/>
    </row>
    <row r="1892" spans="1:24" s="1" customFormat="1" ht="108" customHeight="1" x14ac:dyDescent="0.3">
      <c r="A1892" s="11" t="s">
        <v>23</v>
      </c>
      <c r="B1892" s="11" t="s">
        <v>1655</v>
      </c>
      <c r="C1892" s="12" t="s">
        <v>1656</v>
      </c>
      <c r="D1892" s="13"/>
      <c r="E1892" s="43" t="str">
        <f>HYPERLINK("https://www.google.ru/search?q=86624-0012&amp;newwindow=1&amp;tbm=isch","Еще фото")</f>
        <v>Еще фото</v>
      </c>
      <c r="F1892" s="14"/>
      <c r="G1892" s="11" t="s">
        <v>1633</v>
      </c>
      <c r="H1892" s="11" t="s">
        <v>27</v>
      </c>
      <c r="I1892" s="15" t="s">
        <v>1634</v>
      </c>
      <c r="J1892" s="15" t="s">
        <v>28</v>
      </c>
      <c r="K1892" s="16" t="s">
        <v>57</v>
      </c>
      <c r="L1892" s="15" t="s">
        <v>1657</v>
      </c>
      <c r="M1892" s="15" t="s">
        <v>72</v>
      </c>
      <c r="N1892" s="15" t="s">
        <v>130</v>
      </c>
      <c r="O1892" s="15" t="s">
        <v>121</v>
      </c>
      <c r="P1892" s="16" t="s">
        <v>32</v>
      </c>
      <c r="Q1892" s="17">
        <v>5999</v>
      </c>
      <c r="R1892" s="18">
        <v>46.66</v>
      </c>
      <c r="S1892" s="19">
        <v>3679.9884999999995</v>
      </c>
      <c r="T1892" s="20" t="s">
        <v>33</v>
      </c>
      <c r="U1892" s="21" t="s">
        <v>62</v>
      </c>
      <c r="V1892" s="22">
        <v>46</v>
      </c>
      <c r="W1892" s="22">
        <v>3</v>
      </c>
      <c r="X1892" s="23"/>
    </row>
    <row r="1893" spans="1:24" s="1" customFormat="1" ht="108" customHeight="1" x14ac:dyDescent="0.3">
      <c r="A1893" s="11" t="s">
        <v>23</v>
      </c>
      <c r="B1893" s="11" t="s">
        <v>1658</v>
      </c>
      <c r="C1893" s="12" t="s">
        <v>1659</v>
      </c>
      <c r="D1893" s="13"/>
      <c r="E1893" s="43" t="str">
        <f>HYPERLINK("https://www.google.ru/search?q=86626-0016&amp;newwindow=1&amp;tbm=isch","Еще фото")</f>
        <v>Еще фото</v>
      </c>
      <c r="F1893" s="14"/>
      <c r="G1893" s="11" t="s">
        <v>1633</v>
      </c>
      <c r="H1893" s="11" t="s">
        <v>27</v>
      </c>
      <c r="I1893" s="15" t="s">
        <v>1634</v>
      </c>
      <c r="J1893" s="15" t="s">
        <v>37</v>
      </c>
      <c r="K1893" s="16" t="s">
        <v>57</v>
      </c>
      <c r="L1893" s="15" t="s">
        <v>1660</v>
      </c>
      <c r="M1893" s="15"/>
      <c r="N1893" s="15" t="s">
        <v>130</v>
      </c>
      <c r="O1893" s="15"/>
      <c r="P1893" s="16" t="s">
        <v>32</v>
      </c>
      <c r="Q1893" s="17">
        <v>9399</v>
      </c>
      <c r="R1893" s="18">
        <v>45.74</v>
      </c>
      <c r="S1893" s="19">
        <v>5864.9884999999995</v>
      </c>
      <c r="T1893" s="20" t="s">
        <v>33</v>
      </c>
      <c r="U1893" s="21" t="s">
        <v>62</v>
      </c>
      <c r="V1893" s="22">
        <v>46</v>
      </c>
      <c r="W1893" s="22">
        <v>1</v>
      </c>
      <c r="X1893" s="23"/>
    </row>
    <row r="1894" spans="1:24" s="1" customFormat="1" ht="108" customHeight="1" x14ac:dyDescent="0.3">
      <c r="A1894" s="11" t="s">
        <v>23</v>
      </c>
      <c r="B1894" s="11" t="s">
        <v>1661</v>
      </c>
      <c r="C1894" s="12" t="s">
        <v>1662</v>
      </c>
      <c r="D1894" s="13"/>
      <c r="E1894" s="43" t="str">
        <f>HYPERLINK("https://www.google.ru/search?q=A8745-0025&amp;newwindow=1&amp;tbm=isch","Еще фото")</f>
        <v>Еще фото</v>
      </c>
      <c r="F1894" s="14"/>
      <c r="G1894" s="11" t="s">
        <v>1633</v>
      </c>
      <c r="H1894" s="11" t="s">
        <v>27</v>
      </c>
      <c r="I1894" s="15" t="s">
        <v>1634</v>
      </c>
      <c r="J1894" s="15" t="s">
        <v>37</v>
      </c>
      <c r="K1894" s="16" t="s">
        <v>29</v>
      </c>
      <c r="L1894" s="15" t="s">
        <v>1663</v>
      </c>
      <c r="M1894" s="15"/>
      <c r="N1894" s="15" t="s">
        <v>73</v>
      </c>
      <c r="O1894" s="15"/>
      <c r="P1894" s="16" t="s">
        <v>1664</v>
      </c>
      <c r="Q1894" s="17">
        <v>6799</v>
      </c>
      <c r="R1894" s="18">
        <v>45.58</v>
      </c>
      <c r="S1894" s="19">
        <v>4254.9884999999995</v>
      </c>
      <c r="T1894" s="20" t="s">
        <v>33</v>
      </c>
      <c r="U1894" s="21" t="s">
        <v>34</v>
      </c>
      <c r="V1894" s="22">
        <v>48</v>
      </c>
      <c r="W1894" s="22">
        <v>1</v>
      </c>
      <c r="X1894" s="23"/>
    </row>
    <row r="1895" spans="1:24" s="1" customFormat="1" ht="108" customHeight="1" x14ac:dyDescent="0.3">
      <c r="A1895" s="11" t="s">
        <v>23</v>
      </c>
      <c r="B1895" s="11" t="s">
        <v>1665</v>
      </c>
      <c r="C1895" s="12" t="s">
        <v>1666</v>
      </c>
      <c r="D1895" s="13"/>
      <c r="E1895" s="43" t="str">
        <f>HYPERLINK("https://www.google.ru/search?q=29460-0003&amp;newwindow=1&amp;tbm=isch","Еще фото")</f>
        <v>Еще фото</v>
      </c>
      <c r="F1895" s="14"/>
      <c r="G1895" s="11" t="s">
        <v>1633</v>
      </c>
      <c r="H1895" s="11" t="s">
        <v>27</v>
      </c>
      <c r="I1895" s="15" t="s">
        <v>1634</v>
      </c>
      <c r="J1895" s="15" t="s">
        <v>28</v>
      </c>
      <c r="K1895" s="16" t="s">
        <v>29</v>
      </c>
      <c r="L1895" s="15" t="s">
        <v>1667</v>
      </c>
      <c r="M1895" s="15" t="s">
        <v>72</v>
      </c>
      <c r="N1895" s="15" t="s">
        <v>73</v>
      </c>
      <c r="O1895" s="15"/>
      <c r="P1895" s="16" t="s">
        <v>1668</v>
      </c>
      <c r="Q1895" s="17">
        <v>6599</v>
      </c>
      <c r="R1895" s="18">
        <v>45.45</v>
      </c>
      <c r="S1895" s="19">
        <v>4139.9884999999995</v>
      </c>
      <c r="T1895" s="20" t="s">
        <v>33</v>
      </c>
      <c r="U1895" s="21" t="s">
        <v>150</v>
      </c>
      <c r="V1895" s="22">
        <v>50</v>
      </c>
      <c r="W1895" s="22">
        <v>1</v>
      </c>
      <c r="X1895" s="23"/>
    </row>
    <row r="1896" spans="1:24" s="1" customFormat="1" ht="108" customHeight="1" x14ac:dyDescent="0.3">
      <c r="A1896" s="11" t="s">
        <v>23</v>
      </c>
      <c r="B1896" s="11" t="s">
        <v>1669</v>
      </c>
      <c r="C1896" s="12" t="s">
        <v>1670</v>
      </c>
      <c r="D1896" s="13"/>
      <c r="E1896" s="43" t="str">
        <f>HYPERLINK("https://www.google.ru/search?q=005GH-0002&amp;newwindow=1&amp;tbm=isch","Еще фото")</f>
        <v>Еще фото</v>
      </c>
      <c r="F1896" s="14"/>
      <c r="G1896" s="11" t="s">
        <v>1633</v>
      </c>
      <c r="H1896" s="11" t="s">
        <v>27</v>
      </c>
      <c r="I1896" s="15" t="s">
        <v>1634</v>
      </c>
      <c r="J1896" s="15" t="s">
        <v>37</v>
      </c>
      <c r="K1896" s="16" t="s">
        <v>57</v>
      </c>
      <c r="L1896" s="15"/>
      <c r="M1896" s="15"/>
      <c r="N1896" s="15" t="s">
        <v>87</v>
      </c>
      <c r="O1896" s="15"/>
      <c r="P1896" s="16" t="s">
        <v>1671</v>
      </c>
      <c r="Q1896" s="17">
        <v>8599</v>
      </c>
      <c r="R1896" s="18">
        <v>45.34</v>
      </c>
      <c r="S1896" s="19">
        <v>5404.9884999999995</v>
      </c>
      <c r="T1896" s="20" t="s">
        <v>33</v>
      </c>
      <c r="U1896" s="21" t="s">
        <v>150</v>
      </c>
      <c r="V1896" s="25" t="s">
        <v>761</v>
      </c>
      <c r="W1896" s="22">
        <v>1</v>
      </c>
      <c r="X1896" s="23"/>
    </row>
    <row r="1897" spans="1:24" s="1" customFormat="1" ht="108" customHeight="1" x14ac:dyDescent="0.3">
      <c r="A1897" s="11" t="s">
        <v>23</v>
      </c>
      <c r="B1897" s="11" t="s">
        <v>1672</v>
      </c>
      <c r="C1897" s="12" t="s">
        <v>1673</v>
      </c>
      <c r="D1897" s="13"/>
      <c r="E1897" s="43" t="str">
        <f>HYPERLINK("https://www.google.ru/search?q=A4571-0002&amp;newwindow=1&amp;tbm=isch","Еще фото")</f>
        <v>Еще фото</v>
      </c>
      <c r="F1897" s="14"/>
      <c r="G1897" s="11" t="s">
        <v>1633</v>
      </c>
      <c r="H1897" s="11" t="s">
        <v>27</v>
      </c>
      <c r="I1897" s="15" t="s">
        <v>1634</v>
      </c>
      <c r="J1897" s="15" t="s">
        <v>37</v>
      </c>
      <c r="K1897" s="16" t="s">
        <v>29</v>
      </c>
      <c r="L1897" s="15" t="s">
        <v>1674</v>
      </c>
      <c r="M1897" s="15"/>
      <c r="N1897" s="15" t="s">
        <v>83</v>
      </c>
      <c r="O1897" s="15"/>
      <c r="P1897" s="16" t="s">
        <v>1675</v>
      </c>
      <c r="Q1897" s="17">
        <v>8399</v>
      </c>
      <c r="R1897" s="18">
        <v>45.23</v>
      </c>
      <c r="S1897" s="19">
        <v>5289.9884999999995</v>
      </c>
      <c r="T1897" s="20" t="s">
        <v>33</v>
      </c>
      <c r="U1897" s="21" t="s">
        <v>1366</v>
      </c>
      <c r="V1897" s="22">
        <v>40</v>
      </c>
      <c r="W1897" s="22">
        <v>1</v>
      </c>
      <c r="X1897" s="23"/>
    </row>
    <row r="1898" spans="1:24" s="1" customFormat="1" ht="26" customHeight="1" x14ac:dyDescent="0.3">
      <c r="A1898" s="11" t="s">
        <v>23</v>
      </c>
      <c r="B1898" s="11" t="s">
        <v>1676</v>
      </c>
      <c r="C1898" s="12" t="s">
        <v>1677</v>
      </c>
      <c r="D1898" s="57"/>
      <c r="E1898" s="43" t="str">
        <f>HYPERLINK("https://www.google.ru/search?q=003P4-0012&amp;newwindow=1&amp;tbm=isch","Еще фото")</f>
        <v>Еще фото</v>
      </c>
      <c r="F1898" s="34" t="s">
        <v>469</v>
      </c>
      <c r="G1898" s="11" t="s">
        <v>1633</v>
      </c>
      <c r="H1898" s="11" t="s">
        <v>27</v>
      </c>
      <c r="I1898" s="15" t="s">
        <v>1634</v>
      </c>
      <c r="J1898" s="15" t="s">
        <v>37</v>
      </c>
      <c r="K1898" s="16" t="s">
        <v>29</v>
      </c>
      <c r="L1898" s="60"/>
      <c r="M1898" s="15"/>
      <c r="N1898" s="15" t="s">
        <v>73</v>
      </c>
      <c r="O1898" s="15"/>
      <c r="P1898" s="16" t="s">
        <v>1678</v>
      </c>
      <c r="Q1898" s="17">
        <v>9399</v>
      </c>
      <c r="R1898" s="18">
        <v>45</v>
      </c>
      <c r="S1898" s="19">
        <v>5944.8674999999994</v>
      </c>
      <c r="T1898" s="20" t="s">
        <v>33</v>
      </c>
      <c r="U1898" s="21" t="s">
        <v>61</v>
      </c>
      <c r="V1898" s="22">
        <v>42</v>
      </c>
      <c r="W1898" s="22">
        <v>6</v>
      </c>
      <c r="X1898" s="23"/>
    </row>
    <row r="1899" spans="1:24" s="1" customFormat="1" ht="26" customHeight="1" x14ac:dyDescent="0.3">
      <c r="A1899" s="24" t="s">
        <v>23</v>
      </c>
      <c r="B1899" s="24" t="s">
        <v>1676</v>
      </c>
      <c r="C1899" s="12" t="s">
        <v>1677</v>
      </c>
      <c r="D1899" s="58"/>
      <c r="E1899" s="43" t="str">
        <f>HYPERLINK("https://www.google.ru/search?q=003P4-0012&amp;newwindow=1&amp;tbm=isch","Еще фото")</f>
        <v>Еще фото</v>
      </c>
      <c r="F1899" s="34" t="s">
        <v>469</v>
      </c>
      <c r="G1899" s="24" t="s">
        <v>1633</v>
      </c>
      <c r="H1899" s="24" t="s">
        <v>27</v>
      </c>
      <c r="I1899" s="24" t="s">
        <v>1634</v>
      </c>
      <c r="J1899" s="15" t="s">
        <v>37</v>
      </c>
      <c r="K1899" s="16" t="s">
        <v>29</v>
      </c>
      <c r="L1899" s="61"/>
      <c r="M1899" s="15"/>
      <c r="N1899" s="15" t="s">
        <v>73</v>
      </c>
      <c r="O1899" s="15"/>
      <c r="P1899" s="16" t="s">
        <v>1678</v>
      </c>
      <c r="Q1899" s="17">
        <v>9399</v>
      </c>
      <c r="R1899" s="18">
        <v>45</v>
      </c>
      <c r="S1899" s="19">
        <v>5944.8674999999994</v>
      </c>
      <c r="T1899" s="20" t="s">
        <v>33</v>
      </c>
      <c r="U1899" s="21" t="s">
        <v>62</v>
      </c>
      <c r="V1899" s="22">
        <v>44</v>
      </c>
      <c r="W1899" s="22">
        <v>10</v>
      </c>
      <c r="X1899" s="23"/>
    </row>
    <row r="1900" spans="1:24" s="1" customFormat="1" ht="26" customHeight="1" x14ac:dyDescent="0.3">
      <c r="A1900" s="24" t="s">
        <v>23</v>
      </c>
      <c r="B1900" s="24" t="s">
        <v>1676</v>
      </c>
      <c r="C1900" s="12" t="s">
        <v>1677</v>
      </c>
      <c r="D1900" s="58"/>
      <c r="E1900" s="43" t="str">
        <f>HYPERLINK("https://www.google.ru/search?q=003P4-0012&amp;newwindow=1&amp;tbm=isch","Еще фото")</f>
        <v>Еще фото</v>
      </c>
      <c r="F1900" s="34" t="s">
        <v>469</v>
      </c>
      <c r="G1900" s="24" t="s">
        <v>1633</v>
      </c>
      <c r="H1900" s="24" t="s">
        <v>27</v>
      </c>
      <c r="I1900" s="24" t="s">
        <v>1634</v>
      </c>
      <c r="J1900" s="15" t="s">
        <v>37</v>
      </c>
      <c r="K1900" s="16" t="s">
        <v>29</v>
      </c>
      <c r="L1900" s="61"/>
      <c r="M1900" s="15"/>
      <c r="N1900" s="15" t="s">
        <v>73</v>
      </c>
      <c r="O1900" s="15"/>
      <c r="P1900" s="16" t="s">
        <v>1678</v>
      </c>
      <c r="Q1900" s="17">
        <v>9399</v>
      </c>
      <c r="R1900" s="18">
        <v>45</v>
      </c>
      <c r="S1900" s="19">
        <v>5944.8674999999994</v>
      </c>
      <c r="T1900" s="20" t="s">
        <v>33</v>
      </c>
      <c r="U1900" s="21" t="s">
        <v>64</v>
      </c>
      <c r="V1900" s="22">
        <v>46</v>
      </c>
      <c r="W1900" s="22">
        <v>10</v>
      </c>
      <c r="X1900" s="23"/>
    </row>
    <row r="1901" spans="1:24" s="1" customFormat="1" ht="26" customHeight="1" x14ac:dyDescent="0.3">
      <c r="A1901" s="24" t="s">
        <v>23</v>
      </c>
      <c r="B1901" s="24" t="s">
        <v>1676</v>
      </c>
      <c r="C1901" s="12" t="s">
        <v>1677</v>
      </c>
      <c r="D1901" s="59"/>
      <c r="E1901" s="43" t="str">
        <f>HYPERLINK("https://www.google.ru/search?q=003P4-0012&amp;newwindow=1&amp;tbm=isch","Еще фото")</f>
        <v>Еще фото</v>
      </c>
      <c r="F1901" s="34" t="s">
        <v>469</v>
      </c>
      <c r="G1901" s="24" t="s">
        <v>1633</v>
      </c>
      <c r="H1901" s="24" t="s">
        <v>27</v>
      </c>
      <c r="I1901" s="24" t="s">
        <v>1634</v>
      </c>
      <c r="J1901" s="15" t="s">
        <v>37</v>
      </c>
      <c r="K1901" s="16" t="s">
        <v>29</v>
      </c>
      <c r="L1901" s="62"/>
      <c r="M1901" s="15"/>
      <c r="N1901" s="15" t="s">
        <v>73</v>
      </c>
      <c r="O1901" s="15"/>
      <c r="P1901" s="16" t="s">
        <v>1678</v>
      </c>
      <c r="Q1901" s="17">
        <v>9399</v>
      </c>
      <c r="R1901" s="18">
        <v>45</v>
      </c>
      <c r="S1901" s="19">
        <v>5944.8674999999994</v>
      </c>
      <c r="T1901" s="20" t="s">
        <v>33</v>
      </c>
      <c r="U1901" s="21" t="s">
        <v>34</v>
      </c>
      <c r="V1901" s="22">
        <v>48</v>
      </c>
      <c r="W1901" s="22">
        <v>7</v>
      </c>
      <c r="X1901" s="23"/>
    </row>
    <row r="1902" spans="1:24" s="1" customFormat="1" ht="21" customHeight="1" x14ac:dyDescent="0.3">
      <c r="A1902" s="11" t="s">
        <v>23</v>
      </c>
      <c r="B1902" s="11" t="s">
        <v>1679</v>
      </c>
      <c r="C1902" s="30" t="s">
        <v>1680</v>
      </c>
      <c r="D1902" s="57"/>
      <c r="E1902" s="43" t="str">
        <f>HYPERLINK("https://www.google.ru/search?q=003QI-0000&amp;newwindow=1&amp;tbm=isch","Еще фото")</f>
        <v>Еще фото</v>
      </c>
      <c r="F1902" s="34" t="s">
        <v>469</v>
      </c>
      <c r="G1902" s="11" t="s">
        <v>1633</v>
      </c>
      <c r="H1902" s="11" t="s">
        <v>27</v>
      </c>
      <c r="I1902" s="15" t="s">
        <v>1634</v>
      </c>
      <c r="J1902" s="15" t="s">
        <v>37</v>
      </c>
      <c r="K1902" s="16" t="s">
        <v>29</v>
      </c>
      <c r="L1902" s="60"/>
      <c r="M1902" s="15"/>
      <c r="N1902" s="15" t="s">
        <v>138</v>
      </c>
      <c r="O1902" s="15"/>
      <c r="P1902" s="16" t="s">
        <v>32</v>
      </c>
      <c r="Q1902" s="17">
        <v>9999</v>
      </c>
      <c r="R1902" s="18">
        <v>45</v>
      </c>
      <c r="S1902" s="19">
        <v>6324.3674999999994</v>
      </c>
      <c r="T1902" s="20" t="s">
        <v>33</v>
      </c>
      <c r="U1902" s="21" t="s">
        <v>61</v>
      </c>
      <c r="V1902" s="22">
        <v>42</v>
      </c>
      <c r="W1902" s="22">
        <v>6</v>
      </c>
      <c r="X1902" s="23"/>
    </row>
    <row r="1903" spans="1:24" s="1" customFormat="1" ht="21" customHeight="1" x14ac:dyDescent="0.3">
      <c r="A1903" s="24" t="s">
        <v>23</v>
      </c>
      <c r="B1903" s="24" t="s">
        <v>1679</v>
      </c>
      <c r="C1903" s="31" t="s">
        <v>1680</v>
      </c>
      <c r="D1903" s="58"/>
      <c r="E1903" s="43" t="str">
        <f>HYPERLINK("https://www.google.ru/search?q=003QI-0000&amp;newwindow=1&amp;tbm=isch","Еще фото")</f>
        <v>Еще фото</v>
      </c>
      <c r="F1903" s="34" t="s">
        <v>469</v>
      </c>
      <c r="G1903" s="24" t="s">
        <v>1633</v>
      </c>
      <c r="H1903" s="24" t="s">
        <v>27</v>
      </c>
      <c r="I1903" s="24" t="s">
        <v>1634</v>
      </c>
      <c r="J1903" s="15" t="s">
        <v>37</v>
      </c>
      <c r="K1903" s="16" t="s">
        <v>29</v>
      </c>
      <c r="L1903" s="61"/>
      <c r="M1903" s="15"/>
      <c r="N1903" s="15" t="s">
        <v>138</v>
      </c>
      <c r="O1903" s="15"/>
      <c r="P1903" s="16" t="s">
        <v>32</v>
      </c>
      <c r="Q1903" s="17">
        <v>9999</v>
      </c>
      <c r="R1903" s="18">
        <v>45</v>
      </c>
      <c r="S1903" s="19">
        <v>6324.3674999999994</v>
      </c>
      <c r="T1903" s="20" t="s">
        <v>33</v>
      </c>
      <c r="U1903" s="21" t="s">
        <v>62</v>
      </c>
      <c r="V1903" s="22">
        <v>44</v>
      </c>
      <c r="W1903" s="22">
        <v>11</v>
      </c>
      <c r="X1903" s="23"/>
    </row>
    <row r="1904" spans="1:24" s="1" customFormat="1" ht="21" customHeight="1" x14ac:dyDescent="0.3">
      <c r="A1904" s="24" t="s">
        <v>23</v>
      </c>
      <c r="B1904" s="24" t="s">
        <v>1679</v>
      </c>
      <c r="C1904" s="31" t="s">
        <v>1680</v>
      </c>
      <c r="D1904" s="58"/>
      <c r="E1904" s="43" t="str">
        <f>HYPERLINK("https://www.google.ru/search?q=003QI-0000&amp;newwindow=1&amp;tbm=isch","Еще фото")</f>
        <v>Еще фото</v>
      </c>
      <c r="F1904" s="34" t="s">
        <v>469</v>
      </c>
      <c r="G1904" s="24" t="s">
        <v>1633</v>
      </c>
      <c r="H1904" s="24" t="s">
        <v>27</v>
      </c>
      <c r="I1904" s="24" t="s">
        <v>1634</v>
      </c>
      <c r="J1904" s="15" t="s">
        <v>37</v>
      </c>
      <c r="K1904" s="16" t="s">
        <v>29</v>
      </c>
      <c r="L1904" s="61"/>
      <c r="M1904" s="15"/>
      <c r="N1904" s="15" t="s">
        <v>138</v>
      </c>
      <c r="O1904" s="15"/>
      <c r="P1904" s="16" t="s">
        <v>32</v>
      </c>
      <c r="Q1904" s="17">
        <v>9999</v>
      </c>
      <c r="R1904" s="18">
        <v>45</v>
      </c>
      <c r="S1904" s="19">
        <v>6324.3674999999994</v>
      </c>
      <c r="T1904" s="20" t="s">
        <v>33</v>
      </c>
      <c r="U1904" s="21" t="s">
        <v>64</v>
      </c>
      <c r="V1904" s="22">
        <v>46</v>
      </c>
      <c r="W1904" s="22">
        <v>10</v>
      </c>
      <c r="X1904" s="23"/>
    </row>
    <row r="1905" spans="1:24" s="1" customFormat="1" ht="21" customHeight="1" x14ac:dyDescent="0.3">
      <c r="A1905" s="24" t="s">
        <v>23</v>
      </c>
      <c r="B1905" s="24" t="s">
        <v>1679</v>
      </c>
      <c r="C1905" s="31" t="s">
        <v>1680</v>
      </c>
      <c r="D1905" s="58"/>
      <c r="E1905" s="43" t="str">
        <f>HYPERLINK("https://www.google.ru/search?q=003QI-0000&amp;newwindow=1&amp;tbm=isch","Еще фото")</f>
        <v>Еще фото</v>
      </c>
      <c r="F1905" s="34" t="s">
        <v>469</v>
      </c>
      <c r="G1905" s="24" t="s">
        <v>1633</v>
      </c>
      <c r="H1905" s="24" t="s">
        <v>27</v>
      </c>
      <c r="I1905" s="24" t="s">
        <v>1634</v>
      </c>
      <c r="J1905" s="15" t="s">
        <v>37</v>
      </c>
      <c r="K1905" s="16" t="s">
        <v>29</v>
      </c>
      <c r="L1905" s="61"/>
      <c r="M1905" s="15"/>
      <c r="N1905" s="15" t="s">
        <v>138</v>
      </c>
      <c r="O1905" s="15"/>
      <c r="P1905" s="16" t="s">
        <v>32</v>
      </c>
      <c r="Q1905" s="17">
        <v>9999</v>
      </c>
      <c r="R1905" s="18">
        <v>45</v>
      </c>
      <c r="S1905" s="19">
        <v>6324.3674999999994</v>
      </c>
      <c r="T1905" s="20" t="s">
        <v>33</v>
      </c>
      <c r="U1905" s="21" t="s">
        <v>34</v>
      </c>
      <c r="V1905" s="22">
        <v>48</v>
      </c>
      <c r="W1905" s="22">
        <v>7</v>
      </c>
      <c r="X1905" s="23"/>
    </row>
    <row r="1906" spans="1:24" s="1" customFormat="1" ht="32" customHeight="1" x14ac:dyDescent="0.3">
      <c r="A1906" s="24" t="s">
        <v>23</v>
      </c>
      <c r="B1906" s="24" t="s">
        <v>1679</v>
      </c>
      <c r="C1906" s="31" t="s">
        <v>1680</v>
      </c>
      <c r="D1906" s="59"/>
      <c r="E1906" s="43" t="str">
        <f>HYPERLINK("https://www.google.ru/search?q=003QI-0000&amp;newwindow=1&amp;tbm=isch","Еще фото")</f>
        <v>Еще фото</v>
      </c>
      <c r="F1906" s="34" t="s">
        <v>469</v>
      </c>
      <c r="G1906" s="24" t="s">
        <v>1633</v>
      </c>
      <c r="H1906" s="24" t="s">
        <v>27</v>
      </c>
      <c r="I1906" s="24" t="s">
        <v>1634</v>
      </c>
      <c r="J1906" s="15" t="s">
        <v>37</v>
      </c>
      <c r="K1906" s="16" t="s">
        <v>29</v>
      </c>
      <c r="L1906" s="62"/>
      <c r="M1906" s="15"/>
      <c r="N1906" s="15" t="s">
        <v>138</v>
      </c>
      <c r="O1906" s="15"/>
      <c r="P1906" s="16" t="s">
        <v>32</v>
      </c>
      <c r="Q1906" s="17">
        <v>9999</v>
      </c>
      <c r="R1906" s="18">
        <v>45</v>
      </c>
      <c r="S1906" s="19">
        <v>6324.3674999999994</v>
      </c>
      <c r="T1906" s="20" t="s">
        <v>33</v>
      </c>
      <c r="U1906" s="21" t="s">
        <v>150</v>
      </c>
      <c r="V1906" s="22">
        <v>50</v>
      </c>
      <c r="W1906" s="22">
        <v>1</v>
      </c>
      <c r="X1906" s="23"/>
    </row>
    <row r="1907" spans="1:24" s="1" customFormat="1" ht="26" customHeight="1" x14ac:dyDescent="0.3">
      <c r="A1907" s="11" t="s">
        <v>23</v>
      </c>
      <c r="B1907" s="11" t="s">
        <v>1681</v>
      </c>
      <c r="C1907" s="12" t="s">
        <v>1682</v>
      </c>
      <c r="D1907" s="57"/>
      <c r="E1907" s="43" t="str">
        <f>HYPERLINK("https://www.google.ru/search?q=0085P-0001&amp;newwindow=1&amp;tbm=isch","Еще фото")</f>
        <v>Еще фото</v>
      </c>
      <c r="F1907" s="34" t="s">
        <v>469</v>
      </c>
      <c r="G1907" s="11" t="s">
        <v>1633</v>
      </c>
      <c r="H1907" s="11" t="s">
        <v>27</v>
      </c>
      <c r="I1907" s="15" t="s">
        <v>1634</v>
      </c>
      <c r="J1907" s="15" t="s">
        <v>37</v>
      </c>
      <c r="K1907" s="16" t="s">
        <v>57</v>
      </c>
      <c r="L1907" s="60"/>
      <c r="M1907" s="15"/>
      <c r="N1907" s="15" t="s">
        <v>477</v>
      </c>
      <c r="O1907" s="15"/>
      <c r="P1907" s="16" t="s">
        <v>32</v>
      </c>
      <c r="Q1907" s="17">
        <v>13199</v>
      </c>
      <c r="R1907" s="18">
        <v>45</v>
      </c>
      <c r="S1907" s="19">
        <v>8348.3674999999985</v>
      </c>
      <c r="T1907" s="20" t="s">
        <v>33</v>
      </c>
      <c r="U1907" s="21" t="s">
        <v>62</v>
      </c>
      <c r="V1907" s="22">
        <v>46</v>
      </c>
      <c r="W1907" s="22">
        <v>11</v>
      </c>
      <c r="X1907" s="23"/>
    </row>
    <row r="1908" spans="1:24" s="1" customFormat="1" ht="26" customHeight="1" x14ac:dyDescent="0.3">
      <c r="A1908" s="24" t="s">
        <v>23</v>
      </c>
      <c r="B1908" s="24" t="s">
        <v>1681</v>
      </c>
      <c r="C1908" s="12" t="s">
        <v>1682</v>
      </c>
      <c r="D1908" s="58"/>
      <c r="E1908" s="43" t="str">
        <f>HYPERLINK("https://www.google.ru/search?q=0085P-0001&amp;newwindow=1&amp;tbm=isch","Еще фото")</f>
        <v>Еще фото</v>
      </c>
      <c r="F1908" s="34" t="s">
        <v>469</v>
      </c>
      <c r="G1908" s="24" t="s">
        <v>1633</v>
      </c>
      <c r="H1908" s="24" t="s">
        <v>27</v>
      </c>
      <c r="I1908" s="24" t="s">
        <v>1634</v>
      </c>
      <c r="J1908" s="15" t="s">
        <v>37</v>
      </c>
      <c r="K1908" s="16" t="s">
        <v>57</v>
      </c>
      <c r="L1908" s="61"/>
      <c r="M1908" s="15"/>
      <c r="N1908" s="15" t="s">
        <v>477</v>
      </c>
      <c r="O1908" s="15"/>
      <c r="P1908" s="16" t="s">
        <v>32</v>
      </c>
      <c r="Q1908" s="17">
        <v>13199</v>
      </c>
      <c r="R1908" s="18">
        <v>45</v>
      </c>
      <c r="S1908" s="19">
        <v>8348.3674999999985</v>
      </c>
      <c r="T1908" s="20" t="s">
        <v>33</v>
      </c>
      <c r="U1908" s="21" t="s">
        <v>64</v>
      </c>
      <c r="V1908" s="22">
        <v>48</v>
      </c>
      <c r="W1908" s="22">
        <v>28</v>
      </c>
      <c r="X1908" s="23"/>
    </row>
    <row r="1909" spans="1:24" s="1" customFormat="1" ht="26" customHeight="1" x14ac:dyDescent="0.3">
      <c r="A1909" s="24" t="s">
        <v>23</v>
      </c>
      <c r="B1909" s="24" t="s">
        <v>1681</v>
      </c>
      <c r="C1909" s="12" t="s">
        <v>1682</v>
      </c>
      <c r="D1909" s="58"/>
      <c r="E1909" s="43" t="str">
        <f>HYPERLINK("https://www.google.ru/search?q=0085P-0001&amp;newwindow=1&amp;tbm=isch","Еще фото")</f>
        <v>Еще фото</v>
      </c>
      <c r="F1909" s="34" t="s">
        <v>469</v>
      </c>
      <c r="G1909" s="24" t="s">
        <v>1633</v>
      </c>
      <c r="H1909" s="24" t="s">
        <v>27</v>
      </c>
      <c r="I1909" s="24" t="s">
        <v>1634</v>
      </c>
      <c r="J1909" s="15" t="s">
        <v>37</v>
      </c>
      <c r="K1909" s="16" t="s">
        <v>57</v>
      </c>
      <c r="L1909" s="61"/>
      <c r="M1909" s="15"/>
      <c r="N1909" s="15" t="s">
        <v>477</v>
      </c>
      <c r="O1909" s="15"/>
      <c r="P1909" s="16" t="s">
        <v>32</v>
      </c>
      <c r="Q1909" s="17">
        <v>13199</v>
      </c>
      <c r="R1909" s="18">
        <v>45</v>
      </c>
      <c r="S1909" s="19">
        <v>8348.3674999999985</v>
      </c>
      <c r="T1909" s="20" t="s">
        <v>33</v>
      </c>
      <c r="U1909" s="21" t="s">
        <v>34</v>
      </c>
      <c r="V1909" s="25" t="s">
        <v>90</v>
      </c>
      <c r="W1909" s="22">
        <v>17</v>
      </c>
      <c r="X1909" s="23"/>
    </row>
    <row r="1910" spans="1:24" s="1" customFormat="1" ht="26" customHeight="1" x14ac:dyDescent="0.3">
      <c r="A1910" s="24" t="s">
        <v>23</v>
      </c>
      <c r="B1910" s="24" t="s">
        <v>1681</v>
      </c>
      <c r="C1910" s="12" t="s">
        <v>1682</v>
      </c>
      <c r="D1910" s="59"/>
      <c r="E1910" s="43" t="str">
        <f>HYPERLINK("https://www.google.ru/search?q=0085P-0001&amp;newwindow=1&amp;tbm=isch","Еще фото")</f>
        <v>Еще фото</v>
      </c>
      <c r="F1910" s="34" t="s">
        <v>469</v>
      </c>
      <c r="G1910" s="24" t="s">
        <v>1633</v>
      </c>
      <c r="H1910" s="24" t="s">
        <v>27</v>
      </c>
      <c r="I1910" s="24" t="s">
        <v>1634</v>
      </c>
      <c r="J1910" s="15" t="s">
        <v>37</v>
      </c>
      <c r="K1910" s="16" t="s">
        <v>57</v>
      </c>
      <c r="L1910" s="62"/>
      <c r="M1910" s="15"/>
      <c r="N1910" s="15" t="s">
        <v>477</v>
      </c>
      <c r="O1910" s="15"/>
      <c r="P1910" s="16" t="s">
        <v>32</v>
      </c>
      <c r="Q1910" s="17">
        <v>13199</v>
      </c>
      <c r="R1910" s="18">
        <v>45</v>
      </c>
      <c r="S1910" s="19">
        <v>8348.3674999999985</v>
      </c>
      <c r="T1910" s="20" t="s">
        <v>33</v>
      </c>
      <c r="U1910" s="21" t="s">
        <v>150</v>
      </c>
      <c r="V1910" s="25" t="s">
        <v>761</v>
      </c>
      <c r="W1910" s="22">
        <v>9</v>
      </c>
      <c r="X1910" s="23"/>
    </row>
    <row r="1911" spans="1:24" s="1" customFormat="1" ht="108" customHeight="1" x14ac:dyDescent="0.3">
      <c r="A1911" s="11" t="s">
        <v>23</v>
      </c>
      <c r="B1911" s="11" t="s">
        <v>1683</v>
      </c>
      <c r="C1911" s="12" t="s">
        <v>1684</v>
      </c>
      <c r="D1911" s="13"/>
      <c r="E1911" s="43" t="str">
        <f>HYPERLINK("https://www.google.ru/search?q=19573-0294&amp;newwindow=1&amp;tbm=isch","Еще фото")</f>
        <v>Еще фото</v>
      </c>
      <c r="F1911" s="14"/>
      <c r="G1911" s="11" t="s">
        <v>1633</v>
      </c>
      <c r="H1911" s="11" t="s">
        <v>27</v>
      </c>
      <c r="I1911" s="15" t="s">
        <v>1634</v>
      </c>
      <c r="J1911" s="15" t="s">
        <v>37</v>
      </c>
      <c r="K1911" s="16" t="s">
        <v>57</v>
      </c>
      <c r="L1911" s="15" t="s">
        <v>1685</v>
      </c>
      <c r="M1911" s="15"/>
      <c r="N1911" s="15" t="s">
        <v>31</v>
      </c>
      <c r="O1911" s="15"/>
      <c r="P1911" s="16" t="s">
        <v>32</v>
      </c>
      <c r="Q1911" s="17">
        <v>11399</v>
      </c>
      <c r="R1911" s="18">
        <v>45</v>
      </c>
      <c r="S1911" s="19">
        <v>7209.8674999999994</v>
      </c>
      <c r="T1911" s="20" t="s">
        <v>33</v>
      </c>
      <c r="U1911" s="21" t="s">
        <v>64</v>
      </c>
      <c r="V1911" s="22">
        <v>48</v>
      </c>
      <c r="W1911" s="22">
        <v>1</v>
      </c>
      <c r="X1911" s="23"/>
    </row>
    <row r="1912" spans="1:24" s="1" customFormat="1" ht="108" customHeight="1" x14ac:dyDescent="0.3">
      <c r="A1912" s="11" t="s">
        <v>23</v>
      </c>
      <c r="B1912" s="11" t="s">
        <v>1686</v>
      </c>
      <c r="C1912" s="12" t="s">
        <v>1687</v>
      </c>
      <c r="D1912" s="13"/>
      <c r="E1912" s="43" t="str">
        <f>HYPERLINK("https://www.google.ru/search?q=19587-0364&amp;newwindow=1&amp;tbm=isch","Еще фото")</f>
        <v>Еще фото</v>
      </c>
      <c r="F1912" s="14"/>
      <c r="G1912" s="11" t="s">
        <v>1633</v>
      </c>
      <c r="H1912" s="11" t="s">
        <v>27</v>
      </c>
      <c r="I1912" s="15" t="s">
        <v>1634</v>
      </c>
      <c r="J1912" s="15" t="s">
        <v>37</v>
      </c>
      <c r="K1912" s="16" t="s">
        <v>57</v>
      </c>
      <c r="L1912" s="15" t="s">
        <v>1688</v>
      </c>
      <c r="M1912" s="15"/>
      <c r="N1912" s="15" t="s">
        <v>99</v>
      </c>
      <c r="O1912" s="15"/>
      <c r="P1912" s="16" t="s">
        <v>32</v>
      </c>
      <c r="Q1912" s="17">
        <v>12299</v>
      </c>
      <c r="R1912" s="18">
        <v>45</v>
      </c>
      <c r="S1912" s="19">
        <v>7779.1174999999994</v>
      </c>
      <c r="T1912" s="20" t="s">
        <v>33</v>
      </c>
      <c r="U1912" s="21" t="s">
        <v>34</v>
      </c>
      <c r="V1912" s="25" t="s">
        <v>90</v>
      </c>
      <c r="W1912" s="22">
        <v>1</v>
      </c>
      <c r="X1912" s="23"/>
    </row>
    <row r="1913" spans="1:24" s="1" customFormat="1" ht="108" customHeight="1" x14ac:dyDescent="0.3">
      <c r="A1913" s="11" t="s">
        <v>23</v>
      </c>
      <c r="B1913" s="11" t="s">
        <v>1689</v>
      </c>
      <c r="C1913" s="12" t="s">
        <v>1690</v>
      </c>
      <c r="D1913" s="13"/>
      <c r="E1913" s="43" t="str">
        <f>HYPERLINK("https://www.google.ru/search?q=22645-0014&amp;newwindow=1&amp;tbm=isch","Еще фото")</f>
        <v>Еще фото</v>
      </c>
      <c r="F1913" s="14"/>
      <c r="G1913" s="11" t="s">
        <v>1633</v>
      </c>
      <c r="H1913" s="11" t="s">
        <v>27</v>
      </c>
      <c r="I1913" s="15" t="s">
        <v>1634</v>
      </c>
      <c r="J1913" s="15" t="s">
        <v>28</v>
      </c>
      <c r="K1913" s="16" t="s">
        <v>29</v>
      </c>
      <c r="L1913" s="15" t="s">
        <v>1691</v>
      </c>
      <c r="M1913" s="15" t="s">
        <v>72</v>
      </c>
      <c r="N1913" s="15" t="s">
        <v>120</v>
      </c>
      <c r="O1913" s="15" t="s">
        <v>121</v>
      </c>
      <c r="P1913" s="16" t="s">
        <v>1692</v>
      </c>
      <c r="Q1913" s="17">
        <v>7199</v>
      </c>
      <c r="R1913" s="18">
        <v>45</v>
      </c>
      <c r="S1913" s="19">
        <v>4553.3674999999994</v>
      </c>
      <c r="T1913" s="20" t="s">
        <v>33</v>
      </c>
      <c r="U1913" s="21" t="s">
        <v>61</v>
      </c>
      <c r="V1913" s="22">
        <v>42</v>
      </c>
      <c r="W1913" s="22">
        <v>1</v>
      </c>
      <c r="X1913" s="23"/>
    </row>
    <row r="1914" spans="1:24" s="1" customFormat="1" ht="108" customHeight="1" x14ac:dyDescent="0.3">
      <c r="A1914" s="11" t="s">
        <v>23</v>
      </c>
      <c r="B1914" s="11" t="s">
        <v>1693</v>
      </c>
      <c r="C1914" s="12" t="s">
        <v>1694</v>
      </c>
      <c r="D1914" s="13"/>
      <c r="E1914" s="43" t="str">
        <f>HYPERLINK("https://www.google.ru/search?q=34574-0042&amp;newwindow=1&amp;tbm=isch","Еще фото")</f>
        <v>Еще фото</v>
      </c>
      <c r="F1914" s="14"/>
      <c r="G1914" s="11" t="s">
        <v>1633</v>
      </c>
      <c r="H1914" s="11" t="s">
        <v>27</v>
      </c>
      <c r="I1914" s="15" t="s">
        <v>1634</v>
      </c>
      <c r="J1914" s="15" t="s">
        <v>37</v>
      </c>
      <c r="K1914" s="16" t="s">
        <v>29</v>
      </c>
      <c r="L1914" s="15" t="s">
        <v>1695</v>
      </c>
      <c r="M1914" s="15"/>
      <c r="N1914" s="15" t="s">
        <v>31</v>
      </c>
      <c r="O1914" s="15"/>
      <c r="P1914" s="16" t="s">
        <v>32</v>
      </c>
      <c r="Q1914" s="17">
        <v>7699</v>
      </c>
      <c r="R1914" s="18">
        <v>45</v>
      </c>
      <c r="S1914" s="19">
        <v>4869.6174999999994</v>
      </c>
      <c r="T1914" s="20" t="s">
        <v>33</v>
      </c>
      <c r="U1914" s="21" t="s">
        <v>62</v>
      </c>
      <c r="V1914" s="22">
        <v>44</v>
      </c>
      <c r="W1914" s="22">
        <v>1</v>
      </c>
      <c r="X1914" s="23"/>
    </row>
    <row r="1915" spans="1:24" s="1" customFormat="1" ht="35" customHeight="1" x14ac:dyDescent="0.3">
      <c r="A1915" s="11" t="s">
        <v>23</v>
      </c>
      <c r="B1915" s="11" t="s">
        <v>1696</v>
      </c>
      <c r="C1915" s="12" t="s">
        <v>1697</v>
      </c>
      <c r="D1915" s="57"/>
      <c r="E1915" s="43" t="str">
        <f>HYPERLINK("https://www.google.ru/search?q=85744-0000&amp;newwindow=1&amp;tbm=isch","Еще фото")</f>
        <v>Еще фото</v>
      </c>
      <c r="F1915" s="14" t="s">
        <v>182</v>
      </c>
      <c r="G1915" s="11" t="s">
        <v>1633</v>
      </c>
      <c r="H1915" s="11" t="s">
        <v>27</v>
      </c>
      <c r="I1915" s="15" t="s">
        <v>1634</v>
      </c>
      <c r="J1915" s="15" t="s">
        <v>28</v>
      </c>
      <c r="K1915" s="16" t="s">
        <v>57</v>
      </c>
      <c r="L1915" s="60" t="s">
        <v>1698</v>
      </c>
      <c r="M1915" s="15" t="s">
        <v>72</v>
      </c>
      <c r="N1915" s="15" t="s">
        <v>130</v>
      </c>
      <c r="O1915" s="15" t="s">
        <v>121</v>
      </c>
      <c r="P1915" s="16" t="s">
        <v>32</v>
      </c>
      <c r="Q1915" s="17">
        <v>12199</v>
      </c>
      <c r="R1915" s="18">
        <v>45</v>
      </c>
      <c r="S1915" s="19">
        <v>7715.8674999999994</v>
      </c>
      <c r="T1915" s="20" t="s">
        <v>33</v>
      </c>
      <c r="U1915" s="21" t="s">
        <v>62</v>
      </c>
      <c r="V1915" s="22">
        <v>46</v>
      </c>
      <c r="W1915" s="22">
        <v>20</v>
      </c>
      <c r="X1915" s="23"/>
    </row>
    <row r="1916" spans="1:24" s="1" customFormat="1" ht="35" customHeight="1" x14ac:dyDescent="0.3">
      <c r="A1916" s="24" t="s">
        <v>23</v>
      </c>
      <c r="B1916" s="24" t="s">
        <v>1696</v>
      </c>
      <c r="C1916" s="12" t="s">
        <v>1697</v>
      </c>
      <c r="D1916" s="58"/>
      <c r="E1916" s="43" t="str">
        <f>HYPERLINK("https://www.google.ru/search?q=85744-0000&amp;newwindow=1&amp;tbm=isch","Еще фото")</f>
        <v>Еще фото</v>
      </c>
      <c r="F1916" s="14" t="s">
        <v>182</v>
      </c>
      <c r="G1916" s="24" t="s">
        <v>1633</v>
      </c>
      <c r="H1916" s="24" t="s">
        <v>27</v>
      </c>
      <c r="I1916" s="24" t="s">
        <v>1634</v>
      </c>
      <c r="J1916" s="15" t="s">
        <v>28</v>
      </c>
      <c r="K1916" s="16" t="s">
        <v>57</v>
      </c>
      <c r="L1916" s="61"/>
      <c r="M1916" s="15" t="s">
        <v>72</v>
      </c>
      <c r="N1916" s="15" t="s">
        <v>130</v>
      </c>
      <c r="O1916" s="15" t="s">
        <v>121</v>
      </c>
      <c r="P1916" s="16" t="s">
        <v>32</v>
      </c>
      <c r="Q1916" s="17">
        <v>12199</v>
      </c>
      <c r="R1916" s="18">
        <v>45</v>
      </c>
      <c r="S1916" s="19">
        <v>7715.8674999999994</v>
      </c>
      <c r="T1916" s="20" t="s">
        <v>33</v>
      </c>
      <c r="U1916" s="21" t="s">
        <v>64</v>
      </c>
      <c r="V1916" s="22">
        <v>48</v>
      </c>
      <c r="W1916" s="22">
        <v>5</v>
      </c>
      <c r="X1916" s="23"/>
    </row>
    <row r="1917" spans="1:24" s="1" customFormat="1" ht="37.049999999999997" customHeight="1" x14ac:dyDescent="0.3">
      <c r="A1917" s="24" t="s">
        <v>23</v>
      </c>
      <c r="B1917" s="24" t="s">
        <v>1696</v>
      </c>
      <c r="C1917" s="12" t="s">
        <v>1697</v>
      </c>
      <c r="D1917" s="59"/>
      <c r="E1917" s="43" t="str">
        <f>HYPERLINK("https://www.google.ru/search?q=85744-0000&amp;newwindow=1&amp;tbm=isch","Еще фото")</f>
        <v>Еще фото</v>
      </c>
      <c r="F1917" s="14" t="s">
        <v>182</v>
      </c>
      <c r="G1917" s="24" t="s">
        <v>1633</v>
      </c>
      <c r="H1917" s="24" t="s">
        <v>27</v>
      </c>
      <c r="I1917" s="24" t="s">
        <v>1634</v>
      </c>
      <c r="J1917" s="15" t="s">
        <v>28</v>
      </c>
      <c r="K1917" s="16" t="s">
        <v>57</v>
      </c>
      <c r="L1917" s="62"/>
      <c r="M1917" s="15" t="s">
        <v>72</v>
      </c>
      <c r="N1917" s="15" t="s">
        <v>130</v>
      </c>
      <c r="O1917" s="15" t="s">
        <v>121</v>
      </c>
      <c r="P1917" s="16" t="s">
        <v>32</v>
      </c>
      <c r="Q1917" s="17">
        <v>12199</v>
      </c>
      <c r="R1917" s="18">
        <v>45</v>
      </c>
      <c r="S1917" s="19">
        <v>7715.8674999999994</v>
      </c>
      <c r="T1917" s="20" t="s">
        <v>33</v>
      </c>
      <c r="U1917" s="21" t="s">
        <v>34</v>
      </c>
      <c r="V1917" s="25" t="s">
        <v>90</v>
      </c>
      <c r="W1917" s="22">
        <v>1</v>
      </c>
      <c r="X1917" s="23"/>
    </row>
    <row r="1918" spans="1:24" s="1" customFormat="1" ht="17" customHeight="1" x14ac:dyDescent="0.3">
      <c r="A1918" s="11" t="s">
        <v>23</v>
      </c>
      <c r="B1918" s="11" t="s">
        <v>1699</v>
      </c>
      <c r="C1918" s="12" t="s">
        <v>1700</v>
      </c>
      <c r="D1918" s="57"/>
      <c r="E1918" s="43" t="str">
        <f t="shared" ref="E1918:E1923" si="112">HYPERLINK("https://www.google.ru/search?q=85744-0041&amp;newwindow=1&amp;tbm=isch","Еще фото")</f>
        <v>Еще фото</v>
      </c>
      <c r="F1918" s="34" t="s">
        <v>469</v>
      </c>
      <c r="G1918" s="11" t="s">
        <v>1633</v>
      </c>
      <c r="H1918" s="11" t="s">
        <v>27</v>
      </c>
      <c r="I1918" s="15" t="s">
        <v>1634</v>
      </c>
      <c r="J1918" s="15" t="s">
        <v>37</v>
      </c>
      <c r="K1918" s="16" t="s">
        <v>57</v>
      </c>
      <c r="L1918" s="60" t="s">
        <v>1701</v>
      </c>
      <c r="M1918" s="15"/>
      <c r="N1918" s="15" t="s">
        <v>130</v>
      </c>
      <c r="O1918" s="15"/>
      <c r="P1918" s="16" t="s">
        <v>32</v>
      </c>
      <c r="Q1918" s="17">
        <v>12799</v>
      </c>
      <c r="R1918" s="18">
        <v>45</v>
      </c>
      <c r="S1918" s="19">
        <v>8095.3674999999994</v>
      </c>
      <c r="T1918" s="20" t="s">
        <v>33</v>
      </c>
      <c r="U1918" s="21" t="s">
        <v>61</v>
      </c>
      <c r="V1918" s="22">
        <v>44</v>
      </c>
      <c r="W1918" s="22">
        <v>1</v>
      </c>
      <c r="X1918" s="23"/>
    </row>
    <row r="1919" spans="1:24" s="1" customFormat="1" ht="17" customHeight="1" x14ac:dyDescent="0.3">
      <c r="A1919" s="24" t="s">
        <v>23</v>
      </c>
      <c r="B1919" s="24" t="s">
        <v>1699</v>
      </c>
      <c r="C1919" s="12" t="s">
        <v>1700</v>
      </c>
      <c r="D1919" s="58"/>
      <c r="E1919" s="43" t="str">
        <f t="shared" si="112"/>
        <v>Еще фото</v>
      </c>
      <c r="F1919" s="34" t="s">
        <v>469</v>
      </c>
      <c r="G1919" s="24" t="s">
        <v>1633</v>
      </c>
      <c r="H1919" s="24" t="s">
        <v>27</v>
      </c>
      <c r="I1919" s="24" t="s">
        <v>1634</v>
      </c>
      <c r="J1919" s="15" t="s">
        <v>37</v>
      </c>
      <c r="K1919" s="16" t="s">
        <v>57</v>
      </c>
      <c r="L1919" s="61"/>
      <c r="M1919" s="15"/>
      <c r="N1919" s="15" t="s">
        <v>130</v>
      </c>
      <c r="O1919" s="15"/>
      <c r="P1919" s="16" t="s">
        <v>32</v>
      </c>
      <c r="Q1919" s="17">
        <v>12799</v>
      </c>
      <c r="R1919" s="18">
        <v>45</v>
      </c>
      <c r="S1919" s="19">
        <v>8095.3674999999994</v>
      </c>
      <c r="T1919" s="20" t="s">
        <v>33</v>
      </c>
      <c r="U1919" s="21" t="s">
        <v>62</v>
      </c>
      <c r="V1919" s="22">
        <v>46</v>
      </c>
      <c r="W1919" s="22">
        <v>27</v>
      </c>
      <c r="X1919" s="23"/>
    </row>
    <row r="1920" spans="1:24" s="1" customFormat="1" ht="17" customHeight="1" x14ac:dyDescent="0.3">
      <c r="A1920" s="24" t="s">
        <v>23</v>
      </c>
      <c r="B1920" s="24" t="s">
        <v>1699</v>
      </c>
      <c r="C1920" s="12" t="s">
        <v>1700</v>
      </c>
      <c r="D1920" s="58"/>
      <c r="E1920" s="43" t="str">
        <f t="shared" si="112"/>
        <v>Еще фото</v>
      </c>
      <c r="F1920" s="34" t="s">
        <v>469</v>
      </c>
      <c r="G1920" s="24" t="s">
        <v>1633</v>
      </c>
      <c r="H1920" s="24" t="s">
        <v>27</v>
      </c>
      <c r="I1920" s="24" t="s">
        <v>1634</v>
      </c>
      <c r="J1920" s="15" t="s">
        <v>37</v>
      </c>
      <c r="K1920" s="16" t="s">
        <v>57</v>
      </c>
      <c r="L1920" s="61"/>
      <c r="M1920" s="15"/>
      <c r="N1920" s="15" t="s">
        <v>130</v>
      </c>
      <c r="O1920" s="15"/>
      <c r="P1920" s="16" t="s">
        <v>32</v>
      </c>
      <c r="Q1920" s="17">
        <v>12799</v>
      </c>
      <c r="R1920" s="18">
        <v>45</v>
      </c>
      <c r="S1920" s="19">
        <v>8095.3674999999994</v>
      </c>
      <c r="T1920" s="20" t="s">
        <v>33</v>
      </c>
      <c r="U1920" s="21" t="s">
        <v>64</v>
      </c>
      <c r="V1920" s="22">
        <v>48</v>
      </c>
      <c r="W1920" s="22">
        <v>55</v>
      </c>
      <c r="X1920" s="23"/>
    </row>
    <row r="1921" spans="1:24" s="1" customFormat="1" ht="17" customHeight="1" x14ac:dyDescent="0.3">
      <c r="A1921" s="24" t="s">
        <v>23</v>
      </c>
      <c r="B1921" s="24" t="s">
        <v>1699</v>
      </c>
      <c r="C1921" s="12" t="s">
        <v>1700</v>
      </c>
      <c r="D1921" s="58"/>
      <c r="E1921" s="43" t="str">
        <f t="shared" si="112"/>
        <v>Еще фото</v>
      </c>
      <c r="F1921" s="34" t="s">
        <v>469</v>
      </c>
      <c r="G1921" s="24" t="s">
        <v>1633</v>
      </c>
      <c r="H1921" s="24" t="s">
        <v>27</v>
      </c>
      <c r="I1921" s="24" t="s">
        <v>1634</v>
      </c>
      <c r="J1921" s="15" t="s">
        <v>37</v>
      </c>
      <c r="K1921" s="16" t="s">
        <v>57</v>
      </c>
      <c r="L1921" s="61"/>
      <c r="M1921" s="15"/>
      <c r="N1921" s="15" t="s">
        <v>130</v>
      </c>
      <c r="O1921" s="15"/>
      <c r="P1921" s="16" t="s">
        <v>32</v>
      </c>
      <c r="Q1921" s="17">
        <v>12799</v>
      </c>
      <c r="R1921" s="18">
        <v>45</v>
      </c>
      <c r="S1921" s="19">
        <v>8095.3674999999994</v>
      </c>
      <c r="T1921" s="20" t="s">
        <v>33</v>
      </c>
      <c r="U1921" s="21" t="s">
        <v>34</v>
      </c>
      <c r="V1921" s="25" t="s">
        <v>90</v>
      </c>
      <c r="W1921" s="22">
        <v>12</v>
      </c>
      <c r="X1921" s="23"/>
    </row>
    <row r="1922" spans="1:24" s="1" customFormat="1" ht="17" customHeight="1" x14ac:dyDescent="0.3">
      <c r="A1922" s="24" t="s">
        <v>23</v>
      </c>
      <c r="B1922" s="24" t="s">
        <v>1699</v>
      </c>
      <c r="C1922" s="12" t="s">
        <v>1700</v>
      </c>
      <c r="D1922" s="58"/>
      <c r="E1922" s="43" t="str">
        <f t="shared" si="112"/>
        <v>Еще фото</v>
      </c>
      <c r="F1922" s="34" t="s">
        <v>469</v>
      </c>
      <c r="G1922" s="24" t="s">
        <v>1633</v>
      </c>
      <c r="H1922" s="24" t="s">
        <v>27</v>
      </c>
      <c r="I1922" s="24" t="s">
        <v>1634</v>
      </c>
      <c r="J1922" s="15" t="s">
        <v>37</v>
      </c>
      <c r="K1922" s="16" t="s">
        <v>57</v>
      </c>
      <c r="L1922" s="61"/>
      <c r="M1922" s="15"/>
      <c r="N1922" s="15" t="s">
        <v>130</v>
      </c>
      <c r="O1922" s="15"/>
      <c r="P1922" s="16" t="s">
        <v>32</v>
      </c>
      <c r="Q1922" s="17">
        <v>12799</v>
      </c>
      <c r="R1922" s="18">
        <v>45</v>
      </c>
      <c r="S1922" s="19">
        <v>8095.3674999999994</v>
      </c>
      <c r="T1922" s="20" t="s">
        <v>33</v>
      </c>
      <c r="U1922" s="21" t="s">
        <v>150</v>
      </c>
      <c r="V1922" s="25" t="s">
        <v>761</v>
      </c>
      <c r="W1922" s="22">
        <v>1</v>
      </c>
      <c r="X1922" s="23"/>
    </row>
    <row r="1923" spans="1:24" s="1" customFormat="1" ht="22.05" customHeight="1" x14ac:dyDescent="0.3">
      <c r="A1923" s="24" t="s">
        <v>23</v>
      </c>
      <c r="B1923" s="24" t="s">
        <v>1699</v>
      </c>
      <c r="C1923" s="12" t="s">
        <v>1700</v>
      </c>
      <c r="D1923" s="59"/>
      <c r="E1923" s="43" t="str">
        <f t="shared" si="112"/>
        <v>Еще фото</v>
      </c>
      <c r="F1923" s="34" t="s">
        <v>469</v>
      </c>
      <c r="G1923" s="24" t="s">
        <v>1633</v>
      </c>
      <c r="H1923" s="24" t="s">
        <v>27</v>
      </c>
      <c r="I1923" s="24" t="s">
        <v>1634</v>
      </c>
      <c r="J1923" s="15" t="s">
        <v>37</v>
      </c>
      <c r="K1923" s="16" t="s">
        <v>57</v>
      </c>
      <c r="L1923" s="62"/>
      <c r="M1923" s="15"/>
      <c r="N1923" s="15" t="s">
        <v>130</v>
      </c>
      <c r="O1923" s="15"/>
      <c r="P1923" s="16" t="s">
        <v>32</v>
      </c>
      <c r="Q1923" s="17">
        <v>12799</v>
      </c>
      <c r="R1923" s="18">
        <v>45</v>
      </c>
      <c r="S1923" s="19">
        <v>8095.3674999999994</v>
      </c>
      <c r="T1923" s="20" t="s">
        <v>33</v>
      </c>
      <c r="U1923" s="21" t="s">
        <v>1494</v>
      </c>
      <c r="V1923" s="22">
        <v>54</v>
      </c>
      <c r="W1923" s="22">
        <v>1</v>
      </c>
      <c r="X1923" s="23"/>
    </row>
    <row r="1924" spans="1:24" s="1" customFormat="1" ht="52.05" customHeight="1" x14ac:dyDescent="0.3">
      <c r="A1924" s="11" t="s">
        <v>23</v>
      </c>
      <c r="B1924" s="11" t="s">
        <v>1702</v>
      </c>
      <c r="C1924" s="12" t="s">
        <v>1703</v>
      </c>
      <c r="D1924" s="63"/>
      <c r="E1924" s="43" t="str">
        <f>HYPERLINK("https://www.google.ru/search?q=85744-0047&amp;newwindow=1&amp;tbm=isch","Еще фото")</f>
        <v>Еще фото</v>
      </c>
      <c r="F1924" s="34" t="s">
        <v>469</v>
      </c>
      <c r="G1924" s="11" t="s">
        <v>1633</v>
      </c>
      <c r="H1924" s="11" t="s">
        <v>27</v>
      </c>
      <c r="I1924" s="15" t="s">
        <v>1634</v>
      </c>
      <c r="J1924" s="15" t="s">
        <v>37</v>
      </c>
      <c r="K1924" s="16" t="s">
        <v>57</v>
      </c>
      <c r="L1924" s="60" t="s">
        <v>1651</v>
      </c>
      <c r="M1924" s="15"/>
      <c r="N1924" s="15" t="s">
        <v>130</v>
      </c>
      <c r="O1924" s="15"/>
      <c r="P1924" s="16" t="s">
        <v>32</v>
      </c>
      <c r="Q1924" s="17">
        <v>12799</v>
      </c>
      <c r="R1924" s="18">
        <v>45</v>
      </c>
      <c r="S1924" s="19">
        <v>8095.3674999999994</v>
      </c>
      <c r="T1924" s="20" t="s">
        <v>33</v>
      </c>
      <c r="U1924" s="21" t="s">
        <v>62</v>
      </c>
      <c r="V1924" s="22">
        <v>46</v>
      </c>
      <c r="W1924" s="22">
        <v>6</v>
      </c>
      <c r="X1924" s="23"/>
    </row>
    <row r="1925" spans="1:24" s="1" customFormat="1" ht="61.05" customHeight="1" x14ac:dyDescent="0.3">
      <c r="A1925" s="24" t="s">
        <v>23</v>
      </c>
      <c r="B1925" s="24" t="s">
        <v>1702</v>
      </c>
      <c r="C1925" s="12" t="s">
        <v>1703</v>
      </c>
      <c r="D1925" s="64"/>
      <c r="E1925" s="43" t="str">
        <f>HYPERLINK("https://www.google.ru/search?q=85744-0047&amp;newwindow=1&amp;tbm=isch","Еще фото")</f>
        <v>Еще фото</v>
      </c>
      <c r="F1925" s="34" t="s">
        <v>469</v>
      </c>
      <c r="G1925" s="24" t="s">
        <v>1633</v>
      </c>
      <c r="H1925" s="24" t="s">
        <v>27</v>
      </c>
      <c r="I1925" s="24" t="s">
        <v>1634</v>
      </c>
      <c r="J1925" s="15" t="s">
        <v>37</v>
      </c>
      <c r="K1925" s="16" t="s">
        <v>57</v>
      </c>
      <c r="L1925" s="62"/>
      <c r="M1925" s="15"/>
      <c r="N1925" s="15" t="s">
        <v>130</v>
      </c>
      <c r="O1925" s="15"/>
      <c r="P1925" s="16" t="s">
        <v>32</v>
      </c>
      <c r="Q1925" s="17">
        <v>12799</v>
      </c>
      <c r="R1925" s="18">
        <v>45</v>
      </c>
      <c r="S1925" s="19">
        <v>8095.3674999999994</v>
      </c>
      <c r="T1925" s="20" t="s">
        <v>33</v>
      </c>
      <c r="U1925" s="21" t="s">
        <v>64</v>
      </c>
      <c r="V1925" s="22">
        <v>48</v>
      </c>
      <c r="W1925" s="22">
        <v>7</v>
      </c>
      <c r="X1925" s="23"/>
    </row>
    <row r="1926" spans="1:24" s="1" customFormat="1" ht="52.05" customHeight="1" x14ac:dyDescent="0.3">
      <c r="A1926" s="11" t="s">
        <v>23</v>
      </c>
      <c r="B1926" s="11" t="s">
        <v>1704</v>
      </c>
      <c r="C1926" s="12" t="s">
        <v>1705</v>
      </c>
      <c r="D1926" s="63"/>
      <c r="E1926" s="43" t="str">
        <f>HYPERLINK("https://www.google.ru/search?q=85746-0157&amp;newwindow=1&amp;tbm=isch","Еще фото")</f>
        <v>Еще фото</v>
      </c>
      <c r="F1926" s="14" t="s">
        <v>182</v>
      </c>
      <c r="G1926" s="11" t="s">
        <v>1633</v>
      </c>
      <c r="H1926" s="11" t="s">
        <v>27</v>
      </c>
      <c r="I1926" s="15" t="s">
        <v>1634</v>
      </c>
      <c r="J1926" s="15" t="s">
        <v>37</v>
      </c>
      <c r="K1926" s="16" t="s">
        <v>57</v>
      </c>
      <c r="L1926" s="60" t="s">
        <v>1706</v>
      </c>
      <c r="M1926" s="15"/>
      <c r="N1926" s="15" t="s">
        <v>138</v>
      </c>
      <c r="O1926" s="15"/>
      <c r="P1926" s="16" t="s">
        <v>32</v>
      </c>
      <c r="Q1926" s="17">
        <v>8599</v>
      </c>
      <c r="R1926" s="18">
        <v>45</v>
      </c>
      <c r="S1926" s="19">
        <v>5438.8674999999994</v>
      </c>
      <c r="T1926" s="20" t="s">
        <v>33</v>
      </c>
      <c r="U1926" s="21" t="s">
        <v>62</v>
      </c>
      <c r="V1926" s="22">
        <v>46</v>
      </c>
      <c r="W1926" s="22">
        <v>7</v>
      </c>
      <c r="X1926" s="23"/>
    </row>
    <row r="1927" spans="1:24" s="1" customFormat="1" ht="61.05" customHeight="1" x14ac:dyDescent="0.3">
      <c r="A1927" s="24" t="s">
        <v>23</v>
      </c>
      <c r="B1927" s="24" t="s">
        <v>1704</v>
      </c>
      <c r="C1927" s="12" t="s">
        <v>1705</v>
      </c>
      <c r="D1927" s="64"/>
      <c r="E1927" s="43" t="str">
        <f>HYPERLINK("https://www.google.ru/search?q=85746-0157&amp;newwindow=1&amp;tbm=isch","Еще фото")</f>
        <v>Еще фото</v>
      </c>
      <c r="F1927" s="14" t="s">
        <v>182</v>
      </c>
      <c r="G1927" s="24" t="s">
        <v>1633</v>
      </c>
      <c r="H1927" s="24" t="s">
        <v>27</v>
      </c>
      <c r="I1927" s="24" t="s">
        <v>1634</v>
      </c>
      <c r="J1927" s="15" t="s">
        <v>37</v>
      </c>
      <c r="K1927" s="16" t="s">
        <v>57</v>
      </c>
      <c r="L1927" s="62"/>
      <c r="M1927" s="15"/>
      <c r="N1927" s="15" t="s">
        <v>138</v>
      </c>
      <c r="O1927" s="15"/>
      <c r="P1927" s="16" t="s">
        <v>32</v>
      </c>
      <c r="Q1927" s="17">
        <v>8599</v>
      </c>
      <c r="R1927" s="18">
        <v>45</v>
      </c>
      <c r="S1927" s="19">
        <v>5438.8674999999994</v>
      </c>
      <c r="T1927" s="20" t="s">
        <v>33</v>
      </c>
      <c r="U1927" s="21" t="s">
        <v>64</v>
      </c>
      <c r="V1927" s="22">
        <v>48</v>
      </c>
      <c r="W1927" s="22">
        <v>3</v>
      </c>
      <c r="X1927" s="23"/>
    </row>
    <row r="1928" spans="1:24" s="1" customFormat="1" ht="108" customHeight="1" x14ac:dyDescent="0.3">
      <c r="A1928" s="11" t="s">
        <v>23</v>
      </c>
      <c r="B1928" s="11" t="s">
        <v>1707</v>
      </c>
      <c r="C1928" s="12" t="s">
        <v>1708</v>
      </c>
      <c r="D1928" s="13"/>
      <c r="E1928" s="43" t="str">
        <f>HYPERLINK("https://www.google.ru/search?q=85746-0197&amp;newwindow=1&amp;tbm=isch","Еще фото")</f>
        <v>Еще фото</v>
      </c>
      <c r="F1928" s="14"/>
      <c r="G1928" s="11" t="s">
        <v>1633</v>
      </c>
      <c r="H1928" s="11" t="s">
        <v>27</v>
      </c>
      <c r="I1928" s="15" t="s">
        <v>1634</v>
      </c>
      <c r="J1928" s="15" t="s">
        <v>37</v>
      </c>
      <c r="K1928" s="16" t="s">
        <v>57</v>
      </c>
      <c r="L1928" s="15"/>
      <c r="M1928" s="15"/>
      <c r="N1928" s="15" t="s">
        <v>87</v>
      </c>
      <c r="O1928" s="15"/>
      <c r="P1928" s="16" t="s">
        <v>1709</v>
      </c>
      <c r="Q1928" s="17">
        <v>7499</v>
      </c>
      <c r="R1928" s="18">
        <v>45</v>
      </c>
      <c r="S1928" s="19">
        <v>4743.1174999999994</v>
      </c>
      <c r="T1928" s="20" t="s">
        <v>33</v>
      </c>
      <c r="U1928" s="21" t="s">
        <v>34</v>
      </c>
      <c r="V1928" s="25" t="s">
        <v>90</v>
      </c>
      <c r="W1928" s="22">
        <v>1</v>
      </c>
      <c r="X1928" s="23"/>
    </row>
    <row r="1929" spans="1:24" s="1" customFormat="1" ht="108" customHeight="1" x14ac:dyDescent="0.3">
      <c r="A1929" s="11" t="s">
        <v>23</v>
      </c>
      <c r="B1929" s="11" t="s">
        <v>1710</v>
      </c>
      <c r="C1929" s="12" t="s">
        <v>1711</v>
      </c>
      <c r="D1929" s="13"/>
      <c r="E1929" s="43" t="str">
        <f>HYPERLINK("https://www.google.ru/search?q=86623-0005&amp;newwindow=1&amp;tbm=isch","Еще фото")</f>
        <v>Еще фото</v>
      </c>
      <c r="F1929" s="14"/>
      <c r="G1929" s="11" t="s">
        <v>1633</v>
      </c>
      <c r="H1929" s="11" t="s">
        <v>27</v>
      </c>
      <c r="I1929" s="15" t="s">
        <v>1634</v>
      </c>
      <c r="J1929" s="15" t="s">
        <v>37</v>
      </c>
      <c r="K1929" s="16" t="s">
        <v>57</v>
      </c>
      <c r="L1929" s="15" t="s">
        <v>1712</v>
      </c>
      <c r="M1929" s="15"/>
      <c r="N1929" s="15" t="s">
        <v>130</v>
      </c>
      <c r="O1929" s="15"/>
      <c r="P1929" s="16" t="s">
        <v>88</v>
      </c>
      <c r="Q1929" s="17">
        <v>8899</v>
      </c>
      <c r="R1929" s="18">
        <v>45</v>
      </c>
      <c r="S1929" s="19">
        <v>5628.6174999999994</v>
      </c>
      <c r="T1929" s="20" t="s">
        <v>33</v>
      </c>
      <c r="U1929" s="21" t="s">
        <v>64</v>
      </c>
      <c r="V1929" s="22">
        <v>48</v>
      </c>
      <c r="W1929" s="22">
        <v>2</v>
      </c>
      <c r="X1929" s="23"/>
    </row>
    <row r="1930" spans="1:24" s="1" customFormat="1" ht="52.05" customHeight="1" x14ac:dyDescent="0.3">
      <c r="A1930" s="11" t="s">
        <v>23</v>
      </c>
      <c r="B1930" s="11" t="s">
        <v>1655</v>
      </c>
      <c r="C1930" s="12" t="s">
        <v>1713</v>
      </c>
      <c r="D1930" s="63"/>
      <c r="E1930" s="43" t="str">
        <f>HYPERLINK("https://www.google.ru/search?q=86624-0062&amp;newwindow=1&amp;tbm=isch","Еще фото")</f>
        <v>Еще фото</v>
      </c>
      <c r="F1930" s="14"/>
      <c r="G1930" s="11" t="s">
        <v>1633</v>
      </c>
      <c r="H1930" s="11" t="s">
        <v>27</v>
      </c>
      <c r="I1930" s="15" t="s">
        <v>1634</v>
      </c>
      <c r="J1930" s="15" t="s">
        <v>37</v>
      </c>
      <c r="K1930" s="16" t="s">
        <v>57</v>
      </c>
      <c r="L1930" s="60" t="s">
        <v>1657</v>
      </c>
      <c r="M1930" s="15"/>
      <c r="N1930" s="15" t="s">
        <v>130</v>
      </c>
      <c r="O1930" s="15"/>
      <c r="P1930" s="16" t="s">
        <v>32</v>
      </c>
      <c r="Q1930" s="17">
        <v>7199</v>
      </c>
      <c r="R1930" s="18">
        <v>45</v>
      </c>
      <c r="S1930" s="19">
        <v>4553.3674999999994</v>
      </c>
      <c r="T1930" s="20" t="s">
        <v>33</v>
      </c>
      <c r="U1930" s="21" t="s">
        <v>62</v>
      </c>
      <c r="V1930" s="22">
        <v>46</v>
      </c>
      <c r="W1930" s="22">
        <v>10</v>
      </c>
      <c r="X1930" s="23"/>
    </row>
    <row r="1931" spans="1:24" s="1" customFormat="1" ht="61.05" customHeight="1" x14ac:dyDescent="0.3">
      <c r="A1931" s="24" t="s">
        <v>23</v>
      </c>
      <c r="B1931" s="24" t="s">
        <v>1655</v>
      </c>
      <c r="C1931" s="12" t="s">
        <v>1713</v>
      </c>
      <c r="D1931" s="64"/>
      <c r="E1931" s="43" t="str">
        <f>HYPERLINK("https://www.google.ru/search?q=86624-0062&amp;newwindow=1&amp;tbm=isch","Еще фото")</f>
        <v>Еще фото</v>
      </c>
      <c r="F1931" s="14"/>
      <c r="G1931" s="24" t="s">
        <v>1633</v>
      </c>
      <c r="H1931" s="24" t="s">
        <v>27</v>
      </c>
      <c r="I1931" s="24" t="s">
        <v>1634</v>
      </c>
      <c r="J1931" s="15" t="s">
        <v>37</v>
      </c>
      <c r="K1931" s="16" t="s">
        <v>57</v>
      </c>
      <c r="L1931" s="62"/>
      <c r="M1931" s="15"/>
      <c r="N1931" s="15" t="s">
        <v>130</v>
      </c>
      <c r="O1931" s="15"/>
      <c r="P1931" s="16" t="s">
        <v>32</v>
      </c>
      <c r="Q1931" s="17">
        <v>7199</v>
      </c>
      <c r="R1931" s="18">
        <v>45</v>
      </c>
      <c r="S1931" s="19">
        <v>4553.3674999999994</v>
      </c>
      <c r="T1931" s="20" t="s">
        <v>33</v>
      </c>
      <c r="U1931" s="21" t="s">
        <v>64</v>
      </c>
      <c r="V1931" s="22">
        <v>48</v>
      </c>
      <c r="W1931" s="22">
        <v>17</v>
      </c>
      <c r="X1931" s="23"/>
    </row>
    <row r="1932" spans="1:24" s="1" customFormat="1" ht="108" customHeight="1" x14ac:dyDescent="0.3">
      <c r="A1932" s="11" t="s">
        <v>23</v>
      </c>
      <c r="B1932" s="11" t="s">
        <v>1714</v>
      </c>
      <c r="C1932" s="12" t="s">
        <v>1715</v>
      </c>
      <c r="D1932" s="13"/>
      <c r="E1932" s="43" t="str">
        <f>HYPERLINK("https://www.google.ru/search?q=86625-0017&amp;newwindow=1&amp;tbm=isch","Еще фото")</f>
        <v>Еще фото</v>
      </c>
      <c r="F1932" s="14"/>
      <c r="G1932" s="11" t="s">
        <v>1633</v>
      </c>
      <c r="H1932" s="11" t="s">
        <v>27</v>
      </c>
      <c r="I1932" s="15" t="s">
        <v>1634</v>
      </c>
      <c r="J1932" s="15" t="s">
        <v>37</v>
      </c>
      <c r="K1932" s="16" t="s">
        <v>57</v>
      </c>
      <c r="L1932" s="15" t="s">
        <v>1716</v>
      </c>
      <c r="M1932" s="15"/>
      <c r="N1932" s="15" t="s">
        <v>138</v>
      </c>
      <c r="O1932" s="15"/>
      <c r="P1932" s="16" t="s">
        <v>32</v>
      </c>
      <c r="Q1932" s="17">
        <v>8599</v>
      </c>
      <c r="R1932" s="18">
        <v>45</v>
      </c>
      <c r="S1932" s="19">
        <v>5438.8674999999994</v>
      </c>
      <c r="T1932" s="20" t="s">
        <v>33</v>
      </c>
      <c r="U1932" s="21" t="s">
        <v>64</v>
      </c>
      <c r="V1932" s="22">
        <v>48</v>
      </c>
      <c r="W1932" s="22">
        <v>2</v>
      </c>
      <c r="X1932" s="23"/>
    </row>
    <row r="1933" spans="1:24" s="1" customFormat="1" ht="108" customHeight="1" x14ac:dyDescent="0.3">
      <c r="A1933" s="11" t="s">
        <v>23</v>
      </c>
      <c r="B1933" s="11" t="s">
        <v>1714</v>
      </c>
      <c r="C1933" s="12" t="s">
        <v>1717</v>
      </c>
      <c r="D1933" s="13"/>
      <c r="E1933" s="43" t="str">
        <f>HYPERLINK("https://www.google.ru/search?q=86625-0018&amp;newwindow=1&amp;tbm=isch","Еще фото")</f>
        <v>Еще фото</v>
      </c>
      <c r="F1933" s="14"/>
      <c r="G1933" s="11" t="s">
        <v>1633</v>
      </c>
      <c r="H1933" s="11" t="s">
        <v>27</v>
      </c>
      <c r="I1933" s="15" t="s">
        <v>1634</v>
      </c>
      <c r="J1933" s="15" t="s">
        <v>37</v>
      </c>
      <c r="K1933" s="16" t="s">
        <v>57</v>
      </c>
      <c r="L1933" s="15" t="s">
        <v>1716</v>
      </c>
      <c r="M1933" s="15"/>
      <c r="N1933" s="15" t="s">
        <v>87</v>
      </c>
      <c r="O1933" s="15"/>
      <c r="P1933" s="16" t="s">
        <v>32</v>
      </c>
      <c r="Q1933" s="17">
        <v>8599</v>
      </c>
      <c r="R1933" s="18">
        <v>45</v>
      </c>
      <c r="S1933" s="19">
        <v>5438.8674999999994</v>
      </c>
      <c r="T1933" s="20" t="s">
        <v>33</v>
      </c>
      <c r="U1933" s="21" t="s">
        <v>62</v>
      </c>
      <c r="V1933" s="22">
        <v>46</v>
      </c>
      <c r="W1933" s="22">
        <v>2</v>
      </c>
      <c r="X1933" s="23"/>
    </row>
    <row r="1934" spans="1:24" s="1" customFormat="1" ht="108" customHeight="1" x14ac:dyDescent="0.3">
      <c r="A1934" s="11" t="s">
        <v>23</v>
      </c>
      <c r="B1934" s="11" t="s">
        <v>1718</v>
      </c>
      <c r="C1934" s="12" t="s">
        <v>1719</v>
      </c>
      <c r="D1934" s="13"/>
      <c r="E1934" s="43" t="str">
        <f>HYPERLINK("https://www.google.ru/search?q=86625-0039&amp;newwindow=1&amp;tbm=isch","Еще фото")</f>
        <v>Еще фото</v>
      </c>
      <c r="F1934" s="14"/>
      <c r="G1934" s="11" t="s">
        <v>1633</v>
      </c>
      <c r="H1934" s="11" t="s">
        <v>27</v>
      </c>
      <c r="I1934" s="15" t="s">
        <v>1634</v>
      </c>
      <c r="J1934" s="15" t="s">
        <v>37</v>
      </c>
      <c r="K1934" s="16" t="s">
        <v>57</v>
      </c>
      <c r="L1934" s="15" t="s">
        <v>1720</v>
      </c>
      <c r="M1934" s="15"/>
      <c r="N1934" s="15" t="s">
        <v>138</v>
      </c>
      <c r="O1934" s="15"/>
      <c r="P1934" s="16" t="s">
        <v>88</v>
      </c>
      <c r="Q1934" s="17">
        <v>9799</v>
      </c>
      <c r="R1934" s="18">
        <v>45</v>
      </c>
      <c r="S1934" s="19">
        <v>6197.8674999999994</v>
      </c>
      <c r="T1934" s="20" t="s">
        <v>33</v>
      </c>
      <c r="U1934" s="21" t="s">
        <v>62</v>
      </c>
      <c r="V1934" s="22">
        <v>46</v>
      </c>
      <c r="W1934" s="22">
        <v>1</v>
      </c>
      <c r="X1934" s="23"/>
    </row>
    <row r="1935" spans="1:24" s="1" customFormat="1" ht="108" customHeight="1" x14ac:dyDescent="0.3">
      <c r="A1935" s="11" t="s">
        <v>23</v>
      </c>
      <c r="B1935" s="11" t="s">
        <v>1721</v>
      </c>
      <c r="C1935" s="12" t="s">
        <v>1722</v>
      </c>
      <c r="D1935" s="13"/>
      <c r="E1935" s="43" t="str">
        <f>HYPERLINK("https://www.google.ru/search?q=86625-0040&amp;newwindow=1&amp;tbm=isch","Еще фото")</f>
        <v>Еще фото</v>
      </c>
      <c r="F1935" s="14"/>
      <c r="G1935" s="11" t="s">
        <v>1633</v>
      </c>
      <c r="H1935" s="11" t="s">
        <v>27</v>
      </c>
      <c r="I1935" s="15" t="s">
        <v>1634</v>
      </c>
      <c r="J1935" s="15" t="s">
        <v>37</v>
      </c>
      <c r="K1935" s="16" t="s">
        <v>57</v>
      </c>
      <c r="L1935" s="15" t="s">
        <v>1723</v>
      </c>
      <c r="M1935" s="15"/>
      <c r="N1935" s="15" t="s">
        <v>130</v>
      </c>
      <c r="O1935" s="15"/>
      <c r="P1935" s="16" t="s">
        <v>88</v>
      </c>
      <c r="Q1935" s="17">
        <v>10499</v>
      </c>
      <c r="R1935" s="18">
        <v>45</v>
      </c>
      <c r="S1935" s="19">
        <v>6640.6174999999994</v>
      </c>
      <c r="T1935" s="20" t="s">
        <v>33</v>
      </c>
      <c r="U1935" s="21" t="s">
        <v>64</v>
      </c>
      <c r="V1935" s="22">
        <v>48</v>
      </c>
      <c r="W1935" s="22">
        <v>4</v>
      </c>
      <c r="X1935" s="23"/>
    </row>
    <row r="1936" spans="1:24" s="1" customFormat="1" ht="52.05" customHeight="1" x14ac:dyDescent="0.3">
      <c r="A1936" s="11" t="s">
        <v>23</v>
      </c>
      <c r="B1936" s="11" t="s">
        <v>1724</v>
      </c>
      <c r="C1936" s="12" t="s">
        <v>1725</v>
      </c>
      <c r="D1936" s="63"/>
      <c r="E1936" s="43" t="str">
        <f>HYPERLINK("https://www.google.ru/search?q=86626-0012&amp;newwindow=1&amp;tbm=isch","Еще фото")</f>
        <v>Еще фото</v>
      </c>
      <c r="F1936" s="14"/>
      <c r="G1936" s="11" t="s">
        <v>1633</v>
      </c>
      <c r="H1936" s="11" t="s">
        <v>27</v>
      </c>
      <c r="I1936" s="15" t="s">
        <v>1634</v>
      </c>
      <c r="J1936" s="15" t="s">
        <v>37</v>
      </c>
      <c r="K1936" s="16" t="s">
        <v>57</v>
      </c>
      <c r="L1936" s="60" t="s">
        <v>1660</v>
      </c>
      <c r="M1936" s="15"/>
      <c r="N1936" s="15" t="s">
        <v>130</v>
      </c>
      <c r="O1936" s="15"/>
      <c r="P1936" s="16" t="s">
        <v>32</v>
      </c>
      <c r="Q1936" s="17">
        <v>6799</v>
      </c>
      <c r="R1936" s="18">
        <v>45</v>
      </c>
      <c r="S1936" s="19">
        <v>4300.3674999999994</v>
      </c>
      <c r="T1936" s="20" t="s">
        <v>33</v>
      </c>
      <c r="U1936" s="21" t="s">
        <v>62</v>
      </c>
      <c r="V1936" s="22">
        <v>46</v>
      </c>
      <c r="W1936" s="22">
        <v>8</v>
      </c>
      <c r="X1936" s="23"/>
    </row>
    <row r="1937" spans="1:24" s="1" customFormat="1" ht="61.05" customHeight="1" x14ac:dyDescent="0.3">
      <c r="A1937" s="24" t="s">
        <v>23</v>
      </c>
      <c r="B1937" s="24" t="s">
        <v>1724</v>
      </c>
      <c r="C1937" s="12" t="s">
        <v>1725</v>
      </c>
      <c r="D1937" s="64"/>
      <c r="E1937" s="43" t="str">
        <f>HYPERLINK("https://www.google.ru/search?q=86626-0012&amp;newwindow=1&amp;tbm=isch","Еще фото")</f>
        <v>Еще фото</v>
      </c>
      <c r="F1937" s="14"/>
      <c r="G1937" s="24" t="s">
        <v>1633</v>
      </c>
      <c r="H1937" s="24" t="s">
        <v>27</v>
      </c>
      <c r="I1937" s="24" t="s">
        <v>1634</v>
      </c>
      <c r="J1937" s="15" t="s">
        <v>37</v>
      </c>
      <c r="K1937" s="16" t="s">
        <v>57</v>
      </c>
      <c r="L1937" s="62"/>
      <c r="M1937" s="15"/>
      <c r="N1937" s="15" t="s">
        <v>130</v>
      </c>
      <c r="O1937" s="15"/>
      <c r="P1937" s="16" t="s">
        <v>32</v>
      </c>
      <c r="Q1937" s="17">
        <v>6799</v>
      </c>
      <c r="R1937" s="18">
        <v>45</v>
      </c>
      <c r="S1937" s="19">
        <v>4300.3674999999994</v>
      </c>
      <c r="T1937" s="20" t="s">
        <v>33</v>
      </c>
      <c r="U1937" s="21" t="s">
        <v>64</v>
      </c>
      <c r="V1937" s="22">
        <v>48</v>
      </c>
      <c r="W1937" s="22">
        <v>2</v>
      </c>
      <c r="X1937" s="23"/>
    </row>
    <row r="1938" spans="1:24" s="1" customFormat="1" ht="52.05" customHeight="1" x14ac:dyDescent="0.3">
      <c r="A1938" s="11" t="s">
        <v>23</v>
      </c>
      <c r="B1938" s="11" t="s">
        <v>1726</v>
      </c>
      <c r="C1938" s="12" t="s">
        <v>1727</v>
      </c>
      <c r="D1938" s="63"/>
      <c r="E1938" s="43" t="str">
        <f>HYPERLINK("https://www.google.ru/search?q=86626-0014&amp;newwindow=1&amp;tbm=isch","Еще фото")</f>
        <v>Еще фото</v>
      </c>
      <c r="F1938" s="14"/>
      <c r="G1938" s="11" t="s">
        <v>1633</v>
      </c>
      <c r="H1938" s="11" t="s">
        <v>27</v>
      </c>
      <c r="I1938" s="15" t="s">
        <v>1634</v>
      </c>
      <c r="J1938" s="15" t="s">
        <v>37</v>
      </c>
      <c r="K1938" s="16" t="s">
        <v>57</v>
      </c>
      <c r="L1938" s="60" t="s">
        <v>1660</v>
      </c>
      <c r="M1938" s="15"/>
      <c r="N1938" s="15" t="s">
        <v>138</v>
      </c>
      <c r="O1938" s="15"/>
      <c r="P1938" s="16" t="s">
        <v>32</v>
      </c>
      <c r="Q1938" s="17">
        <v>6799</v>
      </c>
      <c r="R1938" s="18">
        <v>45</v>
      </c>
      <c r="S1938" s="19">
        <v>4300.3674999999994</v>
      </c>
      <c r="T1938" s="20" t="s">
        <v>33</v>
      </c>
      <c r="U1938" s="21" t="s">
        <v>62</v>
      </c>
      <c r="V1938" s="22">
        <v>46</v>
      </c>
      <c r="W1938" s="22">
        <v>5</v>
      </c>
      <c r="X1938" s="23"/>
    </row>
    <row r="1939" spans="1:24" s="1" customFormat="1" ht="61.05" customHeight="1" x14ac:dyDescent="0.3">
      <c r="A1939" s="24" t="s">
        <v>23</v>
      </c>
      <c r="B1939" s="24" t="s">
        <v>1726</v>
      </c>
      <c r="C1939" s="12" t="s">
        <v>1727</v>
      </c>
      <c r="D1939" s="64"/>
      <c r="E1939" s="43" t="str">
        <f>HYPERLINK("https://www.google.ru/search?q=86626-0014&amp;newwindow=1&amp;tbm=isch","Еще фото")</f>
        <v>Еще фото</v>
      </c>
      <c r="F1939" s="14"/>
      <c r="G1939" s="24" t="s">
        <v>1633</v>
      </c>
      <c r="H1939" s="24" t="s">
        <v>27</v>
      </c>
      <c r="I1939" s="24" t="s">
        <v>1634</v>
      </c>
      <c r="J1939" s="15" t="s">
        <v>37</v>
      </c>
      <c r="K1939" s="16" t="s">
        <v>57</v>
      </c>
      <c r="L1939" s="62"/>
      <c r="M1939" s="15"/>
      <c r="N1939" s="15" t="s">
        <v>138</v>
      </c>
      <c r="O1939" s="15"/>
      <c r="P1939" s="16" t="s">
        <v>32</v>
      </c>
      <c r="Q1939" s="17">
        <v>6799</v>
      </c>
      <c r="R1939" s="18">
        <v>45</v>
      </c>
      <c r="S1939" s="19">
        <v>4300.3674999999994</v>
      </c>
      <c r="T1939" s="20" t="s">
        <v>33</v>
      </c>
      <c r="U1939" s="21" t="s">
        <v>64</v>
      </c>
      <c r="V1939" s="22">
        <v>48</v>
      </c>
      <c r="W1939" s="22">
        <v>2</v>
      </c>
      <c r="X1939" s="23"/>
    </row>
    <row r="1940" spans="1:24" s="1" customFormat="1" ht="52.05" customHeight="1" x14ac:dyDescent="0.3">
      <c r="A1940" s="11" t="s">
        <v>23</v>
      </c>
      <c r="B1940" s="11" t="s">
        <v>1728</v>
      </c>
      <c r="C1940" s="12" t="s">
        <v>1729</v>
      </c>
      <c r="D1940" s="63"/>
      <c r="E1940" s="43" t="str">
        <f>HYPERLINK("https://www.google.ru/search?q=A7210-0038&amp;newwindow=1&amp;tbm=isch","Еще фото")</f>
        <v>Еще фото</v>
      </c>
      <c r="F1940" s="14"/>
      <c r="G1940" s="11" t="s">
        <v>1633</v>
      </c>
      <c r="H1940" s="11" t="s">
        <v>27</v>
      </c>
      <c r="I1940" s="15" t="s">
        <v>1634</v>
      </c>
      <c r="J1940" s="15" t="s">
        <v>37</v>
      </c>
      <c r="K1940" s="16" t="s">
        <v>57</v>
      </c>
      <c r="L1940" s="60"/>
      <c r="M1940" s="15"/>
      <c r="N1940" s="15" t="s">
        <v>39</v>
      </c>
      <c r="O1940" s="15"/>
      <c r="P1940" s="16" t="s">
        <v>32</v>
      </c>
      <c r="Q1940" s="17">
        <v>10699</v>
      </c>
      <c r="R1940" s="18">
        <v>45</v>
      </c>
      <c r="S1940" s="19">
        <v>6767.1174999999994</v>
      </c>
      <c r="T1940" s="20" t="s">
        <v>33</v>
      </c>
      <c r="U1940" s="21" t="s">
        <v>150</v>
      </c>
      <c r="V1940" s="25" t="s">
        <v>761</v>
      </c>
      <c r="W1940" s="22">
        <v>1</v>
      </c>
      <c r="X1940" s="23"/>
    </row>
    <row r="1941" spans="1:24" s="1" customFormat="1" ht="61.05" customHeight="1" x14ac:dyDescent="0.3">
      <c r="A1941" s="24" t="s">
        <v>23</v>
      </c>
      <c r="B1941" s="24" t="s">
        <v>1728</v>
      </c>
      <c r="C1941" s="12" t="s">
        <v>1729</v>
      </c>
      <c r="D1941" s="64"/>
      <c r="E1941" s="43" t="str">
        <f>HYPERLINK("https://www.google.ru/search?q=A7210-0038&amp;newwindow=1&amp;tbm=isch","Еще фото")</f>
        <v>Еще фото</v>
      </c>
      <c r="F1941" s="14"/>
      <c r="G1941" s="24" t="s">
        <v>1633</v>
      </c>
      <c r="H1941" s="24" t="s">
        <v>27</v>
      </c>
      <c r="I1941" s="24" t="s">
        <v>1634</v>
      </c>
      <c r="J1941" s="15" t="s">
        <v>37</v>
      </c>
      <c r="K1941" s="16" t="s">
        <v>57</v>
      </c>
      <c r="L1941" s="62"/>
      <c r="M1941" s="15"/>
      <c r="N1941" s="15" t="s">
        <v>39</v>
      </c>
      <c r="O1941" s="15"/>
      <c r="P1941" s="16" t="s">
        <v>32</v>
      </c>
      <c r="Q1941" s="17">
        <v>10699</v>
      </c>
      <c r="R1941" s="18">
        <v>45</v>
      </c>
      <c r="S1941" s="19">
        <v>6767.1174999999994</v>
      </c>
      <c r="T1941" s="20" t="s">
        <v>33</v>
      </c>
      <c r="U1941" s="21" t="s">
        <v>1494</v>
      </c>
      <c r="V1941" s="22">
        <v>54</v>
      </c>
      <c r="W1941" s="22">
        <v>1</v>
      </c>
      <c r="X1941" s="23"/>
    </row>
    <row r="1942" spans="1:24" s="1" customFormat="1" ht="35" customHeight="1" x14ac:dyDescent="0.3">
      <c r="A1942" s="11" t="s">
        <v>23</v>
      </c>
      <c r="B1942" s="11" t="s">
        <v>1730</v>
      </c>
      <c r="C1942" s="12" t="s">
        <v>1731</v>
      </c>
      <c r="D1942" s="57"/>
      <c r="E1942" s="43" t="str">
        <f>HYPERLINK("https://www.google.ru/search?q=A7210-0055&amp;newwindow=1&amp;tbm=isch","Еще фото")</f>
        <v>Еще фото</v>
      </c>
      <c r="F1942" s="34" t="s">
        <v>469</v>
      </c>
      <c r="G1942" s="11" t="s">
        <v>1633</v>
      </c>
      <c r="H1942" s="11" t="s">
        <v>27</v>
      </c>
      <c r="I1942" s="15" t="s">
        <v>1634</v>
      </c>
      <c r="J1942" s="15" t="s">
        <v>37</v>
      </c>
      <c r="K1942" s="16" t="s">
        <v>57</v>
      </c>
      <c r="L1942" s="60" t="s">
        <v>1732</v>
      </c>
      <c r="M1942" s="15"/>
      <c r="N1942" s="15" t="s">
        <v>73</v>
      </c>
      <c r="O1942" s="15"/>
      <c r="P1942" s="16" t="s">
        <v>32</v>
      </c>
      <c r="Q1942" s="17">
        <v>9999</v>
      </c>
      <c r="R1942" s="18">
        <v>45</v>
      </c>
      <c r="S1942" s="19">
        <v>6324.3674999999994</v>
      </c>
      <c r="T1942" s="20" t="s">
        <v>33</v>
      </c>
      <c r="U1942" s="21" t="s">
        <v>62</v>
      </c>
      <c r="V1942" s="22">
        <v>46</v>
      </c>
      <c r="W1942" s="22">
        <v>1</v>
      </c>
      <c r="X1942" s="23"/>
    </row>
    <row r="1943" spans="1:24" s="1" customFormat="1" ht="35" customHeight="1" x14ac:dyDescent="0.3">
      <c r="A1943" s="24" t="s">
        <v>23</v>
      </c>
      <c r="B1943" s="24" t="s">
        <v>1730</v>
      </c>
      <c r="C1943" s="12" t="s">
        <v>1731</v>
      </c>
      <c r="D1943" s="58"/>
      <c r="E1943" s="43" t="str">
        <f>HYPERLINK("https://www.google.ru/search?q=A7210-0055&amp;newwindow=1&amp;tbm=isch","Еще фото")</f>
        <v>Еще фото</v>
      </c>
      <c r="F1943" s="34" t="s">
        <v>469</v>
      </c>
      <c r="G1943" s="24" t="s">
        <v>1633</v>
      </c>
      <c r="H1943" s="24" t="s">
        <v>27</v>
      </c>
      <c r="I1943" s="24" t="s">
        <v>1634</v>
      </c>
      <c r="J1943" s="15" t="s">
        <v>37</v>
      </c>
      <c r="K1943" s="16" t="s">
        <v>57</v>
      </c>
      <c r="L1943" s="61"/>
      <c r="M1943" s="15"/>
      <c r="N1943" s="15" t="s">
        <v>73</v>
      </c>
      <c r="O1943" s="15"/>
      <c r="P1943" s="16" t="s">
        <v>32</v>
      </c>
      <c r="Q1943" s="17">
        <v>9999</v>
      </c>
      <c r="R1943" s="18">
        <v>45</v>
      </c>
      <c r="S1943" s="19">
        <v>6324.3674999999994</v>
      </c>
      <c r="T1943" s="20" t="s">
        <v>33</v>
      </c>
      <c r="U1943" s="21" t="s">
        <v>34</v>
      </c>
      <c r="V1943" s="25" t="s">
        <v>90</v>
      </c>
      <c r="W1943" s="22">
        <v>6</v>
      </c>
      <c r="X1943" s="23"/>
    </row>
    <row r="1944" spans="1:24" s="1" customFormat="1" ht="37.049999999999997" customHeight="1" x14ac:dyDescent="0.3">
      <c r="A1944" s="24" t="s">
        <v>23</v>
      </c>
      <c r="B1944" s="24" t="s">
        <v>1730</v>
      </c>
      <c r="C1944" s="12" t="s">
        <v>1731</v>
      </c>
      <c r="D1944" s="59"/>
      <c r="E1944" s="43" t="str">
        <f>HYPERLINK("https://www.google.ru/search?q=A7210-0055&amp;newwindow=1&amp;tbm=isch","Еще фото")</f>
        <v>Еще фото</v>
      </c>
      <c r="F1944" s="34" t="s">
        <v>469</v>
      </c>
      <c r="G1944" s="24" t="s">
        <v>1633</v>
      </c>
      <c r="H1944" s="24" t="s">
        <v>27</v>
      </c>
      <c r="I1944" s="24" t="s">
        <v>1634</v>
      </c>
      <c r="J1944" s="15" t="s">
        <v>37</v>
      </c>
      <c r="K1944" s="16" t="s">
        <v>57</v>
      </c>
      <c r="L1944" s="62"/>
      <c r="M1944" s="15"/>
      <c r="N1944" s="15" t="s">
        <v>73</v>
      </c>
      <c r="O1944" s="15"/>
      <c r="P1944" s="16" t="s">
        <v>32</v>
      </c>
      <c r="Q1944" s="17">
        <v>9999</v>
      </c>
      <c r="R1944" s="18">
        <v>45</v>
      </c>
      <c r="S1944" s="19">
        <v>6324.3674999999994</v>
      </c>
      <c r="T1944" s="20" t="s">
        <v>33</v>
      </c>
      <c r="U1944" s="21" t="s">
        <v>150</v>
      </c>
      <c r="V1944" s="25" t="s">
        <v>761</v>
      </c>
      <c r="W1944" s="22">
        <v>2</v>
      </c>
      <c r="X1944" s="23"/>
    </row>
    <row r="1945" spans="1:24" s="1" customFormat="1" ht="108" customHeight="1" x14ac:dyDescent="0.3">
      <c r="A1945" s="11" t="s">
        <v>23</v>
      </c>
      <c r="B1945" s="11" t="s">
        <v>1728</v>
      </c>
      <c r="C1945" s="12" t="s">
        <v>1733</v>
      </c>
      <c r="D1945" s="13"/>
      <c r="E1945" s="43" t="str">
        <f>HYPERLINK("https://www.google.ru/search?q=A7210-0065&amp;newwindow=1&amp;tbm=isch","Еще фото")</f>
        <v>Еще фото</v>
      </c>
      <c r="F1945" s="14"/>
      <c r="G1945" s="11" t="s">
        <v>1633</v>
      </c>
      <c r="H1945" s="11" t="s">
        <v>27</v>
      </c>
      <c r="I1945" s="15" t="s">
        <v>1634</v>
      </c>
      <c r="J1945" s="15" t="s">
        <v>37</v>
      </c>
      <c r="K1945" s="16" t="s">
        <v>57</v>
      </c>
      <c r="L1945" s="15" t="s">
        <v>1732</v>
      </c>
      <c r="M1945" s="15"/>
      <c r="N1945" s="15" t="s">
        <v>87</v>
      </c>
      <c r="O1945" s="15"/>
      <c r="P1945" s="16" t="s">
        <v>32</v>
      </c>
      <c r="Q1945" s="17">
        <v>7499</v>
      </c>
      <c r="R1945" s="18">
        <v>45</v>
      </c>
      <c r="S1945" s="19">
        <v>4743.1174999999994</v>
      </c>
      <c r="T1945" s="20" t="s">
        <v>33</v>
      </c>
      <c r="U1945" s="21" t="s">
        <v>64</v>
      </c>
      <c r="V1945" s="22">
        <v>48</v>
      </c>
      <c r="W1945" s="22">
        <v>1</v>
      </c>
      <c r="X1945" s="23"/>
    </row>
    <row r="1946" spans="1:24" s="1" customFormat="1" ht="108" customHeight="1" x14ac:dyDescent="0.3">
      <c r="A1946" s="11" t="s">
        <v>23</v>
      </c>
      <c r="B1946" s="11" t="s">
        <v>1734</v>
      </c>
      <c r="C1946" s="12" t="s">
        <v>1735</v>
      </c>
      <c r="D1946" s="13"/>
      <c r="E1946" s="43" t="str">
        <f>HYPERLINK("https://www.google.ru/search?q=A7210-0068&amp;newwindow=1&amp;tbm=isch","Еще фото")</f>
        <v>Еще фото</v>
      </c>
      <c r="F1946" s="14"/>
      <c r="G1946" s="11" t="s">
        <v>1633</v>
      </c>
      <c r="H1946" s="11" t="s">
        <v>27</v>
      </c>
      <c r="I1946" s="15" t="s">
        <v>1634</v>
      </c>
      <c r="J1946" s="15" t="s">
        <v>37</v>
      </c>
      <c r="K1946" s="16" t="s">
        <v>57</v>
      </c>
      <c r="L1946" s="15" t="s">
        <v>1732</v>
      </c>
      <c r="M1946" s="15"/>
      <c r="N1946" s="15" t="s">
        <v>73</v>
      </c>
      <c r="O1946" s="15"/>
      <c r="P1946" s="16" t="s">
        <v>32</v>
      </c>
      <c r="Q1946" s="17">
        <v>7499</v>
      </c>
      <c r="R1946" s="18">
        <v>45</v>
      </c>
      <c r="S1946" s="19">
        <v>4743.1174999999994</v>
      </c>
      <c r="T1946" s="20" t="s">
        <v>33</v>
      </c>
      <c r="U1946" s="21" t="s">
        <v>34</v>
      </c>
      <c r="V1946" s="25" t="s">
        <v>90</v>
      </c>
      <c r="W1946" s="22">
        <v>1</v>
      </c>
      <c r="X1946" s="23"/>
    </row>
    <row r="1947" spans="1:24" s="1" customFormat="1" ht="108" customHeight="1" x14ac:dyDescent="0.3">
      <c r="A1947" s="11" t="s">
        <v>23</v>
      </c>
      <c r="B1947" s="11" t="s">
        <v>1736</v>
      </c>
      <c r="C1947" s="12" t="s">
        <v>1737</v>
      </c>
      <c r="D1947" s="13"/>
      <c r="E1947" s="43" t="str">
        <f>HYPERLINK("https://www.google.ru/search?q=A7356-0001&amp;newwindow=1&amp;tbm=isch","Еще фото")</f>
        <v>Еще фото</v>
      </c>
      <c r="F1947" s="14"/>
      <c r="G1947" s="11" t="s">
        <v>1633</v>
      </c>
      <c r="H1947" s="11" t="s">
        <v>27</v>
      </c>
      <c r="I1947" s="15" t="s">
        <v>1634</v>
      </c>
      <c r="J1947" s="15" t="s">
        <v>37</v>
      </c>
      <c r="K1947" s="16" t="s">
        <v>29</v>
      </c>
      <c r="L1947" s="15" t="s">
        <v>1738</v>
      </c>
      <c r="M1947" s="15"/>
      <c r="N1947" s="15" t="s">
        <v>59</v>
      </c>
      <c r="O1947" s="15"/>
      <c r="P1947" s="16" t="s">
        <v>717</v>
      </c>
      <c r="Q1947" s="17">
        <v>9699</v>
      </c>
      <c r="R1947" s="18">
        <v>45</v>
      </c>
      <c r="S1947" s="19">
        <v>6134.6174999999994</v>
      </c>
      <c r="T1947" s="20" t="s">
        <v>33</v>
      </c>
      <c r="U1947" s="21" t="s">
        <v>62</v>
      </c>
      <c r="V1947" s="22">
        <v>44</v>
      </c>
      <c r="W1947" s="22">
        <v>1</v>
      </c>
      <c r="X1947" s="23"/>
    </row>
    <row r="1948" spans="1:24" s="1" customFormat="1" ht="52.05" customHeight="1" x14ac:dyDescent="0.3">
      <c r="A1948" s="11" t="s">
        <v>23</v>
      </c>
      <c r="B1948" s="11" t="s">
        <v>1739</v>
      </c>
      <c r="C1948" s="12" t="s">
        <v>1740</v>
      </c>
      <c r="D1948" s="63"/>
      <c r="E1948" s="43" t="str">
        <f>HYPERLINK("https://www.google.ru/search?q=A9161-0007&amp;newwindow=1&amp;tbm=isch","Еще фото")</f>
        <v>Еще фото</v>
      </c>
      <c r="F1948" s="14" t="s">
        <v>182</v>
      </c>
      <c r="G1948" s="11" t="s">
        <v>1633</v>
      </c>
      <c r="H1948" s="11" t="s">
        <v>27</v>
      </c>
      <c r="I1948" s="15" t="s">
        <v>1634</v>
      </c>
      <c r="J1948" s="15" t="s">
        <v>37</v>
      </c>
      <c r="K1948" s="16" t="s">
        <v>57</v>
      </c>
      <c r="L1948" s="60" t="s">
        <v>1741</v>
      </c>
      <c r="M1948" s="15"/>
      <c r="N1948" s="15" t="s">
        <v>130</v>
      </c>
      <c r="O1948" s="15"/>
      <c r="P1948" s="16" t="s">
        <v>32</v>
      </c>
      <c r="Q1948" s="17">
        <v>9799</v>
      </c>
      <c r="R1948" s="18">
        <v>45</v>
      </c>
      <c r="S1948" s="19">
        <v>6197.8674999999994</v>
      </c>
      <c r="T1948" s="20" t="s">
        <v>33</v>
      </c>
      <c r="U1948" s="21" t="s">
        <v>64</v>
      </c>
      <c r="V1948" s="22">
        <v>48</v>
      </c>
      <c r="W1948" s="22">
        <v>2</v>
      </c>
      <c r="X1948" s="23"/>
    </row>
    <row r="1949" spans="1:24" s="1" customFormat="1" ht="61.05" customHeight="1" x14ac:dyDescent="0.3">
      <c r="A1949" s="24" t="s">
        <v>23</v>
      </c>
      <c r="B1949" s="24" t="s">
        <v>1739</v>
      </c>
      <c r="C1949" s="12" t="s">
        <v>1740</v>
      </c>
      <c r="D1949" s="64"/>
      <c r="E1949" s="43" t="str">
        <f>HYPERLINK("https://www.google.ru/search?q=A9161-0007&amp;newwindow=1&amp;tbm=isch","Еще фото")</f>
        <v>Еще фото</v>
      </c>
      <c r="F1949" s="14" t="s">
        <v>182</v>
      </c>
      <c r="G1949" s="24" t="s">
        <v>1633</v>
      </c>
      <c r="H1949" s="24" t="s">
        <v>27</v>
      </c>
      <c r="I1949" s="24" t="s">
        <v>1634</v>
      </c>
      <c r="J1949" s="15" t="s">
        <v>37</v>
      </c>
      <c r="K1949" s="16" t="s">
        <v>57</v>
      </c>
      <c r="L1949" s="62"/>
      <c r="M1949" s="15"/>
      <c r="N1949" s="15" t="s">
        <v>130</v>
      </c>
      <c r="O1949" s="15"/>
      <c r="P1949" s="16" t="s">
        <v>32</v>
      </c>
      <c r="Q1949" s="17">
        <v>9799</v>
      </c>
      <c r="R1949" s="18">
        <v>45</v>
      </c>
      <c r="S1949" s="19">
        <v>6197.8674999999994</v>
      </c>
      <c r="T1949" s="20" t="s">
        <v>33</v>
      </c>
      <c r="U1949" s="21" t="s">
        <v>34</v>
      </c>
      <c r="V1949" s="25" t="s">
        <v>90</v>
      </c>
      <c r="W1949" s="22">
        <v>1</v>
      </c>
      <c r="X1949" s="23"/>
    </row>
    <row r="1950" spans="1:24" s="1" customFormat="1" ht="108" customHeight="1" x14ac:dyDescent="0.3">
      <c r="A1950" s="11" t="s">
        <v>23</v>
      </c>
      <c r="B1950" s="11" t="s">
        <v>1742</v>
      </c>
      <c r="C1950" s="12" t="s">
        <v>1743</v>
      </c>
      <c r="D1950" s="13"/>
      <c r="E1950" s="43" t="str">
        <f>HYPERLINK("https://www.google.ru/search?q=A9161-0014&amp;newwindow=1&amp;tbm=isch","Еще фото")</f>
        <v>Еще фото</v>
      </c>
      <c r="F1950" s="14"/>
      <c r="G1950" s="11" t="s">
        <v>1633</v>
      </c>
      <c r="H1950" s="11" t="s">
        <v>27</v>
      </c>
      <c r="I1950" s="15" t="s">
        <v>1634</v>
      </c>
      <c r="J1950" s="15" t="s">
        <v>28</v>
      </c>
      <c r="K1950" s="16" t="s">
        <v>57</v>
      </c>
      <c r="L1950" s="15" t="s">
        <v>1741</v>
      </c>
      <c r="M1950" s="15"/>
      <c r="N1950" s="15" t="s">
        <v>31</v>
      </c>
      <c r="O1950" s="15"/>
      <c r="P1950" s="16" t="s">
        <v>32</v>
      </c>
      <c r="Q1950" s="17">
        <v>9099</v>
      </c>
      <c r="R1950" s="18">
        <v>45</v>
      </c>
      <c r="S1950" s="19">
        <v>5755.1174999999994</v>
      </c>
      <c r="T1950" s="20" t="s">
        <v>33</v>
      </c>
      <c r="U1950" s="21" t="s">
        <v>34</v>
      </c>
      <c r="V1950" s="25" t="s">
        <v>90</v>
      </c>
      <c r="W1950" s="22">
        <v>1</v>
      </c>
      <c r="X1950" s="23"/>
    </row>
    <row r="1951" spans="1:24" s="1" customFormat="1" ht="108" customHeight="1" x14ac:dyDescent="0.3">
      <c r="A1951" s="11" t="s">
        <v>23</v>
      </c>
      <c r="B1951" s="11" t="s">
        <v>1744</v>
      </c>
      <c r="C1951" s="12" t="s">
        <v>1745</v>
      </c>
      <c r="D1951" s="13"/>
      <c r="E1951" s="43" t="str">
        <f>HYPERLINK("https://www.google.ru/search?q=A9304-0000&amp;newwindow=1&amp;tbm=isch","Еще фото")</f>
        <v>Еще фото</v>
      </c>
      <c r="F1951" s="14"/>
      <c r="G1951" s="11" t="s">
        <v>1633</v>
      </c>
      <c r="H1951" s="11" t="s">
        <v>27</v>
      </c>
      <c r="I1951" s="15" t="s">
        <v>1634</v>
      </c>
      <c r="J1951" s="15" t="s">
        <v>37</v>
      </c>
      <c r="K1951" s="16" t="s">
        <v>29</v>
      </c>
      <c r="L1951" s="15" t="s">
        <v>1746</v>
      </c>
      <c r="M1951" s="15"/>
      <c r="N1951" s="15" t="s">
        <v>31</v>
      </c>
      <c r="O1951" s="15"/>
      <c r="P1951" s="16" t="s">
        <v>32</v>
      </c>
      <c r="Q1951" s="17">
        <v>11599</v>
      </c>
      <c r="R1951" s="18">
        <v>45</v>
      </c>
      <c r="S1951" s="19">
        <v>7336.3674999999994</v>
      </c>
      <c r="T1951" s="20" t="s">
        <v>33</v>
      </c>
      <c r="U1951" s="21" t="s">
        <v>62</v>
      </c>
      <c r="V1951" s="22">
        <v>44</v>
      </c>
      <c r="W1951" s="22">
        <v>1</v>
      </c>
      <c r="X1951" s="23"/>
    </row>
    <row r="1952" spans="1:24" s="1" customFormat="1" ht="52.05" customHeight="1" x14ac:dyDescent="0.3">
      <c r="A1952" s="11" t="s">
        <v>23</v>
      </c>
      <c r="B1952" s="11" t="s">
        <v>1747</v>
      </c>
      <c r="C1952" s="12" t="s">
        <v>1748</v>
      </c>
      <c r="D1952" s="63"/>
      <c r="E1952" s="43" t="str">
        <f>HYPERLINK("https://www.google.ru/search?q=37545-0034&amp;newwindow=1&amp;tbm=isch","Еще фото")</f>
        <v>Еще фото</v>
      </c>
      <c r="F1952" s="14"/>
      <c r="G1952" s="11" t="s">
        <v>1749</v>
      </c>
      <c r="H1952" s="11" t="s">
        <v>1330</v>
      </c>
      <c r="I1952" s="15" t="s">
        <v>1750</v>
      </c>
      <c r="J1952" s="15" t="s">
        <v>28</v>
      </c>
      <c r="K1952" s="16" t="s">
        <v>29</v>
      </c>
      <c r="L1952" s="60" t="s">
        <v>1751</v>
      </c>
      <c r="M1952" s="15" t="s">
        <v>72</v>
      </c>
      <c r="N1952" s="15" t="s">
        <v>39</v>
      </c>
      <c r="O1952" s="15"/>
      <c r="P1952" s="16" t="s">
        <v>32</v>
      </c>
      <c r="Q1952" s="17">
        <v>5399</v>
      </c>
      <c r="R1952" s="18">
        <v>45</v>
      </c>
      <c r="S1952" s="19">
        <v>3414.8674999999994</v>
      </c>
      <c r="T1952" s="20" t="s">
        <v>33</v>
      </c>
      <c r="U1952" s="21" t="s">
        <v>1752</v>
      </c>
      <c r="V1952" s="22">
        <v>37</v>
      </c>
      <c r="W1952" s="22">
        <v>1</v>
      </c>
      <c r="X1952" s="23"/>
    </row>
    <row r="1953" spans="1:24" s="1" customFormat="1" ht="61.05" customHeight="1" x14ac:dyDescent="0.3">
      <c r="A1953" s="24" t="s">
        <v>23</v>
      </c>
      <c r="B1953" s="24" t="s">
        <v>1747</v>
      </c>
      <c r="C1953" s="12" t="s">
        <v>1748</v>
      </c>
      <c r="D1953" s="64"/>
      <c r="E1953" s="43" t="str">
        <f>HYPERLINK("https://www.google.ru/search?q=37545-0034&amp;newwindow=1&amp;tbm=isch","Еще фото")</f>
        <v>Еще фото</v>
      </c>
      <c r="F1953" s="14"/>
      <c r="G1953" s="24" t="s">
        <v>1749</v>
      </c>
      <c r="H1953" s="24" t="s">
        <v>1330</v>
      </c>
      <c r="I1953" s="24" t="s">
        <v>1750</v>
      </c>
      <c r="J1953" s="15" t="s">
        <v>28</v>
      </c>
      <c r="K1953" s="16" t="s">
        <v>29</v>
      </c>
      <c r="L1953" s="62"/>
      <c r="M1953" s="15" t="s">
        <v>72</v>
      </c>
      <c r="N1953" s="15" t="s">
        <v>39</v>
      </c>
      <c r="O1953" s="15"/>
      <c r="P1953" s="16" t="s">
        <v>32</v>
      </c>
      <c r="Q1953" s="17">
        <v>5399</v>
      </c>
      <c r="R1953" s="18">
        <v>45</v>
      </c>
      <c r="S1953" s="19">
        <v>3414.8674999999994</v>
      </c>
      <c r="T1953" s="20" t="s">
        <v>33</v>
      </c>
      <c r="U1953" s="21" t="s">
        <v>1753</v>
      </c>
      <c r="V1953" s="22">
        <v>39</v>
      </c>
      <c r="W1953" s="22">
        <v>1</v>
      </c>
      <c r="X1953" s="23"/>
    </row>
    <row r="1954" spans="1:24" s="1" customFormat="1" ht="52.05" customHeight="1" x14ac:dyDescent="0.3">
      <c r="A1954" s="11" t="s">
        <v>23</v>
      </c>
      <c r="B1954" s="11" t="s">
        <v>1754</v>
      </c>
      <c r="C1954" s="12" t="s">
        <v>1755</v>
      </c>
      <c r="D1954" s="63"/>
      <c r="E1954" s="43" t="str">
        <f>HYPERLINK("https://www.google.ru/search?q=18487-0132&amp;newwindow=1&amp;tbm=isch","Еще фото")</f>
        <v>Еще фото</v>
      </c>
      <c r="F1954" s="14"/>
      <c r="G1954" s="11" t="s">
        <v>1756</v>
      </c>
      <c r="H1954" s="11" t="s">
        <v>27</v>
      </c>
      <c r="I1954" s="15" t="s">
        <v>1757</v>
      </c>
      <c r="J1954" s="15" t="s">
        <v>28</v>
      </c>
      <c r="K1954" s="16" t="s">
        <v>29</v>
      </c>
      <c r="L1954" s="60" t="s">
        <v>1758</v>
      </c>
      <c r="M1954" s="15" t="s">
        <v>72</v>
      </c>
      <c r="N1954" s="15" t="s">
        <v>156</v>
      </c>
      <c r="O1954" s="15" t="s">
        <v>121</v>
      </c>
      <c r="P1954" s="16" t="s">
        <v>32</v>
      </c>
      <c r="Q1954" s="17">
        <v>9999</v>
      </c>
      <c r="R1954" s="18">
        <v>64.42</v>
      </c>
      <c r="S1954" s="19">
        <v>4091.4354999999996</v>
      </c>
      <c r="T1954" s="20" t="s">
        <v>33</v>
      </c>
      <c r="U1954" s="21" t="s">
        <v>1366</v>
      </c>
      <c r="V1954" s="22">
        <v>40</v>
      </c>
      <c r="W1954" s="22">
        <v>5</v>
      </c>
      <c r="X1954" s="23"/>
    </row>
    <row r="1955" spans="1:24" s="1" customFormat="1" ht="61.05" customHeight="1" x14ac:dyDescent="0.3">
      <c r="A1955" s="24" t="s">
        <v>23</v>
      </c>
      <c r="B1955" s="24" t="s">
        <v>1754</v>
      </c>
      <c r="C1955" s="12" t="s">
        <v>1755</v>
      </c>
      <c r="D1955" s="64"/>
      <c r="E1955" s="43" t="str">
        <f>HYPERLINK("https://www.google.ru/search?q=18487-0132&amp;newwindow=1&amp;tbm=isch","Еще фото")</f>
        <v>Еще фото</v>
      </c>
      <c r="F1955" s="14"/>
      <c r="G1955" s="24" t="s">
        <v>1756</v>
      </c>
      <c r="H1955" s="24" t="s">
        <v>27</v>
      </c>
      <c r="I1955" s="24" t="s">
        <v>1757</v>
      </c>
      <c r="J1955" s="15" t="s">
        <v>28</v>
      </c>
      <c r="K1955" s="16" t="s">
        <v>29</v>
      </c>
      <c r="L1955" s="62"/>
      <c r="M1955" s="15" t="s">
        <v>72</v>
      </c>
      <c r="N1955" s="15" t="s">
        <v>156</v>
      </c>
      <c r="O1955" s="15" t="s">
        <v>121</v>
      </c>
      <c r="P1955" s="16" t="s">
        <v>32</v>
      </c>
      <c r="Q1955" s="17">
        <v>9999</v>
      </c>
      <c r="R1955" s="18">
        <v>64.42</v>
      </c>
      <c r="S1955" s="19">
        <v>4091.4354999999996</v>
      </c>
      <c r="T1955" s="20" t="s">
        <v>33</v>
      </c>
      <c r="U1955" s="21" t="s">
        <v>62</v>
      </c>
      <c r="V1955" s="22">
        <v>44</v>
      </c>
      <c r="W1955" s="22">
        <v>1</v>
      </c>
      <c r="X1955" s="23"/>
    </row>
    <row r="1956" spans="1:24" s="1" customFormat="1" ht="108" customHeight="1" x14ac:dyDescent="0.3">
      <c r="A1956" s="11" t="s">
        <v>23</v>
      </c>
      <c r="B1956" s="11" t="s">
        <v>1759</v>
      </c>
      <c r="C1956" s="12" t="s">
        <v>1760</v>
      </c>
      <c r="D1956" s="13"/>
      <c r="E1956" s="43" t="str">
        <f>HYPERLINK("https://www.google.ru/search?q=38424-0041&amp;newwindow=1&amp;tbm=isch","Еще фото")</f>
        <v>Еще фото</v>
      </c>
      <c r="F1956" s="14"/>
      <c r="G1956" s="11" t="s">
        <v>1756</v>
      </c>
      <c r="H1956" s="11" t="s">
        <v>27</v>
      </c>
      <c r="I1956" s="15" t="s">
        <v>1757</v>
      </c>
      <c r="J1956" s="15" t="s">
        <v>28</v>
      </c>
      <c r="K1956" s="16" t="s">
        <v>57</v>
      </c>
      <c r="L1956" s="15" t="s">
        <v>1761</v>
      </c>
      <c r="M1956" s="15"/>
      <c r="N1956" s="15" t="s">
        <v>83</v>
      </c>
      <c r="O1956" s="15"/>
      <c r="P1956" s="16" t="s">
        <v>32</v>
      </c>
      <c r="Q1956" s="17">
        <v>11599</v>
      </c>
      <c r="R1956" s="18">
        <v>58.98</v>
      </c>
      <c r="S1956" s="19">
        <v>5471.4355000000005</v>
      </c>
      <c r="T1956" s="20" t="s">
        <v>33</v>
      </c>
      <c r="U1956" s="21" t="s">
        <v>62</v>
      </c>
      <c r="V1956" s="22">
        <v>46</v>
      </c>
      <c r="W1956" s="22">
        <v>8</v>
      </c>
      <c r="X1956" s="23"/>
    </row>
    <row r="1957" spans="1:24" s="1" customFormat="1" ht="108" customHeight="1" x14ac:dyDescent="0.3">
      <c r="A1957" s="11" t="s">
        <v>23</v>
      </c>
      <c r="B1957" s="11" t="s">
        <v>1762</v>
      </c>
      <c r="C1957" s="12" t="s">
        <v>1763</v>
      </c>
      <c r="D1957" s="13"/>
      <c r="E1957" s="43" t="str">
        <f>HYPERLINK("https://www.google.ru/search?q=28412-0008&amp;newwindow=1&amp;tbm=isch","Еще фото")</f>
        <v>Еще фото</v>
      </c>
      <c r="F1957" s="14"/>
      <c r="G1957" s="11" t="s">
        <v>1764</v>
      </c>
      <c r="H1957" s="11" t="s">
        <v>27</v>
      </c>
      <c r="I1957" s="15" t="s">
        <v>1757</v>
      </c>
      <c r="J1957" s="15" t="s">
        <v>28</v>
      </c>
      <c r="K1957" s="16" t="s">
        <v>57</v>
      </c>
      <c r="L1957" s="15" t="s">
        <v>1765</v>
      </c>
      <c r="M1957" s="15" t="s">
        <v>72</v>
      </c>
      <c r="N1957" s="15" t="s">
        <v>83</v>
      </c>
      <c r="O1957" s="15" t="s">
        <v>121</v>
      </c>
      <c r="P1957" s="16" t="s">
        <v>1766</v>
      </c>
      <c r="Q1957" s="17">
        <v>14699</v>
      </c>
      <c r="R1957" s="18">
        <v>56.27</v>
      </c>
      <c r="S1957" s="19">
        <v>7391.9354999999996</v>
      </c>
      <c r="T1957" s="20" t="s">
        <v>75</v>
      </c>
      <c r="U1957" s="21" t="s">
        <v>62</v>
      </c>
      <c r="V1957" s="22">
        <v>46</v>
      </c>
      <c r="W1957" s="22">
        <v>8</v>
      </c>
      <c r="X1957" s="23"/>
    </row>
    <row r="1958" spans="1:24" s="1" customFormat="1" ht="108" customHeight="1" x14ac:dyDescent="0.3">
      <c r="A1958" s="11" t="s">
        <v>23</v>
      </c>
      <c r="B1958" s="11" t="s">
        <v>1767</v>
      </c>
      <c r="C1958" s="12" t="s">
        <v>1768</v>
      </c>
      <c r="D1958" s="13"/>
      <c r="E1958" s="43" t="str">
        <f>HYPERLINK("https://www.google.ru/search?q=38424-0046&amp;newwindow=1&amp;tbm=isch","Еще фото")</f>
        <v>Еще фото</v>
      </c>
      <c r="F1958" s="14"/>
      <c r="G1958" s="11" t="s">
        <v>1756</v>
      </c>
      <c r="H1958" s="11" t="s">
        <v>27</v>
      </c>
      <c r="I1958" s="15" t="s">
        <v>1757</v>
      </c>
      <c r="J1958" s="15" t="s">
        <v>37</v>
      </c>
      <c r="K1958" s="16" t="s">
        <v>57</v>
      </c>
      <c r="L1958" s="15" t="s">
        <v>1769</v>
      </c>
      <c r="M1958" s="15"/>
      <c r="N1958" s="15" t="s">
        <v>31</v>
      </c>
      <c r="O1958" s="15"/>
      <c r="P1958" s="16" t="s">
        <v>60</v>
      </c>
      <c r="Q1958" s="17">
        <v>13699</v>
      </c>
      <c r="R1958" s="18">
        <v>55.85</v>
      </c>
      <c r="S1958" s="19">
        <v>6954.9354999999996</v>
      </c>
      <c r="T1958" s="20" t="s">
        <v>75</v>
      </c>
      <c r="U1958" s="21" t="s">
        <v>34</v>
      </c>
      <c r="V1958" s="25" t="s">
        <v>90</v>
      </c>
      <c r="W1958" s="22">
        <v>8</v>
      </c>
      <c r="X1958" s="23"/>
    </row>
    <row r="1959" spans="1:24" s="1" customFormat="1" ht="35" customHeight="1" x14ac:dyDescent="0.3">
      <c r="A1959" s="11" t="s">
        <v>23</v>
      </c>
      <c r="B1959" s="11" t="s">
        <v>1770</v>
      </c>
      <c r="C1959" s="12" t="s">
        <v>1771</v>
      </c>
      <c r="D1959" s="57"/>
      <c r="E1959" s="43" t="str">
        <f>HYPERLINK("https://www.google.ru/search?q=38424-0055&amp;newwindow=1&amp;tbm=isch","Еще фото")</f>
        <v>Еще фото</v>
      </c>
      <c r="F1959" s="14"/>
      <c r="G1959" s="11" t="s">
        <v>1756</v>
      </c>
      <c r="H1959" s="11" t="s">
        <v>27</v>
      </c>
      <c r="I1959" s="15" t="s">
        <v>1757</v>
      </c>
      <c r="J1959" s="15" t="s">
        <v>37</v>
      </c>
      <c r="K1959" s="16" t="s">
        <v>57</v>
      </c>
      <c r="L1959" s="60" t="s">
        <v>1769</v>
      </c>
      <c r="M1959" s="15"/>
      <c r="N1959" s="15" t="s">
        <v>1772</v>
      </c>
      <c r="O1959" s="15"/>
      <c r="P1959" s="16" t="s">
        <v>60</v>
      </c>
      <c r="Q1959" s="17">
        <v>10499</v>
      </c>
      <c r="R1959" s="18">
        <v>55.73</v>
      </c>
      <c r="S1959" s="19">
        <v>5344.9355000000005</v>
      </c>
      <c r="T1959" s="20" t="s">
        <v>33</v>
      </c>
      <c r="U1959" s="21" t="s">
        <v>62</v>
      </c>
      <c r="V1959" s="22">
        <v>46</v>
      </c>
      <c r="W1959" s="22">
        <v>2</v>
      </c>
      <c r="X1959" s="23"/>
    </row>
    <row r="1960" spans="1:24" s="1" customFormat="1" ht="35" customHeight="1" x14ac:dyDescent="0.3">
      <c r="A1960" s="24" t="s">
        <v>23</v>
      </c>
      <c r="B1960" s="24" t="s">
        <v>1770</v>
      </c>
      <c r="C1960" s="12" t="s">
        <v>1771</v>
      </c>
      <c r="D1960" s="58"/>
      <c r="E1960" s="43" t="str">
        <f>HYPERLINK("https://www.google.ru/search?q=38424-0055&amp;newwindow=1&amp;tbm=isch","Еще фото")</f>
        <v>Еще фото</v>
      </c>
      <c r="F1960" s="14"/>
      <c r="G1960" s="24" t="s">
        <v>1756</v>
      </c>
      <c r="H1960" s="24" t="s">
        <v>27</v>
      </c>
      <c r="I1960" s="24" t="s">
        <v>1757</v>
      </c>
      <c r="J1960" s="15" t="s">
        <v>37</v>
      </c>
      <c r="K1960" s="16" t="s">
        <v>57</v>
      </c>
      <c r="L1960" s="61"/>
      <c r="M1960" s="15"/>
      <c r="N1960" s="15" t="s">
        <v>1772</v>
      </c>
      <c r="O1960" s="15"/>
      <c r="P1960" s="16" t="s">
        <v>60</v>
      </c>
      <c r="Q1960" s="17">
        <v>10499</v>
      </c>
      <c r="R1960" s="18">
        <v>55.73</v>
      </c>
      <c r="S1960" s="19">
        <v>5344.9355000000005</v>
      </c>
      <c r="T1960" s="20" t="s">
        <v>33</v>
      </c>
      <c r="U1960" s="21" t="s">
        <v>64</v>
      </c>
      <c r="V1960" s="22">
        <v>48</v>
      </c>
      <c r="W1960" s="22">
        <v>4</v>
      </c>
      <c r="X1960" s="23"/>
    </row>
    <row r="1961" spans="1:24" s="1" customFormat="1" ht="37.049999999999997" customHeight="1" x14ac:dyDescent="0.3">
      <c r="A1961" s="24" t="s">
        <v>23</v>
      </c>
      <c r="B1961" s="24" t="s">
        <v>1770</v>
      </c>
      <c r="C1961" s="12" t="s">
        <v>1771</v>
      </c>
      <c r="D1961" s="59"/>
      <c r="E1961" s="43" t="str">
        <f>HYPERLINK("https://www.google.ru/search?q=38424-0055&amp;newwindow=1&amp;tbm=isch","Еще фото")</f>
        <v>Еще фото</v>
      </c>
      <c r="F1961" s="14"/>
      <c r="G1961" s="24" t="s">
        <v>1756</v>
      </c>
      <c r="H1961" s="24" t="s">
        <v>27</v>
      </c>
      <c r="I1961" s="24" t="s">
        <v>1757</v>
      </c>
      <c r="J1961" s="15" t="s">
        <v>37</v>
      </c>
      <c r="K1961" s="16" t="s">
        <v>57</v>
      </c>
      <c r="L1961" s="62"/>
      <c r="M1961" s="15"/>
      <c r="N1961" s="15" t="s">
        <v>1772</v>
      </c>
      <c r="O1961" s="15"/>
      <c r="P1961" s="16" t="s">
        <v>60</v>
      </c>
      <c r="Q1961" s="17">
        <v>10499</v>
      </c>
      <c r="R1961" s="18">
        <v>55.73</v>
      </c>
      <c r="S1961" s="19">
        <v>5344.9355000000005</v>
      </c>
      <c r="T1961" s="20" t="s">
        <v>33</v>
      </c>
      <c r="U1961" s="21" t="s">
        <v>150</v>
      </c>
      <c r="V1961" s="25" t="s">
        <v>761</v>
      </c>
      <c r="W1961" s="22">
        <v>1</v>
      </c>
      <c r="X1961" s="23"/>
    </row>
    <row r="1962" spans="1:24" s="1" customFormat="1" ht="35" customHeight="1" x14ac:dyDescent="0.3">
      <c r="A1962" s="11" t="s">
        <v>23</v>
      </c>
      <c r="B1962" s="11" t="s">
        <v>1773</v>
      </c>
      <c r="C1962" s="12" t="s">
        <v>1774</v>
      </c>
      <c r="D1962" s="57"/>
      <c r="E1962" s="43" t="str">
        <f>HYPERLINK("https://www.google.ru/search?q=000MS-0013&amp;newwindow=1&amp;tbm=isch","Еще фото")</f>
        <v>Еще фото</v>
      </c>
      <c r="F1962" s="34" t="s">
        <v>469</v>
      </c>
      <c r="G1962" s="11" t="s">
        <v>1775</v>
      </c>
      <c r="H1962" s="11" t="s">
        <v>27</v>
      </c>
      <c r="I1962" s="15" t="s">
        <v>1757</v>
      </c>
      <c r="J1962" s="15" t="s">
        <v>28</v>
      </c>
      <c r="K1962" s="16" t="s">
        <v>57</v>
      </c>
      <c r="L1962" s="60" t="s">
        <v>1776</v>
      </c>
      <c r="M1962" s="15"/>
      <c r="N1962" s="15" t="s">
        <v>87</v>
      </c>
      <c r="O1962" s="15"/>
      <c r="P1962" s="16" t="s">
        <v>32</v>
      </c>
      <c r="Q1962" s="17">
        <v>11399</v>
      </c>
      <c r="R1962" s="18">
        <v>48.79</v>
      </c>
      <c r="S1962" s="19">
        <v>6713.4354999999996</v>
      </c>
      <c r="T1962" s="20" t="s">
        <v>33</v>
      </c>
      <c r="U1962" s="21" t="s">
        <v>34</v>
      </c>
      <c r="V1962" s="25" t="s">
        <v>90</v>
      </c>
      <c r="W1962" s="22">
        <v>12</v>
      </c>
      <c r="X1962" s="23"/>
    </row>
    <row r="1963" spans="1:24" s="1" customFormat="1" ht="35" customHeight="1" x14ac:dyDescent="0.3">
      <c r="A1963" s="24" t="s">
        <v>23</v>
      </c>
      <c r="B1963" s="24" t="s">
        <v>1773</v>
      </c>
      <c r="C1963" s="12" t="s">
        <v>1774</v>
      </c>
      <c r="D1963" s="58"/>
      <c r="E1963" s="43" t="str">
        <f>HYPERLINK("https://www.google.ru/search?q=000MS-0013&amp;newwindow=1&amp;tbm=isch","Еще фото")</f>
        <v>Еще фото</v>
      </c>
      <c r="F1963" s="34" t="s">
        <v>469</v>
      </c>
      <c r="G1963" s="24" t="s">
        <v>1775</v>
      </c>
      <c r="H1963" s="24" t="s">
        <v>27</v>
      </c>
      <c r="I1963" s="24" t="s">
        <v>1757</v>
      </c>
      <c r="J1963" s="15" t="s">
        <v>28</v>
      </c>
      <c r="K1963" s="16" t="s">
        <v>57</v>
      </c>
      <c r="L1963" s="61"/>
      <c r="M1963" s="15"/>
      <c r="N1963" s="15" t="s">
        <v>87</v>
      </c>
      <c r="O1963" s="15"/>
      <c r="P1963" s="16" t="s">
        <v>32</v>
      </c>
      <c r="Q1963" s="17">
        <v>11399</v>
      </c>
      <c r="R1963" s="18">
        <v>48.79</v>
      </c>
      <c r="S1963" s="19">
        <v>6713.4354999999996</v>
      </c>
      <c r="T1963" s="20" t="s">
        <v>33</v>
      </c>
      <c r="U1963" s="21" t="s">
        <v>150</v>
      </c>
      <c r="V1963" s="25" t="s">
        <v>761</v>
      </c>
      <c r="W1963" s="22">
        <v>6</v>
      </c>
      <c r="X1963" s="23"/>
    </row>
    <row r="1964" spans="1:24" s="1" customFormat="1" ht="37.049999999999997" customHeight="1" x14ac:dyDescent="0.3">
      <c r="A1964" s="24" t="s">
        <v>23</v>
      </c>
      <c r="B1964" s="24" t="s">
        <v>1773</v>
      </c>
      <c r="C1964" s="12" t="s">
        <v>1774</v>
      </c>
      <c r="D1964" s="59"/>
      <c r="E1964" s="43" t="str">
        <f>HYPERLINK("https://www.google.ru/search?q=000MS-0013&amp;newwindow=1&amp;tbm=isch","Еще фото")</f>
        <v>Еще фото</v>
      </c>
      <c r="F1964" s="34" t="s">
        <v>469</v>
      </c>
      <c r="G1964" s="24" t="s">
        <v>1775</v>
      </c>
      <c r="H1964" s="24" t="s">
        <v>27</v>
      </c>
      <c r="I1964" s="24" t="s">
        <v>1757</v>
      </c>
      <c r="J1964" s="15" t="s">
        <v>28</v>
      </c>
      <c r="K1964" s="16" t="s">
        <v>57</v>
      </c>
      <c r="L1964" s="62"/>
      <c r="M1964" s="15"/>
      <c r="N1964" s="15" t="s">
        <v>87</v>
      </c>
      <c r="O1964" s="15"/>
      <c r="P1964" s="16" t="s">
        <v>32</v>
      </c>
      <c r="Q1964" s="17">
        <v>11399</v>
      </c>
      <c r="R1964" s="18">
        <v>48.79</v>
      </c>
      <c r="S1964" s="19">
        <v>6713.4354999999996</v>
      </c>
      <c r="T1964" s="20" t="s">
        <v>33</v>
      </c>
      <c r="U1964" s="21" t="s">
        <v>1494</v>
      </c>
      <c r="V1964" s="22">
        <v>54</v>
      </c>
      <c r="W1964" s="22">
        <v>2</v>
      </c>
      <c r="X1964" s="23"/>
    </row>
    <row r="1965" spans="1:24" s="1" customFormat="1" ht="108" customHeight="1" x14ac:dyDescent="0.3">
      <c r="A1965" s="11" t="s">
        <v>23</v>
      </c>
      <c r="B1965" s="11" t="s">
        <v>1777</v>
      </c>
      <c r="C1965" s="12" t="s">
        <v>1778</v>
      </c>
      <c r="D1965" s="13"/>
      <c r="E1965" s="43" t="str">
        <f>HYPERLINK("https://www.google.ru/search?q=A1849-0005&amp;newwindow=1&amp;tbm=isch","Еще фото")</f>
        <v>Еще фото</v>
      </c>
      <c r="F1965" s="14"/>
      <c r="G1965" s="11" t="s">
        <v>1779</v>
      </c>
      <c r="H1965" s="11" t="s">
        <v>27</v>
      </c>
      <c r="I1965" s="15" t="s">
        <v>1757</v>
      </c>
      <c r="J1965" s="15" t="s">
        <v>28</v>
      </c>
      <c r="K1965" s="16" t="s">
        <v>57</v>
      </c>
      <c r="L1965" s="15" t="s">
        <v>1780</v>
      </c>
      <c r="M1965" s="15"/>
      <c r="N1965" s="15" t="s">
        <v>59</v>
      </c>
      <c r="O1965" s="15"/>
      <c r="P1965" s="16" t="s">
        <v>32</v>
      </c>
      <c r="Q1965" s="17">
        <v>4799</v>
      </c>
      <c r="R1965" s="18">
        <v>45.82</v>
      </c>
      <c r="S1965" s="19">
        <v>2989.9884999999995</v>
      </c>
      <c r="T1965" s="20" t="s">
        <v>33</v>
      </c>
      <c r="U1965" s="21" t="s">
        <v>150</v>
      </c>
      <c r="V1965" s="25" t="s">
        <v>761</v>
      </c>
      <c r="W1965" s="22">
        <v>2</v>
      </c>
      <c r="X1965" s="23"/>
    </row>
    <row r="1966" spans="1:24" s="1" customFormat="1" ht="108" customHeight="1" x14ac:dyDescent="0.3">
      <c r="A1966" s="11" t="s">
        <v>23</v>
      </c>
      <c r="B1966" s="11" t="s">
        <v>1781</v>
      </c>
      <c r="C1966" s="12" t="s">
        <v>1782</v>
      </c>
      <c r="D1966" s="13"/>
      <c r="E1966" s="43" t="str">
        <f>HYPERLINK("https://www.google.ru/search?q=000RM-0002&amp;newwindow=1&amp;tbm=isch","Еще фото")</f>
        <v>Еще фото</v>
      </c>
      <c r="F1966" s="14"/>
      <c r="G1966" s="11" t="s">
        <v>1783</v>
      </c>
      <c r="H1966" s="11" t="s">
        <v>27</v>
      </c>
      <c r="I1966" s="15" t="s">
        <v>1757</v>
      </c>
      <c r="J1966" s="15" t="s">
        <v>37</v>
      </c>
      <c r="K1966" s="16" t="s">
        <v>29</v>
      </c>
      <c r="L1966" s="15" t="s">
        <v>1784</v>
      </c>
      <c r="M1966" s="15"/>
      <c r="N1966" s="15" t="s">
        <v>31</v>
      </c>
      <c r="O1966" s="15"/>
      <c r="P1966" s="16" t="s">
        <v>32</v>
      </c>
      <c r="Q1966" s="17">
        <v>13999</v>
      </c>
      <c r="R1966" s="18">
        <v>45.71</v>
      </c>
      <c r="S1966" s="19">
        <v>8739.9884999999995</v>
      </c>
      <c r="T1966" s="20" t="s">
        <v>33</v>
      </c>
      <c r="U1966" s="21" t="s">
        <v>34</v>
      </c>
      <c r="V1966" s="22">
        <v>48</v>
      </c>
      <c r="W1966" s="22">
        <v>1</v>
      </c>
      <c r="X1966" s="23"/>
    </row>
    <row r="1967" spans="1:24" s="1" customFormat="1" ht="108" customHeight="1" x14ac:dyDescent="0.3">
      <c r="A1967" s="11" t="s">
        <v>23</v>
      </c>
      <c r="B1967" s="11" t="s">
        <v>1785</v>
      </c>
      <c r="C1967" s="12" t="s">
        <v>1786</v>
      </c>
      <c r="D1967" s="13"/>
      <c r="E1967" s="43" t="str">
        <f>HYPERLINK("https://www.google.ru/search?q=18686-0011&amp;newwindow=1&amp;tbm=isch","Еще фото")</f>
        <v>Еще фото</v>
      </c>
      <c r="F1967" s="14"/>
      <c r="G1967" s="11" t="s">
        <v>1783</v>
      </c>
      <c r="H1967" s="11" t="s">
        <v>27</v>
      </c>
      <c r="I1967" s="15" t="s">
        <v>1757</v>
      </c>
      <c r="J1967" s="15" t="s">
        <v>28</v>
      </c>
      <c r="K1967" s="16" t="s">
        <v>29</v>
      </c>
      <c r="L1967" s="15" t="s">
        <v>1787</v>
      </c>
      <c r="M1967" s="15" t="s">
        <v>72</v>
      </c>
      <c r="N1967" s="15" t="s">
        <v>31</v>
      </c>
      <c r="O1967" s="15" t="s">
        <v>121</v>
      </c>
      <c r="P1967" s="16" t="s">
        <v>1788</v>
      </c>
      <c r="Q1967" s="17">
        <v>11599</v>
      </c>
      <c r="R1967" s="18">
        <v>45.69</v>
      </c>
      <c r="S1967" s="19">
        <v>7244.9884999999995</v>
      </c>
      <c r="T1967" s="20" t="s">
        <v>33</v>
      </c>
      <c r="U1967" s="21" t="s">
        <v>34</v>
      </c>
      <c r="V1967" s="22">
        <v>48</v>
      </c>
      <c r="W1967" s="22">
        <v>1</v>
      </c>
      <c r="X1967" s="23"/>
    </row>
    <row r="1968" spans="1:24" s="1" customFormat="1" ht="108" customHeight="1" x14ac:dyDescent="0.3">
      <c r="A1968" s="11" t="s">
        <v>23</v>
      </c>
      <c r="B1968" s="11" t="s">
        <v>1789</v>
      </c>
      <c r="C1968" s="12" t="s">
        <v>1790</v>
      </c>
      <c r="D1968" s="13"/>
      <c r="E1968" s="43" t="str">
        <f>HYPERLINK("https://www.google.ru/search?q=18487-0110&amp;newwindow=1&amp;tbm=isch","Еще фото")</f>
        <v>Еще фото</v>
      </c>
      <c r="F1968" s="14"/>
      <c r="G1968" s="11" t="s">
        <v>1756</v>
      </c>
      <c r="H1968" s="11" t="s">
        <v>27</v>
      </c>
      <c r="I1968" s="15" t="s">
        <v>1757</v>
      </c>
      <c r="J1968" s="15" t="s">
        <v>28</v>
      </c>
      <c r="K1968" s="16" t="s">
        <v>29</v>
      </c>
      <c r="L1968" s="15" t="s">
        <v>1791</v>
      </c>
      <c r="M1968" s="15" t="s">
        <v>72</v>
      </c>
      <c r="N1968" s="15" t="s">
        <v>31</v>
      </c>
      <c r="O1968" s="15" t="s">
        <v>121</v>
      </c>
      <c r="P1968" s="16" t="s">
        <v>32</v>
      </c>
      <c r="Q1968" s="17">
        <v>9199</v>
      </c>
      <c r="R1968" s="18">
        <v>45.65</v>
      </c>
      <c r="S1968" s="19">
        <v>5749.9884999999995</v>
      </c>
      <c r="T1968" s="20" t="s">
        <v>33</v>
      </c>
      <c r="U1968" s="21" t="s">
        <v>61</v>
      </c>
      <c r="V1968" s="22">
        <v>42</v>
      </c>
      <c r="W1968" s="22">
        <v>1</v>
      </c>
      <c r="X1968" s="23"/>
    </row>
    <row r="1969" spans="1:24" s="1" customFormat="1" ht="108" customHeight="1" x14ac:dyDescent="0.3">
      <c r="A1969" s="11" t="s">
        <v>23</v>
      </c>
      <c r="B1969" s="11" t="s">
        <v>1792</v>
      </c>
      <c r="C1969" s="12" t="s">
        <v>1793</v>
      </c>
      <c r="D1969" s="13"/>
      <c r="E1969" s="43" t="str">
        <f>HYPERLINK("https://www.google.ru/search?q=A4877-0001&amp;newwindow=1&amp;tbm=isch","Еще фото")</f>
        <v>Еще фото</v>
      </c>
      <c r="F1969" s="14"/>
      <c r="G1969" s="11" t="s">
        <v>1783</v>
      </c>
      <c r="H1969" s="11" t="s">
        <v>27</v>
      </c>
      <c r="I1969" s="15" t="s">
        <v>1757</v>
      </c>
      <c r="J1969" s="15" t="s">
        <v>28</v>
      </c>
      <c r="K1969" s="16" t="s">
        <v>57</v>
      </c>
      <c r="L1969" s="15" t="s">
        <v>1794</v>
      </c>
      <c r="M1969" s="15"/>
      <c r="N1969" s="15" t="s">
        <v>39</v>
      </c>
      <c r="O1969" s="15"/>
      <c r="P1969" s="16" t="s">
        <v>32</v>
      </c>
      <c r="Q1969" s="17">
        <v>9199</v>
      </c>
      <c r="R1969" s="18">
        <v>45.65</v>
      </c>
      <c r="S1969" s="19">
        <v>5749.9884999999995</v>
      </c>
      <c r="T1969" s="20" t="s">
        <v>33</v>
      </c>
      <c r="U1969" s="21" t="s">
        <v>62</v>
      </c>
      <c r="V1969" s="22">
        <v>46</v>
      </c>
      <c r="W1969" s="22">
        <v>1</v>
      </c>
      <c r="X1969" s="23"/>
    </row>
    <row r="1970" spans="1:24" s="1" customFormat="1" ht="108" customHeight="1" x14ac:dyDescent="0.3">
      <c r="A1970" s="11" t="s">
        <v>23</v>
      </c>
      <c r="B1970" s="11" t="s">
        <v>1795</v>
      </c>
      <c r="C1970" s="12" t="s">
        <v>1796</v>
      </c>
      <c r="D1970" s="13"/>
      <c r="E1970" s="43" t="str">
        <f>HYPERLINK("https://www.google.ru/search?q=28943-0022&amp;newwindow=1&amp;tbm=isch","Еще фото")</f>
        <v>Еще фото</v>
      </c>
      <c r="F1970" s="14"/>
      <c r="G1970" s="11" t="s">
        <v>1364</v>
      </c>
      <c r="H1970" s="11" t="s">
        <v>27</v>
      </c>
      <c r="I1970" s="15" t="s">
        <v>1757</v>
      </c>
      <c r="J1970" s="15" t="s">
        <v>37</v>
      </c>
      <c r="K1970" s="16" t="s">
        <v>57</v>
      </c>
      <c r="L1970" s="15" t="s">
        <v>1797</v>
      </c>
      <c r="M1970" s="15" t="s">
        <v>72</v>
      </c>
      <c r="N1970" s="15" t="s">
        <v>39</v>
      </c>
      <c r="O1970" s="15"/>
      <c r="P1970" s="16" t="s">
        <v>88</v>
      </c>
      <c r="Q1970" s="17">
        <v>24900</v>
      </c>
      <c r="R1970" s="18">
        <v>45.38</v>
      </c>
      <c r="S1970" s="19">
        <v>15639.988499999998</v>
      </c>
      <c r="T1970" s="20" t="s">
        <v>33</v>
      </c>
      <c r="U1970" s="21" t="s">
        <v>61</v>
      </c>
      <c r="V1970" s="22">
        <v>44</v>
      </c>
      <c r="W1970" s="22">
        <v>7</v>
      </c>
      <c r="X1970" s="23"/>
    </row>
    <row r="1971" spans="1:24" s="1" customFormat="1" ht="108" customHeight="1" x14ac:dyDescent="0.3">
      <c r="A1971" s="11" t="s">
        <v>23</v>
      </c>
      <c r="B1971" s="11" t="s">
        <v>1798</v>
      </c>
      <c r="C1971" s="12" t="s">
        <v>1799</v>
      </c>
      <c r="D1971" s="13"/>
      <c r="E1971" s="43" t="str">
        <f>HYPERLINK("https://www.google.ru/search?q=35909-0056&amp;newwindow=1&amp;tbm=isch","Еще фото")</f>
        <v>Еще фото</v>
      </c>
      <c r="F1971" s="14"/>
      <c r="G1971" s="11" t="s">
        <v>1783</v>
      </c>
      <c r="H1971" s="11" t="s">
        <v>27</v>
      </c>
      <c r="I1971" s="15" t="s">
        <v>1757</v>
      </c>
      <c r="J1971" s="15" t="s">
        <v>37</v>
      </c>
      <c r="K1971" s="16" t="s">
        <v>57</v>
      </c>
      <c r="L1971" s="15" t="s">
        <v>1800</v>
      </c>
      <c r="M1971" s="15"/>
      <c r="N1971" s="15" t="s">
        <v>130</v>
      </c>
      <c r="O1971" s="15"/>
      <c r="P1971" s="16" t="s">
        <v>1801</v>
      </c>
      <c r="Q1971" s="17">
        <v>9699</v>
      </c>
      <c r="R1971" s="18">
        <v>45.36</v>
      </c>
      <c r="S1971" s="19">
        <v>6094.9884999999995</v>
      </c>
      <c r="T1971" s="20" t="s">
        <v>33</v>
      </c>
      <c r="U1971" s="21" t="s">
        <v>150</v>
      </c>
      <c r="V1971" s="25" t="s">
        <v>761</v>
      </c>
      <c r="W1971" s="22">
        <v>1</v>
      </c>
      <c r="X1971" s="23"/>
    </row>
    <row r="1972" spans="1:24" s="1" customFormat="1" ht="108" customHeight="1" x14ac:dyDescent="0.3">
      <c r="A1972" s="11" t="s">
        <v>23</v>
      </c>
      <c r="B1972" s="11" t="s">
        <v>1802</v>
      </c>
      <c r="C1972" s="12" t="s">
        <v>1803</v>
      </c>
      <c r="D1972" s="13"/>
      <c r="E1972" s="43" t="str">
        <f>HYPERLINK("https://www.google.ru/search?q=A3174-0010&amp;newwindow=1&amp;tbm=isch","Еще фото")</f>
        <v>Еще фото</v>
      </c>
      <c r="F1972" s="14"/>
      <c r="G1972" s="11" t="s">
        <v>1364</v>
      </c>
      <c r="H1972" s="11" t="s">
        <v>27</v>
      </c>
      <c r="I1972" s="15" t="s">
        <v>1757</v>
      </c>
      <c r="J1972" s="15" t="s">
        <v>28</v>
      </c>
      <c r="K1972" s="16" t="s">
        <v>57</v>
      </c>
      <c r="L1972" s="15" t="s">
        <v>1804</v>
      </c>
      <c r="M1972" s="15"/>
      <c r="N1972" s="15" t="s">
        <v>130</v>
      </c>
      <c r="O1972" s="15"/>
      <c r="P1972" s="16" t="s">
        <v>32</v>
      </c>
      <c r="Q1972" s="17">
        <v>17899</v>
      </c>
      <c r="R1972" s="18">
        <v>45.25</v>
      </c>
      <c r="S1972" s="19">
        <v>11269.988499999999</v>
      </c>
      <c r="T1972" s="20" t="s">
        <v>33</v>
      </c>
      <c r="U1972" s="21" t="s">
        <v>150</v>
      </c>
      <c r="V1972" s="25" t="s">
        <v>761</v>
      </c>
      <c r="W1972" s="22">
        <v>2</v>
      </c>
      <c r="X1972" s="23"/>
    </row>
    <row r="1973" spans="1:24" s="1" customFormat="1" ht="108" customHeight="1" x14ac:dyDescent="0.3">
      <c r="A1973" s="11" t="s">
        <v>23</v>
      </c>
      <c r="B1973" s="11" t="s">
        <v>1805</v>
      </c>
      <c r="C1973" s="12" t="s">
        <v>1806</v>
      </c>
      <c r="D1973" s="13"/>
      <c r="E1973" s="43" t="str">
        <f>HYPERLINK("https://www.google.ru/search?q=003M1-0001&amp;newwindow=1&amp;tbm=isch","Еще фото")</f>
        <v>Еще фото</v>
      </c>
      <c r="F1973" s="14"/>
      <c r="G1973" s="11" t="s">
        <v>1364</v>
      </c>
      <c r="H1973" s="11" t="s">
        <v>27</v>
      </c>
      <c r="I1973" s="15" t="s">
        <v>1757</v>
      </c>
      <c r="J1973" s="15" t="s">
        <v>37</v>
      </c>
      <c r="K1973" s="16" t="s">
        <v>57</v>
      </c>
      <c r="L1973" s="15" t="s">
        <v>1807</v>
      </c>
      <c r="M1973" s="15"/>
      <c r="N1973" s="15" t="s">
        <v>130</v>
      </c>
      <c r="O1973" s="15"/>
      <c r="P1973" s="16" t="s">
        <v>32</v>
      </c>
      <c r="Q1973" s="17">
        <v>22099</v>
      </c>
      <c r="R1973" s="18">
        <v>45.25</v>
      </c>
      <c r="S1973" s="19">
        <v>13914.988499999999</v>
      </c>
      <c r="T1973" s="20" t="s">
        <v>33</v>
      </c>
      <c r="U1973" s="21" t="s">
        <v>62</v>
      </c>
      <c r="V1973" s="22">
        <v>46</v>
      </c>
      <c r="W1973" s="22">
        <v>1</v>
      </c>
      <c r="X1973" s="23"/>
    </row>
    <row r="1974" spans="1:24" s="1" customFormat="1" ht="108" customHeight="1" x14ac:dyDescent="0.3">
      <c r="A1974" s="11" t="s">
        <v>23</v>
      </c>
      <c r="B1974" s="11" t="s">
        <v>1808</v>
      </c>
      <c r="C1974" s="12" t="s">
        <v>1809</v>
      </c>
      <c r="D1974" s="13"/>
      <c r="E1974" s="43" t="str">
        <f>HYPERLINK("https://www.google.ru/search?q=38712-0072&amp;newwindow=1&amp;tbm=isch","Еще фото")</f>
        <v>Еще фото</v>
      </c>
      <c r="F1974" s="14"/>
      <c r="G1974" s="11" t="s">
        <v>1783</v>
      </c>
      <c r="H1974" s="11" t="s">
        <v>27</v>
      </c>
      <c r="I1974" s="15" t="s">
        <v>1757</v>
      </c>
      <c r="J1974" s="15" t="s">
        <v>37</v>
      </c>
      <c r="K1974" s="16" t="s">
        <v>57</v>
      </c>
      <c r="L1974" s="15" t="s">
        <v>1810</v>
      </c>
      <c r="M1974" s="15"/>
      <c r="N1974" s="15" t="s">
        <v>31</v>
      </c>
      <c r="O1974" s="15"/>
      <c r="P1974" s="16" t="s">
        <v>60</v>
      </c>
      <c r="Q1974" s="17">
        <v>12599</v>
      </c>
      <c r="R1974" s="18">
        <v>45.23</v>
      </c>
      <c r="S1974" s="19">
        <v>7934.9884999999995</v>
      </c>
      <c r="T1974" s="20" t="s">
        <v>75</v>
      </c>
      <c r="U1974" s="21" t="s">
        <v>62</v>
      </c>
      <c r="V1974" s="22">
        <v>46</v>
      </c>
      <c r="W1974" s="22">
        <v>1</v>
      </c>
      <c r="X1974" s="23"/>
    </row>
    <row r="1975" spans="1:24" s="1" customFormat="1" ht="108" customHeight="1" x14ac:dyDescent="0.3">
      <c r="A1975" s="11" t="s">
        <v>23</v>
      </c>
      <c r="B1975" s="11" t="s">
        <v>1811</v>
      </c>
      <c r="C1975" s="12" t="s">
        <v>1812</v>
      </c>
      <c r="D1975" s="13"/>
      <c r="E1975" s="43" t="str">
        <f>HYPERLINK("https://www.google.ru/search?q=A5943-0028&amp;newwindow=1&amp;tbm=isch","Еще фото")</f>
        <v>Еще фото</v>
      </c>
      <c r="F1975" s="14"/>
      <c r="G1975" s="11" t="s">
        <v>1775</v>
      </c>
      <c r="H1975" s="11" t="s">
        <v>27</v>
      </c>
      <c r="I1975" s="15" t="s">
        <v>1757</v>
      </c>
      <c r="J1975" s="15" t="s">
        <v>28</v>
      </c>
      <c r="K1975" s="16" t="s">
        <v>29</v>
      </c>
      <c r="L1975" s="15"/>
      <c r="M1975" s="15"/>
      <c r="N1975" s="15" t="s">
        <v>73</v>
      </c>
      <c r="O1975" s="15"/>
      <c r="P1975" s="16" t="s">
        <v>1813</v>
      </c>
      <c r="Q1975" s="17">
        <v>8399</v>
      </c>
      <c r="R1975" s="18">
        <v>45.23</v>
      </c>
      <c r="S1975" s="19">
        <v>5289.9884999999995</v>
      </c>
      <c r="T1975" s="20" t="s">
        <v>33</v>
      </c>
      <c r="U1975" s="21" t="s">
        <v>61</v>
      </c>
      <c r="V1975" s="22">
        <v>42</v>
      </c>
      <c r="W1975" s="22">
        <v>1</v>
      </c>
      <c r="X1975" s="23"/>
    </row>
    <row r="1976" spans="1:24" s="1" customFormat="1" ht="108" customHeight="1" x14ac:dyDescent="0.3">
      <c r="A1976" s="11" t="s">
        <v>23</v>
      </c>
      <c r="B1976" s="11" t="s">
        <v>1814</v>
      </c>
      <c r="C1976" s="12" t="s">
        <v>1815</v>
      </c>
      <c r="D1976" s="13"/>
      <c r="E1976" s="43" t="str">
        <f>HYPERLINK("https://www.google.ru/search?q=38479-0182&amp;newwindow=1&amp;tbm=isch","Еще фото")</f>
        <v>Еще фото</v>
      </c>
      <c r="F1976" s="14"/>
      <c r="G1976" s="11" t="s">
        <v>1756</v>
      </c>
      <c r="H1976" s="11" t="s">
        <v>27</v>
      </c>
      <c r="I1976" s="15" t="s">
        <v>1757</v>
      </c>
      <c r="J1976" s="15" t="s">
        <v>28</v>
      </c>
      <c r="K1976" s="16" t="s">
        <v>57</v>
      </c>
      <c r="L1976" s="15" t="s">
        <v>1816</v>
      </c>
      <c r="M1976" s="15"/>
      <c r="N1976" s="15" t="s">
        <v>87</v>
      </c>
      <c r="O1976" s="15"/>
      <c r="P1976" s="16" t="s">
        <v>32</v>
      </c>
      <c r="Q1976" s="17">
        <v>7299</v>
      </c>
      <c r="R1976" s="18">
        <v>45.2</v>
      </c>
      <c r="S1976" s="19">
        <v>4599.9884999999995</v>
      </c>
      <c r="T1976" s="20" t="s">
        <v>75</v>
      </c>
      <c r="U1976" s="21" t="s">
        <v>62</v>
      </c>
      <c r="V1976" s="22">
        <v>46</v>
      </c>
      <c r="W1976" s="22">
        <v>1</v>
      </c>
      <c r="X1976" s="23"/>
    </row>
    <row r="1977" spans="1:24" s="1" customFormat="1" ht="108" customHeight="1" x14ac:dyDescent="0.3">
      <c r="A1977" s="11" t="s">
        <v>23</v>
      </c>
      <c r="B1977" s="11" t="s">
        <v>1817</v>
      </c>
      <c r="C1977" s="12" t="s">
        <v>1818</v>
      </c>
      <c r="D1977" s="13"/>
      <c r="E1977" s="43" t="str">
        <f>HYPERLINK("https://www.google.ru/search?q=18487-0058&amp;newwindow=1&amp;tbm=isch","Еще фото")</f>
        <v>Еще фото</v>
      </c>
      <c r="F1977" s="14"/>
      <c r="G1977" s="11" t="s">
        <v>1756</v>
      </c>
      <c r="H1977" s="11" t="s">
        <v>27</v>
      </c>
      <c r="I1977" s="15" t="s">
        <v>1757</v>
      </c>
      <c r="J1977" s="15" t="s">
        <v>28</v>
      </c>
      <c r="K1977" s="16" t="s">
        <v>29</v>
      </c>
      <c r="L1977" s="15" t="s">
        <v>1819</v>
      </c>
      <c r="M1977" s="15" t="s">
        <v>72</v>
      </c>
      <c r="N1977" s="15" t="s">
        <v>31</v>
      </c>
      <c r="O1977" s="15" t="s">
        <v>121</v>
      </c>
      <c r="P1977" s="16" t="s">
        <v>32</v>
      </c>
      <c r="Q1977" s="17">
        <v>9099</v>
      </c>
      <c r="R1977" s="18">
        <v>45.05</v>
      </c>
      <c r="S1977" s="19">
        <v>5749.9884999999995</v>
      </c>
      <c r="T1977" s="20" t="s">
        <v>33</v>
      </c>
      <c r="U1977" s="21" t="s">
        <v>1366</v>
      </c>
      <c r="V1977" s="22">
        <v>40</v>
      </c>
      <c r="W1977" s="22">
        <v>2</v>
      </c>
      <c r="X1977" s="23"/>
    </row>
    <row r="1978" spans="1:24" s="1" customFormat="1" ht="52.05" customHeight="1" x14ac:dyDescent="0.3">
      <c r="A1978" s="11" t="s">
        <v>23</v>
      </c>
      <c r="B1978" s="11" t="s">
        <v>1820</v>
      </c>
      <c r="C1978" s="12" t="s">
        <v>1821</v>
      </c>
      <c r="D1978" s="63"/>
      <c r="E1978" s="43" t="str">
        <f>HYPERLINK("https://www.google.ru/search?q=A7411-0000&amp;newwindow=1&amp;tbm=isch","Еще фото")</f>
        <v>Еще фото</v>
      </c>
      <c r="F1978" s="14"/>
      <c r="G1978" s="11" t="s">
        <v>1822</v>
      </c>
      <c r="H1978" s="11" t="s">
        <v>27</v>
      </c>
      <c r="I1978" s="15" t="s">
        <v>1757</v>
      </c>
      <c r="J1978" s="15" t="s">
        <v>37</v>
      </c>
      <c r="K1978" s="16" t="s">
        <v>57</v>
      </c>
      <c r="L1978" s="60" t="s">
        <v>1823</v>
      </c>
      <c r="M1978" s="15"/>
      <c r="N1978" s="15" t="s">
        <v>39</v>
      </c>
      <c r="O1978" s="15"/>
      <c r="P1978" s="16" t="s">
        <v>1824</v>
      </c>
      <c r="Q1978" s="17">
        <v>19099</v>
      </c>
      <c r="R1978" s="18">
        <v>45.02</v>
      </c>
      <c r="S1978" s="19">
        <v>12074.988499999999</v>
      </c>
      <c r="T1978" s="20" t="s">
        <v>33</v>
      </c>
      <c r="U1978" s="21" t="s">
        <v>61</v>
      </c>
      <c r="V1978" s="22">
        <v>44</v>
      </c>
      <c r="W1978" s="22">
        <v>1</v>
      </c>
      <c r="X1978" s="23"/>
    </row>
    <row r="1979" spans="1:24" s="1" customFormat="1" ht="61.05" customHeight="1" x14ac:dyDescent="0.3">
      <c r="A1979" s="24" t="s">
        <v>23</v>
      </c>
      <c r="B1979" s="24" t="s">
        <v>1820</v>
      </c>
      <c r="C1979" s="12" t="s">
        <v>1821</v>
      </c>
      <c r="D1979" s="64"/>
      <c r="E1979" s="43" t="str">
        <f>HYPERLINK("https://www.google.ru/search?q=A7411-0000&amp;newwindow=1&amp;tbm=isch","Еще фото")</f>
        <v>Еще фото</v>
      </c>
      <c r="F1979" s="14"/>
      <c r="G1979" s="24" t="s">
        <v>1822</v>
      </c>
      <c r="H1979" s="24" t="s">
        <v>27</v>
      </c>
      <c r="I1979" s="24" t="s">
        <v>1757</v>
      </c>
      <c r="J1979" s="15" t="s">
        <v>37</v>
      </c>
      <c r="K1979" s="16" t="s">
        <v>57</v>
      </c>
      <c r="L1979" s="62"/>
      <c r="M1979" s="15"/>
      <c r="N1979" s="15" t="s">
        <v>39</v>
      </c>
      <c r="O1979" s="15"/>
      <c r="P1979" s="16" t="s">
        <v>1824</v>
      </c>
      <c r="Q1979" s="17">
        <v>19099</v>
      </c>
      <c r="R1979" s="18">
        <v>45.02</v>
      </c>
      <c r="S1979" s="19">
        <v>12074.988499999999</v>
      </c>
      <c r="T1979" s="20" t="s">
        <v>33</v>
      </c>
      <c r="U1979" s="21" t="s">
        <v>62</v>
      </c>
      <c r="V1979" s="22">
        <v>46</v>
      </c>
      <c r="W1979" s="22">
        <v>1</v>
      </c>
      <c r="X1979" s="23"/>
    </row>
    <row r="1980" spans="1:24" s="1" customFormat="1" ht="52.05" customHeight="1" x14ac:dyDescent="0.3">
      <c r="A1980" s="11" t="s">
        <v>23</v>
      </c>
      <c r="B1980" s="11" t="s">
        <v>1781</v>
      </c>
      <c r="C1980" s="12" t="s">
        <v>1825</v>
      </c>
      <c r="D1980" s="63"/>
      <c r="E1980" s="43" t="str">
        <f>HYPERLINK("https://www.google.ru/search?q=000RM-0000&amp;newwindow=1&amp;tbm=isch","Еще фото")</f>
        <v>Еще фото</v>
      </c>
      <c r="F1980" s="34" t="s">
        <v>469</v>
      </c>
      <c r="G1980" s="11" t="s">
        <v>1775</v>
      </c>
      <c r="H1980" s="11" t="s">
        <v>27</v>
      </c>
      <c r="I1980" s="15" t="s">
        <v>1757</v>
      </c>
      <c r="J1980" s="15" t="s">
        <v>28</v>
      </c>
      <c r="K1980" s="16" t="s">
        <v>29</v>
      </c>
      <c r="L1980" s="60" t="s">
        <v>1826</v>
      </c>
      <c r="M1980" s="15"/>
      <c r="N1980" s="15" t="s">
        <v>31</v>
      </c>
      <c r="O1980" s="15"/>
      <c r="P1980" s="16" t="s">
        <v>32</v>
      </c>
      <c r="Q1980" s="17">
        <v>9299</v>
      </c>
      <c r="R1980" s="18">
        <v>45</v>
      </c>
      <c r="S1980" s="19">
        <v>5881.6174999999994</v>
      </c>
      <c r="T1980" s="20" t="s">
        <v>33</v>
      </c>
      <c r="U1980" s="21" t="s">
        <v>62</v>
      </c>
      <c r="V1980" s="22">
        <v>44</v>
      </c>
      <c r="W1980" s="22">
        <v>6</v>
      </c>
      <c r="X1980" s="23"/>
    </row>
    <row r="1981" spans="1:24" s="1" customFormat="1" ht="61.05" customHeight="1" x14ac:dyDescent="0.3">
      <c r="A1981" s="24" t="s">
        <v>23</v>
      </c>
      <c r="B1981" s="24" t="s">
        <v>1781</v>
      </c>
      <c r="C1981" s="12" t="s">
        <v>1825</v>
      </c>
      <c r="D1981" s="64"/>
      <c r="E1981" s="43" t="str">
        <f>HYPERLINK("https://www.google.ru/search?q=000RM-0000&amp;newwindow=1&amp;tbm=isch","Еще фото")</f>
        <v>Еще фото</v>
      </c>
      <c r="F1981" s="34" t="s">
        <v>469</v>
      </c>
      <c r="G1981" s="24" t="s">
        <v>1775</v>
      </c>
      <c r="H1981" s="24" t="s">
        <v>27</v>
      </c>
      <c r="I1981" s="24" t="s">
        <v>1757</v>
      </c>
      <c r="J1981" s="15" t="s">
        <v>28</v>
      </c>
      <c r="K1981" s="16" t="s">
        <v>29</v>
      </c>
      <c r="L1981" s="62"/>
      <c r="M1981" s="15"/>
      <c r="N1981" s="15" t="s">
        <v>31</v>
      </c>
      <c r="O1981" s="15"/>
      <c r="P1981" s="16" t="s">
        <v>32</v>
      </c>
      <c r="Q1981" s="17">
        <v>9299</v>
      </c>
      <c r="R1981" s="18">
        <v>45</v>
      </c>
      <c r="S1981" s="19">
        <v>5881.6174999999994</v>
      </c>
      <c r="T1981" s="20" t="s">
        <v>33</v>
      </c>
      <c r="U1981" s="21" t="s">
        <v>34</v>
      </c>
      <c r="V1981" s="22">
        <v>48</v>
      </c>
      <c r="W1981" s="22">
        <v>2</v>
      </c>
      <c r="X1981" s="23"/>
    </row>
    <row r="1982" spans="1:24" s="1" customFormat="1" ht="35" customHeight="1" x14ac:dyDescent="0.3">
      <c r="A1982" s="11" t="s">
        <v>23</v>
      </c>
      <c r="B1982" s="11" t="s">
        <v>1827</v>
      </c>
      <c r="C1982" s="12" t="s">
        <v>1828</v>
      </c>
      <c r="D1982" s="57"/>
      <c r="E1982" s="43" t="str">
        <f>HYPERLINK("https://www.google.ru/search?q=001FJ-0000&amp;newwindow=1&amp;tbm=isch","Еще фото")</f>
        <v>Еще фото</v>
      </c>
      <c r="F1982" s="34" t="s">
        <v>469</v>
      </c>
      <c r="G1982" s="11" t="s">
        <v>1350</v>
      </c>
      <c r="H1982" s="11" t="s">
        <v>27</v>
      </c>
      <c r="I1982" s="15" t="s">
        <v>1757</v>
      </c>
      <c r="J1982" s="15" t="s">
        <v>28</v>
      </c>
      <c r="K1982" s="16" t="s">
        <v>57</v>
      </c>
      <c r="L1982" s="60"/>
      <c r="M1982" s="15"/>
      <c r="N1982" s="15" t="s">
        <v>99</v>
      </c>
      <c r="O1982" s="15"/>
      <c r="P1982" s="16" t="s">
        <v>32</v>
      </c>
      <c r="Q1982" s="17">
        <v>16799</v>
      </c>
      <c r="R1982" s="18">
        <v>45</v>
      </c>
      <c r="S1982" s="19">
        <v>10625.3675</v>
      </c>
      <c r="T1982" s="20" t="s">
        <v>33</v>
      </c>
      <c r="U1982" s="21" t="s">
        <v>64</v>
      </c>
      <c r="V1982" s="22">
        <v>48</v>
      </c>
      <c r="W1982" s="22">
        <v>4</v>
      </c>
      <c r="X1982" s="23"/>
    </row>
    <row r="1983" spans="1:24" s="1" customFormat="1" ht="35" customHeight="1" x14ac:dyDescent="0.3">
      <c r="A1983" s="24" t="s">
        <v>23</v>
      </c>
      <c r="B1983" s="24" t="s">
        <v>1827</v>
      </c>
      <c r="C1983" s="12" t="s">
        <v>1828</v>
      </c>
      <c r="D1983" s="58"/>
      <c r="E1983" s="43" t="str">
        <f>HYPERLINK("https://www.google.ru/search?q=001FJ-0000&amp;newwindow=1&amp;tbm=isch","Еще фото")</f>
        <v>Еще фото</v>
      </c>
      <c r="F1983" s="34" t="s">
        <v>469</v>
      </c>
      <c r="G1983" s="24" t="s">
        <v>1350</v>
      </c>
      <c r="H1983" s="24" t="s">
        <v>27</v>
      </c>
      <c r="I1983" s="24" t="s">
        <v>1757</v>
      </c>
      <c r="J1983" s="15" t="s">
        <v>28</v>
      </c>
      <c r="K1983" s="16" t="s">
        <v>57</v>
      </c>
      <c r="L1983" s="61"/>
      <c r="M1983" s="15"/>
      <c r="N1983" s="15" t="s">
        <v>99</v>
      </c>
      <c r="O1983" s="15"/>
      <c r="P1983" s="16" t="s">
        <v>32</v>
      </c>
      <c r="Q1983" s="17">
        <v>16799</v>
      </c>
      <c r="R1983" s="18">
        <v>45</v>
      </c>
      <c r="S1983" s="19">
        <v>10625.3675</v>
      </c>
      <c r="T1983" s="20" t="s">
        <v>33</v>
      </c>
      <c r="U1983" s="21" t="s">
        <v>34</v>
      </c>
      <c r="V1983" s="25" t="s">
        <v>90</v>
      </c>
      <c r="W1983" s="22">
        <v>13</v>
      </c>
      <c r="X1983" s="23"/>
    </row>
    <row r="1984" spans="1:24" s="1" customFormat="1" ht="37.049999999999997" customHeight="1" x14ac:dyDescent="0.3">
      <c r="A1984" s="24" t="s">
        <v>23</v>
      </c>
      <c r="B1984" s="24" t="s">
        <v>1827</v>
      </c>
      <c r="C1984" s="12" t="s">
        <v>1828</v>
      </c>
      <c r="D1984" s="59"/>
      <c r="E1984" s="43" t="str">
        <f>HYPERLINK("https://www.google.ru/search?q=001FJ-0000&amp;newwindow=1&amp;tbm=isch","Еще фото")</f>
        <v>Еще фото</v>
      </c>
      <c r="F1984" s="34" t="s">
        <v>469</v>
      </c>
      <c r="G1984" s="24" t="s">
        <v>1350</v>
      </c>
      <c r="H1984" s="24" t="s">
        <v>27</v>
      </c>
      <c r="I1984" s="24" t="s">
        <v>1757</v>
      </c>
      <c r="J1984" s="15" t="s">
        <v>28</v>
      </c>
      <c r="K1984" s="16" t="s">
        <v>57</v>
      </c>
      <c r="L1984" s="62"/>
      <c r="M1984" s="15"/>
      <c r="N1984" s="15" t="s">
        <v>99</v>
      </c>
      <c r="O1984" s="15"/>
      <c r="P1984" s="16" t="s">
        <v>32</v>
      </c>
      <c r="Q1984" s="17">
        <v>16799</v>
      </c>
      <c r="R1984" s="18">
        <v>45</v>
      </c>
      <c r="S1984" s="19">
        <v>10625.3675</v>
      </c>
      <c r="T1984" s="20" t="s">
        <v>33</v>
      </c>
      <c r="U1984" s="21" t="s">
        <v>150</v>
      </c>
      <c r="V1984" s="25" t="s">
        <v>761</v>
      </c>
      <c r="W1984" s="22">
        <v>3</v>
      </c>
      <c r="X1984" s="23"/>
    </row>
    <row r="1985" spans="1:24" s="1" customFormat="1" ht="52.05" customHeight="1" x14ac:dyDescent="0.3">
      <c r="A1985" s="11" t="s">
        <v>23</v>
      </c>
      <c r="B1985" s="11" t="s">
        <v>1829</v>
      </c>
      <c r="C1985" s="12" t="s">
        <v>1830</v>
      </c>
      <c r="D1985" s="63"/>
      <c r="E1985" s="43" t="str">
        <f>HYPERLINK("https://www.google.ru/search?q=001FJ-0004&amp;newwindow=1&amp;tbm=isch","Еще фото")</f>
        <v>Еще фото</v>
      </c>
      <c r="F1985" s="34" t="s">
        <v>469</v>
      </c>
      <c r="G1985" s="11" t="s">
        <v>1350</v>
      </c>
      <c r="H1985" s="11" t="s">
        <v>27</v>
      </c>
      <c r="I1985" s="15" t="s">
        <v>1757</v>
      </c>
      <c r="J1985" s="15" t="s">
        <v>28</v>
      </c>
      <c r="K1985" s="16" t="s">
        <v>57</v>
      </c>
      <c r="L1985" s="60"/>
      <c r="M1985" s="15"/>
      <c r="N1985" s="15" t="s">
        <v>130</v>
      </c>
      <c r="O1985" s="15"/>
      <c r="P1985" s="16" t="s">
        <v>32</v>
      </c>
      <c r="Q1985" s="17">
        <v>16799</v>
      </c>
      <c r="R1985" s="18">
        <v>45</v>
      </c>
      <c r="S1985" s="19">
        <v>10625.3675</v>
      </c>
      <c r="T1985" s="20" t="s">
        <v>33</v>
      </c>
      <c r="U1985" s="21" t="s">
        <v>62</v>
      </c>
      <c r="V1985" s="22">
        <v>46</v>
      </c>
      <c r="W1985" s="22">
        <v>5</v>
      </c>
      <c r="X1985" s="23"/>
    </row>
    <row r="1986" spans="1:24" s="1" customFormat="1" ht="61.05" customHeight="1" x14ac:dyDescent="0.3">
      <c r="A1986" s="24" t="s">
        <v>23</v>
      </c>
      <c r="B1986" s="24" t="s">
        <v>1829</v>
      </c>
      <c r="C1986" s="12" t="s">
        <v>1830</v>
      </c>
      <c r="D1986" s="64"/>
      <c r="E1986" s="43" t="str">
        <f>HYPERLINK("https://www.google.ru/search?q=001FJ-0004&amp;newwindow=1&amp;tbm=isch","Еще фото")</f>
        <v>Еще фото</v>
      </c>
      <c r="F1986" s="34" t="s">
        <v>469</v>
      </c>
      <c r="G1986" s="24" t="s">
        <v>1350</v>
      </c>
      <c r="H1986" s="24" t="s">
        <v>27</v>
      </c>
      <c r="I1986" s="24" t="s">
        <v>1757</v>
      </c>
      <c r="J1986" s="15" t="s">
        <v>28</v>
      </c>
      <c r="K1986" s="16" t="s">
        <v>57</v>
      </c>
      <c r="L1986" s="62"/>
      <c r="M1986" s="15"/>
      <c r="N1986" s="15" t="s">
        <v>130</v>
      </c>
      <c r="O1986" s="15"/>
      <c r="P1986" s="16" t="s">
        <v>32</v>
      </c>
      <c r="Q1986" s="17">
        <v>16799</v>
      </c>
      <c r="R1986" s="18">
        <v>45</v>
      </c>
      <c r="S1986" s="19">
        <v>10625.3675</v>
      </c>
      <c r="T1986" s="20" t="s">
        <v>33</v>
      </c>
      <c r="U1986" s="21" t="s">
        <v>64</v>
      </c>
      <c r="V1986" s="22">
        <v>48</v>
      </c>
      <c r="W1986" s="22">
        <v>2</v>
      </c>
      <c r="X1986" s="23"/>
    </row>
    <row r="1987" spans="1:24" s="1" customFormat="1" ht="52.05" customHeight="1" x14ac:dyDescent="0.3">
      <c r="A1987" s="11" t="s">
        <v>23</v>
      </c>
      <c r="B1987" s="11" t="s">
        <v>1831</v>
      </c>
      <c r="C1987" s="12" t="s">
        <v>1832</v>
      </c>
      <c r="D1987" s="63"/>
      <c r="E1987" s="43" t="str">
        <f>HYPERLINK("https://www.google.ru/search?q=0046F-0002&amp;newwindow=1&amp;tbm=isch","Еще фото")</f>
        <v>Еще фото</v>
      </c>
      <c r="F1987" s="14"/>
      <c r="G1987" s="11" t="s">
        <v>1833</v>
      </c>
      <c r="H1987" s="11" t="s">
        <v>27</v>
      </c>
      <c r="I1987" s="15" t="s">
        <v>1757</v>
      </c>
      <c r="J1987" s="15" t="s">
        <v>37</v>
      </c>
      <c r="K1987" s="16" t="s">
        <v>29</v>
      </c>
      <c r="L1987" s="60" t="s">
        <v>1834</v>
      </c>
      <c r="M1987" s="15"/>
      <c r="N1987" s="15" t="s">
        <v>130</v>
      </c>
      <c r="O1987" s="15"/>
      <c r="P1987" s="16" t="s">
        <v>1835</v>
      </c>
      <c r="Q1987" s="17">
        <v>7899</v>
      </c>
      <c r="R1987" s="18">
        <v>45</v>
      </c>
      <c r="S1987" s="19">
        <v>4996.1174999999994</v>
      </c>
      <c r="T1987" s="20" t="s">
        <v>33</v>
      </c>
      <c r="U1987" s="21" t="s">
        <v>64</v>
      </c>
      <c r="V1987" s="22">
        <v>46</v>
      </c>
      <c r="W1987" s="22">
        <v>6</v>
      </c>
      <c r="X1987" s="23"/>
    </row>
    <row r="1988" spans="1:24" s="1" customFormat="1" ht="61.05" customHeight="1" x14ac:dyDescent="0.3">
      <c r="A1988" s="24" t="s">
        <v>23</v>
      </c>
      <c r="B1988" s="24" t="s">
        <v>1831</v>
      </c>
      <c r="C1988" s="12" t="s">
        <v>1832</v>
      </c>
      <c r="D1988" s="64"/>
      <c r="E1988" s="43" t="str">
        <f>HYPERLINK("https://www.google.ru/search?q=0046F-0002&amp;newwindow=1&amp;tbm=isch","Еще фото")</f>
        <v>Еще фото</v>
      </c>
      <c r="F1988" s="14"/>
      <c r="G1988" s="24" t="s">
        <v>1833</v>
      </c>
      <c r="H1988" s="24" t="s">
        <v>27</v>
      </c>
      <c r="I1988" s="24" t="s">
        <v>1757</v>
      </c>
      <c r="J1988" s="15" t="s">
        <v>37</v>
      </c>
      <c r="K1988" s="16" t="s">
        <v>29</v>
      </c>
      <c r="L1988" s="62"/>
      <c r="M1988" s="15"/>
      <c r="N1988" s="15" t="s">
        <v>130</v>
      </c>
      <c r="O1988" s="15"/>
      <c r="P1988" s="16" t="s">
        <v>1835</v>
      </c>
      <c r="Q1988" s="17">
        <v>7899</v>
      </c>
      <c r="R1988" s="18">
        <v>45</v>
      </c>
      <c r="S1988" s="19">
        <v>4996.1174999999994</v>
      </c>
      <c r="T1988" s="20" t="s">
        <v>33</v>
      </c>
      <c r="U1988" s="21" t="s">
        <v>34</v>
      </c>
      <c r="V1988" s="22">
        <v>48</v>
      </c>
      <c r="W1988" s="22">
        <v>6</v>
      </c>
      <c r="X1988" s="23"/>
    </row>
    <row r="1989" spans="1:24" s="1" customFormat="1" ht="35" customHeight="1" x14ac:dyDescent="0.3">
      <c r="A1989" s="11" t="s">
        <v>23</v>
      </c>
      <c r="B1989" s="11" t="s">
        <v>1831</v>
      </c>
      <c r="C1989" s="12" t="s">
        <v>1836</v>
      </c>
      <c r="D1989" s="57"/>
      <c r="E1989" s="43" t="str">
        <f>HYPERLINK("https://www.google.ru/search?q=0046F-0011&amp;newwindow=1&amp;tbm=isch","Еще фото")</f>
        <v>Еще фото</v>
      </c>
      <c r="F1989" s="14"/>
      <c r="G1989" s="11" t="s">
        <v>1779</v>
      </c>
      <c r="H1989" s="11" t="s">
        <v>27</v>
      </c>
      <c r="I1989" s="15" t="s">
        <v>1757</v>
      </c>
      <c r="J1989" s="15" t="s">
        <v>37</v>
      </c>
      <c r="K1989" s="16" t="s">
        <v>29</v>
      </c>
      <c r="L1989" s="60"/>
      <c r="M1989" s="15"/>
      <c r="N1989" s="15" t="s">
        <v>288</v>
      </c>
      <c r="O1989" s="15"/>
      <c r="P1989" s="16" t="s">
        <v>1837</v>
      </c>
      <c r="Q1989" s="17">
        <v>8499</v>
      </c>
      <c r="R1989" s="18">
        <v>45</v>
      </c>
      <c r="S1989" s="19">
        <v>5375.6174999999994</v>
      </c>
      <c r="T1989" s="20" t="s">
        <v>33</v>
      </c>
      <c r="U1989" s="21" t="s">
        <v>62</v>
      </c>
      <c r="V1989" s="22">
        <v>44</v>
      </c>
      <c r="W1989" s="22">
        <v>12</v>
      </c>
      <c r="X1989" s="23"/>
    </row>
    <row r="1990" spans="1:24" s="1" customFormat="1" ht="35" customHeight="1" x14ac:dyDescent="0.3">
      <c r="A1990" s="24" t="s">
        <v>23</v>
      </c>
      <c r="B1990" s="24" t="s">
        <v>1831</v>
      </c>
      <c r="C1990" s="12" t="s">
        <v>1836</v>
      </c>
      <c r="D1990" s="58"/>
      <c r="E1990" s="43" t="str">
        <f>HYPERLINK("https://www.google.ru/search?q=0046F-0011&amp;newwindow=1&amp;tbm=isch","Еще фото")</f>
        <v>Еще фото</v>
      </c>
      <c r="F1990" s="14"/>
      <c r="G1990" s="24" t="s">
        <v>1779</v>
      </c>
      <c r="H1990" s="24" t="s">
        <v>27</v>
      </c>
      <c r="I1990" s="24" t="s">
        <v>1757</v>
      </c>
      <c r="J1990" s="15" t="s">
        <v>37</v>
      </c>
      <c r="K1990" s="16" t="s">
        <v>29</v>
      </c>
      <c r="L1990" s="61"/>
      <c r="M1990" s="15"/>
      <c r="N1990" s="15" t="s">
        <v>288</v>
      </c>
      <c r="O1990" s="15"/>
      <c r="P1990" s="16" t="s">
        <v>1837</v>
      </c>
      <c r="Q1990" s="17">
        <v>8499</v>
      </c>
      <c r="R1990" s="18">
        <v>45</v>
      </c>
      <c r="S1990" s="19">
        <v>5375.6174999999994</v>
      </c>
      <c r="T1990" s="20" t="s">
        <v>33</v>
      </c>
      <c r="U1990" s="21" t="s">
        <v>64</v>
      </c>
      <c r="V1990" s="22">
        <v>46</v>
      </c>
      <c r="W1990" s="22">
        <v>18</v>
      </c>
      <c r="X1990" s="23"/>
    </row>
    <row r="1991" spans="1:24" s="1" customFormat="1" ht="37.049999999999997" customHeight="1" x14ac:dyDescent="0.3">
      <c r="A1991" s="24" t="s">
        <v>23</v>
      </c>
      <c r="B1991" s="24" t="s">
        <v>1831</v>
      </c>
      <c r="C1991" s="12" t="s">
        <v>1836</v>
      </c>
      <c r="D1991" s="59"/>
      <c r="E1991" s="43" t="str">
        <f>HYPERLINK("https://www.google.ru/search?q=0046F-0011&amp;newwindow=1&amp;tbm=isch","Еще фото")</f>
        <v>Еще фото</v>
      </c>
      <c r="F1991" s="14"/>
      <c r="G1991" s="24" t="s">
        <v>1779</v>
      </c>
      <c r="H1991" s="24" t="s">
        <v>27</v>
      </c>
      <c r="I1991" s="24" t="s">
        <v>1757</v>
      </c>
      <c r="J1991" s="15" t="s">
        <v>37</v>
      </c>
      <c r="K1991" s="16" t="s">
        <v>29</v>
      </c>
      <c r="L1991" s="62"/>
      <c r="M1991" s="15"/>
      <c r="N1991" s="15" t="s">
        <v>288</v>
      </c>
      <c r="O1991" s="15"/>
      <c r="P1991" s="16" t="s">
        <v>1837</v>
      </c>
      <c r="Q1991" s="17">
        <v>8499</v>
      </c>
      <c r="R1991" s="18">
        <v>45</v>
      </c>
      <c r="S1991" s="19">
        <v>5375.6174999999994</v>
      </c>
      <c r="T1991" s="20" t="s">
        <v>33</v>
      </c>
      <c r="U1991" s="21" t="s">
        <v>34</v>
      </c>
      <c r="V1991" s="22">
        <v>48</v>
      </c>
      <c r="W1991" s="22">
        <v>16</v>
      </c>
      <c r="X1991" s="23"/>
    </row>
    <row r="1992" spans="1:24" s="1" customFormat="1" ht="21" customHeight="1" x14ac:dyDescent="0.3">
      <c r="A1992" s="11" t="s">
        <v>23</v>
      </c>
      <c r="B1992" s="11" t="s">
        <v>1831</v>
      </c>
      <c r="C1992" s="30" t="s">
        <v>1838</v>
      </c>
      <c r="D1992" s="57"/>
      <c r="E1992" s="43" t="str">
        <f>HYPERLINK("https://www.google.ru/search?q=0046F-0012&amp;newwindow=1&amp;tbm=isch","Еще фото")</f>
        <v>Еще фото</v>
      </c>
      <c r="F1992" s="14"/>
      <c r="G1992" s="11" t="s">
        <v>1779</v>
      </c>
      <c r="H1992" s="11" t="s">
        <v>27</v>
      </c>
      <c r="I1992" s="15" t="s">
        <v>1757</v>
      </c>
      <c r="J1992" s="15" t="s">
        <v>37</v>
      </c>
      <c r="K1992" s="16" t="s">
        <v>29</v>
      </c>
      <c r="L1992" s="60"/>
      <c r="M1992" s="15"/>
      <c r="N1992" s="15" t="s">
        <v>156</v>
      </c>
      <c r="O1992" s="15"/>
      <c r="P1992" s="16" t="s">
        <v>1837</v>
      </c>
      <c r="Q1992" s="17">
        <v>8499</v>
      </c>
      <c r="R1992" s="18">
        <v>45</v>
      </c>
      <c r="S1992" s="19">
        <v>5375.6174999999994</v>
      </c>
      <c r="T1992" s="20" t="s">
        <v>33</v>
      </c>
      <c r="U1992" s="21" t="s">
        <v>61</v>
      </c>
      <c r="V1992" s="22">
        <v>42</v>
      </c>
      <c r="W1992" s="22">
        <v>6</v>
      </c>
      <c r="X1992" s="23"/>
    </row>
    <row r="1993" spans="1:24" s="1" customFormat="1" ht="21" customHeight="1" x14ac:dyDescent="0.3">
      <c r="A1993" s="24" t="s">
        <v>23</v>
      </c>
      <c r="B1993" s="24" t="s">
        <v>1831</v>
      </c>
      <c r="C1993" s="31" t="s">
        <v>1838</v>
      </c>
      <c r="D1993" s="58"/>
      <c r="E1993" s="43" t="str">
        <f>HYPERLINK("https://www.google.ru/search?q=0046F-0012&amp;newwindow=1&amp;tbm=isch","Еще фото")</f>
        <v>Еще фото</v>
      </c>
      <c r="F1993" s="14"/>
      <c r="G1993" s="24" t="s">
        <v>1779</v>
      </c>
      <c r="H1993" s="24" t="s">
        <v>27</v>
      </c>
      <c r="I1993" s="24" t="s">
        <v>1757</v>
      </c>
      <c r="J1993" s="15" t="s">
        <v>37</v>
      </c>
      <c r="K1993" s="16" t="s">
        <v>29</v>
      </c>
      <c r="L1993" s="61"/>
      <c r="M1993" s="15"/>
      <c r="N1993" s="15" t="s">
        <v>156</v>
      </c>
      <c r="O1993" s="15"/>
      <c r="P1993" s="16" t="s">
        <v>1837</v>
      </c>
      <c r="Q1993" s="17">
        <v>8499</v>
      </c>
      <c r="R1993" s="18">
        <v>45</v>
      </c>
      <c r="S1993" s="19">
        <v>5375.6174999999994</v>
      </c>
      <c r="T1993" s="20" t="s">
        <v>33</v>
      </c>
      <c r="U1993" s="21" t="s">
        <v>62</v>
      </c>
      <c r="V1993" s="22">
        <v>44</v>
      </c>
      <c r="W1993" s="22">
        <v>12</v>
      </c>
      <c r="X1993" s="23"/>
    </row>
    <row r="1994" spans="1:24" s="1" customFormat="1" ht="21" customHeight="1" x14ac:dyDescent="0.3">
      <c r="A1994" s="24" t="s">
        <v>23</v>
      </c>
      <c r="B1994" s="24" t="s">
        <v>1831</v>
      </c>
      <c r="C1994" s="31" t="s">
        <v>1838</v>
      </c>
      <c r="D1994" s="58"/>
      <c r="E1994" s="43" t="str">
        <f>HYPERLINK("https://www.google.ru/search?q=0046F-0012&amp;newwindow=1&amp;tbm=isch","Еще фото")</f>
        <v>Еще фото</v>
      </c>
      <c r="F1994" s="14"/>
      <c r="G1994" s="24" t="s">
        <v>1779</v>
      </c>
      <c r="H1994" s="24" t="s">
        <v>27</v>
      </c>
      <c r="I1994" s="24" t="s">
        <v>1757</v>
      </c>
      <c r="J1994" s="15" t="s">
        <v>37</v>
      </c>
      <c r="K1994" s="16" t="s">
        <v>29</v>
      </c>
      <c r="L1994" s="61"/>
      <c r="M1994" s="15"/>
      <c r="N1994" s="15" t="s">
        <v>156</v>
      </c>
      <c r="O1994" s="15"/>
      <c r="P1994" s="16" t="s">
        <v>1837</v>
      </c>
      <c r="Q1994" s="17">
        <v>8499</v>
      </c>
      <c r="R1994" s="18">
        <v>45</v>
      </c>
      <c r="S1994" s="19">
        <v>5375.6174999999994</v>
      </c>
      <c r="T1994" s="20" t="s">
        <v>33</v>
      </c>
      <c r="U1994" s="21" t="s">
        <v>64</v>
      </c>
      <c r="V1994" s="22">
        <v>46</v>
      </c>
      <c r="W1994" s="22">
        <v>20</v>
      </c>
      <c r="X1994" s="23"/>
    </row>
    <row r="1995" spans="1:24" s="1" customFormat="1" ht="21" customHeight="1" x14ac:dyDescent="0.3">
      <c r="A1995" s="24" t="s">
        <v>23</v>
      </c>
      <c r="B1995" s="24" t="s">
        <v>1831</v>
      </c>
      <c r="C1995" s="31" t="s">
        <v>1838</v>
      </c>
      <c r="D1995" s="58"/>
      <c r="E1995" s="43" t="str">
        <f>HYPERLINK("https://www.google.ru/search?q=0046F-0012&amp;newwindow=1&amp;tbm=isch","Еще фото")</f>
        <v>Еще фото</v>
      </c>
      <c r="F1995" s="14"/>
      <c r="G1995" s="24" t="s">
        <v>1779</v>
      </c>
      <c r="H1995" s="24" t="s">
        <v>27</v>
      </c>
      <c r="I1995" s="24" t="s">
        <v>1757</v>
      </c>
      <c r="J1995" s="15" t="s">
        <v>37</v>
      </c>
      <c r="K1995" s="16" t="s">
        <v>29</v>
      </c>
      <c r="L1995" s="61"/>
      <c r="M1995" s="15"/>
      <c r="N1995" s="15" t="s">
        <v>156</v>
      </c>
      <c r="O1995" s="15"/>
      <c r="P1995" s="16" t="s">
        <v>1837</v>
      </c>
      <c r="Q1995" s="17">
        <v>8499</v>
      </c>
      <c r="R1995" s="18">
        <v>45</v>
      </c>
      <c r="S1995" s="19">
        <v>5375.6174999999994</v>
      </c>
      <c r="T1995" s="20" t="s">
        <v>33</v>
      </c>
      <c r="U1995" s="21" t="s">
        <v>34</v>
      </c>
      <c r="V1995" s="22">
        <v>48</v>
      </c>
      <c r="W1995" s="22">
        <v>12</v>
      </c>
      <c r="X1995" s="23"/>
    </row>
    <row r="1996" spans="1:24" s="1" customFormat="1" ht="32" customHeight="1" x14ac:dyDescent="0.3">
      <c r="A1996" s="24" t="s">
        <v>23</v>
      </c>
      <c r="B1996" s="24" t="s">
        <v>1831</v>
      </c>
      <c r="C1996" s="31" t="s">
        <v>1838</v>
      </c>
      <c r="D1996" s="59"/>
      <c r="E1996" s="43" t="str">
        <f>HYPERLINK("https://www.google.ru/search?q=0046F-0012&amp;newwindow=1&amp;tbm=isch","Еще фото")</f>
        <v>Еще фото</v>
      </c>
      <c r="F1996" s="14"/>
      <c r="G1996" s="24" t="s">
        <v>1779</v>
      </c>
      <c r="H1996" s="24" t="s">
        <v>27</v>
      </c>
      <c r="I1996" s="24" t="s">
        <v>1757</v>
      </c>
      <c r="J1996" s="15" t="s">
        <v>37</v>
      </c>
      <c r="K1996" s="16" t="s">
        <v>29</v>
      </c>
      <c r="L1996" s="62"/>
      <c r="M1996" s="15"/>
      <c r="N1996" s="15" t="s">
        <v>156</v>
      </c>
      <c r="O1996" s="15"/>
      <c r="P1996" s="16" t="s">
        <v>1837</v>
      </c>
      <c r="Q1996" s="17">
        <v>8499</v>
      </c>
      <c r="R1996" s="18">
        <v>45</v>
      </c>
      <c r="S1996" s="19">
        <v>5375.6174999999994</v>
      </c>
      <c r="T1996" s="20" t="s">
        <v>33</v>
      </c>
      <c r="U1996" s="21" t="s">
        <v>150</v>
      </c>
      <c r="V1996" s="25" t="s">
        <v>90</v>
      </c>
      <c r="W1996" s="22">
        <v>7</v>
      </c>
      <c r="X1996" s="23"/>
    </row>
    <row r="1997" spans="1:24" s="1" customFormat="1" ht="26" customHeight="1" x14ac:dyDescent="0.3">
      <c r="A1997" s="11" t="s">
        <v>23</v>
      </c>
      <c r="B1997" s="11" t="s">
        <v>1831</v>
      </c>
      <c r="C1997" s="12" t="s">
        <v>1839</v>
      </c>
      <c r="D1997" s="57"/>
      <c r="E1997" s="43" t="str">
        <f>HYPERLINK("https://www.google.ru/search?q=0046F-0013&amp;newwindow=1&amp;tbm=isch","Еще фото")</f>
        <v>Еще фото</v>
      </c>
      <c r="F1997" s="14"/>
      <c r="G1997" s="11" t="s">
        <v>1779</v>
      </c>
      <c r="H1997" s="11" t="s">
        <v>27</v>
      </c>
      <c r="I1997" s="15" t="s">
        <v>1757</v>
      </c>
      <c r="J1997" s="15" t="s">
        <v>37</v>
      </c>
      <c r="K1997" s="16" t="s">
        <v>29</v>
      </c>
      <c r="L1997" s="60"/>
      <c r="M1997" s="15"/>
      <c r="N1997" s="15" t="s">
        <v>138</v>
      </c>
      <c r="O1997" s="15"/>
      <c r="P1997" s="16" t="s">
        <v>1837</v>
      </c>
      <c r="Q1997" s="17">
        <v>8499</v>
      </c>
      <c r="R1997" s="18">
        <v>45</v>
      </c>
      <c r="S1997" s="19">
        <v>5375.6174999999994</v>
      </c>
      <c r="T1997" s="20" t="s">
        <v>33</v>
      </c>
      <c r="U1997" s="21" t="s">
        <v>61</v>
      </c>
      <c r="V1997" s="22">
        <v>42</v>
      </c>
      <c r="W1997" s="22">
        <v>3</v>
      </c>
      <c r="X1997" s="23"/>
    </row>
    <row r="1998" spans="1:24" s="1" customFormat="1" ht="26" customHeight="1" x14ac:dyDescent="0.3">
      <c r="A1998" s="24" t="s">
        <v>23</v>
      </c>
      <c r="B1998" s="24" t="s">
        <v>1831</v>
      </c>
      <c r="C1998" s="12" t="s">
        <v>1839</v>
      </c>
      <c r="D1998" s="58"/>
      <c r="E1998" s="43" t="str">
        <f>HYPERLINK("https://www.google.ru/search?q=0046F-0013&amp;newwindow=1&amp;tbm=isch","Еще фото")</f>
        <v>Еще фото</v>
      </c>
      <c r="F1998" s="14"/>
      <c r="G1998" s="24" t="s">
        <v>1779</v>
      </c>
      <c r="H1998" s="24" t="s">
        <v>27</v>
      </c>
      <c r="I1998" s="24" t="s">
        <v>1757</v>
      </c>
      <c r="J1998" s="15" t="s">
        <v>37</v>
      </c>
      <c r="K1998" s="16" t="s">
        <v>29</v>
      </c>
      <c r="L1998" s="61"/>
      <c r="M1998" s="15"/>
      <c r="N1998" s="15" t="s">
        <v>138</v>
      </c>
      <c r="O1998" s="15"/>
      <c r="P1998" s="16" t="s">
        <v>1837</v>
      </c>
      <c r="Q1998" s="17">
        <v>8499</v>
      </c>
      <c r="R1998" s="18">
        <v>45</v>
      </c>
      <c r="S1998" s="19">
        <v>5375.6174999999994</v>
      </c>
      <c r="T1998" s="20" t="s">
        <v>33</v>
      </c>
      <c r="U1998" s="21" t="s">
        <v>62</v>
      </c>
      <c r="V1998" s="22">
        <v>44</v>
      </c>
      <c r="W1998" s="22">
        <v>10</v>
      </c>
      <c r="X1998" s="23"/>
    </row>
    <row r="1999" spans="1:24" s="1" customFormat="1" ht="26" customHeight="1" x14ac:dyDescent="0.3">
      <c r="A1999" s="24" t="s">
        <v>23</v>
      </c>
      <c r="B1999" s="24" t="s">
        <v>1831</v>
      </c>
      <c r="C1999" s="12" t="s">
        <v>1839</v>
      </c>
      <c r="D1999" s="58"/>
      <c r="E1999" s="43" t="str">
        <f>HYPERLINK("https://www.google.ru/search?q=0046F-0013&amp;newwindow=1&amp;tbm=isch","Еще фото")</f>
        <v>Еще фото</v>
      </c>
      <c r="F1999" s="14"/>
      <c r="G1999" s="24" t="s">
        <v>1779</v>
      </c>
      <c r="H1999" s="24" t="s">
        <v>27</v>
      </c>
      <c r="I1999" s="24" t="s">
        <v>1757</v>
      </c>
      <c r="J1999" s="15" t="s">
        <v>37</v>
      </c>
      <c r="K1999" s="16" t="s">
        <v>29</v>
      </c>
      <c r="L1999" s="61"/>
      <c r="M1999" s="15"/>
      <c r="N1999" s="15" t="s">
        <v>138</v>
      </c>
      <c r="O1999" s="15"/>
      <c r="P1999" s="16" t="s">
        <v>1837</v>
      </c>
      <c r="Q1999" s="17">
        <v>8499</v>
      </c>
      <c r="R1999" s="18">
        <v>45</v>
      </c>
      <c r="S1999" s="19">
        <v>5375.6174999999994</v>
      </c>
      <c r="T1999" s="20" t="s">
        <v>33</v>
      </c>
      <c r="U1999" s="21" t="s">
        <v>64</v>
      </c>
      <c r="V1999" s="22">
        <v>46</v>
      </c>
      <c r="W1999" s="22">
        <v>18</v>
      </c>
      <c r="X1999" s="23"/>
    </row>
    <row r="2000" spans="1:24" s="1" customFormat="1" ht="26" customHeight="1" x14ac:dyDescent="0.3">
      <c r="A2000" s="24" t="s">
        <v>23</v>
      </c>
      <c r="B2000" s="24" t="s">
        <v>1831</v>
      </c>
      <c r="C2000" s="12" t="s">
        <v>1839</v>
      </c>
      <c r="D2000" s="59"/>
      <c r="E2000" s="43" t="str">
        <f>HYPERLINK("https://www.google.ru/search?q=0046F-0013&amp;newwindow=1&amp;tbm=isch","Еще фото")</f>
        <v>Еще фото</v>
      </c>
      <c r="F2000" s="14"/>
      <c r="G2000" s="24" t="s">
        <v>1779</v>
      </c>
      <c r="H2000" s="24" t="s">
        <v>27</v>
      </c>
      <c r="I2000" s="24" t="s">
        <v>1757</v>
      </c>
      <c r="J2000" s="15" t="s">
        <v>37</v>
      </c>
      <c r="K2000" s="16" t="s">
        <v>29</v>
      </c>
      <c r="L2000" s="62"/>
      <c r="M2000" s="15"/>
      <c r="N2000" s="15" t="s">
        <v>138</v>
      </c>
      <c r="O2000" s="15"/>
      <c r="P2000" s="16" t="s">
        <v>1837</v>
      </c>
      <c r="Q2000" s="17">
        <v>8499</v>
      </c>
      <c r="R2000" s="18">
        <v>45</v>
      </c>
      <c r="S2000" s="19">
        <v>5375.6174999999994</v>
      </c>
      <c r="T2000" s="20" t="s">
        <v>33</v>
      </c>
      <c r="U2000" s="21" t="s">
        <v>34</v>
      </c>
      <c r="V2000" s="22">
        <v>48</v>
      </c>
      <c r="W2000" s="22">
        <v>10</v>
      </c>
      <c r="X2000" s="23"/>
    </row>
    <row r="2001" spans="1:24" s="1" customFormat="1" ht="108" customHeight="1" x14ac:dyDescent="0.3">
      <c r="A2001" s="11" t="s">
        <v>23</v>
      </c>
      <c r="B2001" s="11" t="s">
        <v>1840</v>
      </c>
      <c r="C2001" s="12" t="s">
        <v>1841</v>
      </c>
      <c r="D2001" s="13"/>
      <c r="E2001" s="43" t="str">
        <f>HYPERLINK("https://www.google.ru/search?q=005AF-0003&amp;newwindow=1&amp;tbm=isch","Еще фото")</f>
        <v>Еще фото</v>
      </c>
      <c r="F2001" s="14"/>
      <c r="G2001" s="11" t="s">
        <v>1463</v>
      </c>
      <c r="H2001" s="11" t="s">
        <v>27</v>
      </c>
      <c r="I2001" s="15" t="s">
        <v>1757</v>
      </c>
      <c r="J2001" s="15" t="s">
        <v>37</v>
      </c>
      <c r="K2001" s="16" t="s">
        <v>57</v>
      </c>
      <c r="L2001" s="15"/>
      <c r="M2001" s="15"/>
      <c r="N2001" s="15" t="s">
        <v>130</v>
      </c>
      <c r="O2001" s="15"/>
      <c r="P2001" s="16" t="s">
        <v>172</v>
      </c>
      <c r="Q2001" s="17">
        <v>11599</v>
      </c>
      <c r="R2001" s="18">
        <v>45</v>
      </c>
      <c r="S2001" s="19">
        <v>7336.3674999999994</v>
      </c>
      <c r="T2001" s="20" t="s">
        <v>33</v>
      </c>
      <c r="U2001" s="21" t="s">
        <v>150</v>
      </c>
      <c r="V2001" s="25" t="s">
        <v>761</v>
      </c>
      <c r="W2001" s="22">
        <v>1</v>
      </c>
      <c r="X2001" s="23"/>
    </row>
    <row r="2002" spans="1:24" s="1" customFormat="1" ht="108" customHeight="1" x14ac:dyDescent="0.3">
      <c r="A2002" s="11" t="s">
        <v>23</v>
      </c>
      <c r="B2002" s="11" t="s">
        <v>1842</v>
      </c>
      <c r="C2002" s="12" t="s">
        <v>1843</v>
      </c>
      <c r="D2002" s="13"/>
      <c r="E2002" s="43" t="str">
        <f>HYPERLINK("https://www.google.ru/search?q=005PJ-0002&amp;newwindow=1&amp;tbm=isch","Еще фото")</f>
        <v>Еще фото</v>
      </c>
      <c r="F2002" s="14"/>
      <c r="G2002" s="11" t="s">
        <v>1775</v>
      </c>
      <c r="H2002" s="11" t="s">
        <v>27</v>
      </c>
      <c r="I2002" s="15" t="s">
        <v>1757</v>
      </c>
      <c r="J2002" s="15" t="s">
        <v>37</v>
      </c>
      <c r="K2002" s="16" t="s">
        <v>57</v>
      </c>
      <c r="L2002" s="15"/>
      <c r="M2002" s="15"/>
      <c r="N2002" s="15" t="s">
        <v>31</v>
      </c>
      <c r="O2002" s="15"/>
      <c r="P2002" s="16" t="s">
        <v>32</v>
      </c>
      <c r="Q2002" s="17">
        <v>9499</v>
      </c>
      <c r="R2002" s="18">
        <v>45</v>
      </c>
      <c r="S2002" s="19">
        <v>6008.1174999999994</v>
      </c>
      <c r="T2002" s="20" t="s">
        <v>33</v>
      </c>
      <c r="U2002" s="21" t="s">
        <v>34</v>
      </c>
      <c r="V2002" s="25" t="s">
        <v>90</v>
      </c>
      <c r="W2002" s="22">
        <v>1</v>
      </c>
      <c r="X2002" s="23"/>
    </row>
    <row r="2003" spans="1:24" s="1" customFormat="1" ht="52.05" customHeight="1" x14ac:dyDescent="0.3">
      <c r="A2003" s="11" t="s">
        <v>23</v>
      </c>
      <c r="B2003" s="11" t="s">
        <v>1844</v>
      </c>
      <c r="C2003" s="12" t="s">
        <v>1845</v>
      </c>
      <c r="D2003" s="63"/>
      <c r="E2003" s="43" t="str">
        <f>HYPERLINK("https://www.google.ru/search?q=005PK-0003&amp;newwindow=1&amp;tbm=isch","Еще фото")</f>
        <v>Еще фото</v>
      </c>
      <c r="F2003" s="14"/>
      <c r="G2003" s="11" t="s">
        <v>1775</v>
      </c>
      <c r="H2003" s="11" t="s">
        <v>27</v>
      </c>
      <c r="I2003" s="15" t="s">
        <v>1757</v>
      </c>
      <c r="J2003" s="15" t="s">
        <v>37</v>
      </c>
      <c r="K2003" s="16" t="s">
        <v>57</v>
      </c>
      <c r="L2003" s="60"/>
      <c r="M2003" s="15"/>
      <c r="N2003" s="15" t="s">
        <v>130</v>
      </c>
      <c r="O2003" s="15"/>
      <c r="P2003" s="16" t="s">
        <v>32</v>
      </c>
      <c r="Q2003" s="17">
        <v>7499</v>
      </c>
      <c r="R2003" s="18">
        <v>45</v>
      </c>
      <c r="S2003" s="19">
        <v>4743.1174999999994</v>
      </c>
      <c r="T2003" s="20" t="s">
        <v>33</v>
      </c>
      <c r="U2003" s="21" t="s">
        <v>34</v>
      </c>
      <c r="V2003" s="25" t="s">
        <v>90</v>
      </c>
      <c r="W2003" s="22">
        <v>1</v>
      </c>
      <c r="X2003" s="23"/>
    </row>
    <row r="2004" spans="1:24" s="1" customFormat="1" ht="61.05" customHeight="1" x14ac:dyDescent="0.3">
      <c r="A2004" s="24" t="s">
        <v>23</v>
      </c>
      <c r="B2004" s="24" t="s">
        <v>1844</v>
      </c>
      <c r="C2004" s="12" t="s">
        <v>1845</v>
      </c>
      <c r="D2004" s="64"/>
      <c r="E2004" s="43" t="str">
        <f>HYPERLINK("https://www.google.ru/search?q=005PK-0003&amp;newwindow=1&amp;tbm=isch","Еще фото")</f>
        <v>Еще фото</v>
      </c>
      <c r="F2004" s="14"/>
      <c r="G2004" s="24" t="s">
        <v>1775</v>
      </c>
      <c r="H2004" s="24" t="s">
        <v>27</v>
      </c>
      <c r="I2004" s="24" t="s">
        <v>1757</v>
      </c>
      <c r="J2004" s="15" t="s">
        <v>37</v>
      </c>
      <c r="K2004" s="16" t="s">
        <v>57</v>
      </c>
      <c r="L2004" s="62"/>
      <c r="M2004" s="15"/>
      <c r="N2004" s="15" t="s">
        <v>130</v>
      </c>
      <c r="O2004" s="15"/>
      <c r="P2004" s="16" t="s">
        <v>32</v>
      </c>
      <c r="Q2004" s="17">
        <v>7499</v>
      </c>
      <c r="R2004" s="18">
        <v>45</v>
      </c>
      <c r="S2004" s="19">
        <v>4743.1174999999994</v>
      </c>
      <c r="T2004" s="20" t="s">
        <v>33</v>
      </c>
      <c r="U2004" s="21" t="s">
        <v>150</v>
      </c>
      <c r="V2004" s="25" t="s">
        <v>761</v>
      </c>
      <c r="W2004" s="22">
        <v>1</v>
      </c>
      <c r="X2004" s="23"/>
    </row>
    <row r="2005" spans="1:24" s="1" customFormat="1" ht="35" customHeight="1" x14ac:dyDescent="0.3">
      <c r="A2005" s="11" t="s">
        <v>23</v>
      </c>
      <c r="B2005" s="11" t="s">
        <v>1846</v>
      </c>
      <c r="C2005" s="12" t="s">
        <v>1847</v>
      </c>
      <c r="D2005" s="57"/>
      <c r="E2005" s="43" t="str">
        <f>HYPERLINK("https://www.google.ru/search?q=0060R-0000&amp;newwindow=1&amp;tbm=isch","Еще фото")</f>
        <v>Еще фото</v>
      </c>
      <c r="F2005" s="14"/>
      <c r="G2005" s="11" t="s">
        <v>1756</v>
      </c>
      <c r="H2005" s="11" t="s">
        <v>27</v>
      </c>
      <c r="I2005" s="15" t="s">
        <v>1757</v>
      </c>
      <c r="J2005" s="15" t="s">
        <v>37</v>
      </c>
      <c r="K2005" s="16" t="s">
        <v>57</v>
      </c>
      <c r="L2005" s="60" t="s">
        <v>1848</v>
      </c>
      <c r="M2005" s="15"/>
      <c r="N2005" s="15" t="s">
        <v>130</v>
      </c>
      <c r="O2005" s="15"/>
      <c r="P2005" s="16" t="s">
        <v>60</v>
      </c>
      <c r="Q2005" s="17">
        <v>12799</v>
      </c>
      <c r="R2005" s="18">
        <v>45</v>
      </c>
      <c r="S2005" s="19">
        <v>8095.3674999999994</v>
      </c>
      <c r="T2005" s="20" t="s">
        <v>33</v>
      </c>
      <c r="U2005" s="21" t="s">
        <v>62</v>
      </c>
      <c r="V2005" s="22">
        <v>46</v>
      </c>
      <c r="W2005" s="22">
        <v>1</v>
      </c>
      <c r="X2005" s="23"/>
    </row>
    <row r="2006" spans="1:24" s="1" customFormat="1" ht="35" customHeight="1" x14ac:dyDescent="0.3">
      <c r="A2006" s="24" t="s">
        <v>23</v>
      </c>
      <c r="B2006" s="24" t="s">
        <v>1846</v>
      </c>
      <c r="C2006" s="12" t="s">
        <v>1847</v>
      </c>
      <c r="D2006" s="58"/>
      <c r="E2006" s="43" t="str">
        <f>HYPERLINK("https://www.google.ru/search?q=0060R-0000&amp;newwindow=1&amp;tbm=isch","Еще фото")</f>
        <v>Еще фото</v>
      </c>
      <c r="F2006" s="14"/>
      <c r="G2006" s="24" t="s">
        <v>1756</v>
      </c>
      <c r="H2006" s="24" t="s">
        <v>27</v>
      </c>
      <c r="I2006" s="24" t="s">
        <v>1757</v>
      </c>
      <c r="J2006" s="15" t="s">
        <v>37</v>
      </c>
      <c r="K2006" s="16" t="s">
        <v>57</v>
      </c>
      <c r="L2006" s="61"/>
      <c r="M2006" s="15"/>
      <c r="N2006" s="15" t="s">
        <v>130</v>
      </c>
      <c r="O2006" s="15"/>
      <c r="P2006" s="16" t="s">
        <v>60</v>
      </c>
      <c r="Q2006" s="17">
        <v>12799</v>
      </c>
      <c r="R2006" s="18">
        <v>45</v>
      </c>
      <c r="S2006" s="19">
        <v>8095.3674999999994</v>
      </c>
      <c r="T2006" s="20" t="s">
        <v>33</v>
      </c>
      <c r="U2006" s="21" t="s">
        <v>64</v>
      </c>
      <c r="V2006" s="22">
        <v>48</v>
      </c>
      <c r="W2006" s="22">
        <v>1</v>
      </c>
      <c r="X2006" s="23"/>
    </row>
    <row r="2007" spans="1:24" s="1" customFormat="1" ht="37.049999999999997" customHeight="1" x14ac:dyDescent="0.3">
      <c r="A2007" s="24" t="s">
        <v>23</v>
      </c>
      <c r="B2007" s="24" t="s">
        <v>1846</v>
      </c>
      <c r="C2007" s="12" t="s">
        <v>1847</v>
      </c>
      <c r="D2007" s="59"/>
      <c r="E2007" s="43" t="str">
        <f>HYPERLINK("https://www.google.ru/search?q=0060R-0000&amp;newwindow=1&amp;tbm=isch","Еще фото")</f>
        <v>Еще фото</v>
      </c>
      <c r="F2007" s="14"/>
      <c r="G2007" s="24" t="s">
        <v>1756</v>
      </c>
      <c r="H2007" s="24" t="s">
        <v>27</v>
      </c>
      <c r="I2007" s="24" t="s">
        <v>1757</v>
      </c>
      <c r="J2007" s="15" t="s">
        <v>37</v>
      </c>
      <c r="K2007" s="16" t="s">
        <v>57</v>
      </c>
      <c r="L2007" s="62"/>
      <c r="M2007" s="15"/>
      <c r="N2007" s="15" t="s">
        <v>130</v>
      </c>
      <c r="O2007" s="15"/>
      <c r="P2007" s="16" t="s">
        <v>60</v>
      </c>
      <c r="Q2007" s="17">
        <v>12799</v>
      </c>
      <c r="R2007" s="18">
        <v>45</v>
      </c>
      <c r="S2007" s="19">
        <v>8095.3674999999994</v>
      </c>
      <c r="T2007" s="20" t="s">
        <v>33</v>
      </c>
      <c r="U2007" s="21" t="s">
        <v>150</v>
      </c>
      <c r="V2007" s="25" t="s">
        <v>761</v>
      </c>
      <c r="W2007" s="22">
        <v>1</v>
      </c>
      <c r="X2007" s="23"/>
    </row>
    <row r="2008" spans="1:24" s="1" customFormat="1" ht="52.05" customHeight="1" x14ac:dyDescent="0.3">
      <c r="A2008" s="11" t="s">
        <v>23</v>
      </c>
      <c r="B2008" s="11" t="s">
        <v>1846</v>
      </c>
      <c r="C2008" s="12" t="s">
        <v>1849</v>
      </c>
      <c r="D2008" s="63"/>
      <c r="E2008" s="43" t="str">
        <f>HYPERLINK("https://www.google.ru/search?q=0060R-0001&amp;newwindow=1&amp;tbm=isch","Еще фото")</f>
        <v>Еще фото</v>
      </c>
      <c r="F2008" s="14"/>
      <c r="G2008" s="11" t="s">
        <v>1756</v>
      </c>
      <c r="H2008" s="11" t="s">
        <v>27</v>
      </c>
      <c r="I2008" s="15" t="s">
        <v>1757</v>
      </c>
      <c r="J2008" s="15" t="s">
        <v>37</v>
      </c>
      <c r="K2008" s="16" t="s">
        <v>57</v>
      </c>
      <c r="L2008" s="60" t="s">
        <v>1848</v>
      </c>
      <c r="M2008" s="15"/>
      <c r="N2008" s="15" t="s">
        <v>99</v>
      </c>
      <c r="O2008" s="15"/>
      <c r="P2008" s="16" t="s">
        <v>60</v>
      </c>
      <c r="Q2008" s="17">
        <v>12799</v>
      </c>
      <c r="R2008" s="18">
        <v>45</v>
      </c>
      <c r="S2008" s="19">
        <v>8095.3674999999994</v>
      </c>
      <c r="T2008" s="20" t="s">
        <v>33</v>
      </c>
      <c r="U2008" s="21" t="s">
        <v>64</v>
      </c>
      <c r="V2008" s="22">
        <v>48</v>
      </c>
      <c r="W2008" s="22">
        <v>1</v>
      </c>
      <c r="X2008" s="23"/>
    </row>
    <row r="2009" spans="1:24" s="1" customFormat="1" ht="61.05" customHeight="1" x14ac:dyDescent="0.3">
      <c r="A2009" s="24" t="s">
        <v>23</v>
      </c>
      <c r="B2009" s="24" t="s">
        <v>1846</v>
      </c>
      <c r="C2009" s="12" t="s">
        <v>1849</v>
      </c>
      <c r="D2009" s="64"/>
      <c r="E2009" s="43" t="str">
        <f>HYPERLINK("https://www.google.ru/search?q=0060R-0001&amp;newwindow=1&amp;tbm=isch","Еще фото")</f>
        <v>Еще фото</v>
      </c>
      <c r="F2009" s="14"/>
      <c r="G2009" s="24" t="s">
        <v>1756</v>
      </c>
      <c r="H2009" s="24" t="s">
        <v>27</v>
      </c>
      <c r="I2009" s="24" t="s">
        <v>1757</v>
      </c>
      <c r="J2009" s="15" t="s">
        <v>37</v>
      </c>
      <c r="K2009" s="16" t="s">
        <v>57</v>
      </c>
      <c r="L2009" s="62"/>
      <c r="M2009" s="15"/>
      <c r="N2009" s="15" t="s">
        <v>99</v>
      </c>
      <c r="O2009" s="15"/>
      <c r="P2009" s="16" t="s">
        <v>60</v>
      </c>
      <c r="Q2009" s="17">
        <v>12799</v>
      </c>
      <c r="R2009" s="18">
        <v>45</v>
      </c>
      <c r="S2009" s="19">
        <v>8095.3674999999994</v>
      </c>
      <c r="T2009" s="20" t="s">
        <v>33</v>
      </c>
      <c r="U2009" s="21" t="s">
        <v>34</v>
      </c>
      <c r="V2009" s="25" t="s">
        <v>90</v>
      </c>
      <c r="W2009" s="22">
        <v>3</v>
      </c>
      <c r="X2009" s="23"/>
    </row>
    <row r="2010" spans="1:24" s="1" customFormat="1" ht="26" customHeight="1" x14ac:dyDescent="0.3">
      <c r="A2010" s="11" t="s">
        <v>23</v>
      </c>
      <c r="B2010" s="11" t="s">
        <v>1846</v>
      </c>
      <c r="C2010" s="12" t="s">
        <v>1850</v>
      </c>
      <c r="D2010" s="57"/>
      <c r="E2010" s="43" t="str">
        <f>HYPERLINK("https://www.google.ru/search?q=0060R-0002&amp;newwindow=1&amp;tbm=isch","Еще фото")</f>
        <v>Еще фото</v>
      </c>
      <c r="F2010" s="34" t="s">
        <v>469</v>
      </c>
      <c r="G2010" s="11" t="s">
        <v>1756</v>
      </c>
      <c r="H2010" s="11" t="s">
        <v>27</v>
      </c>
      <c r="I2010" s="15" t="s">
        <v>1757</v>
      </c>
      <c r="J2010" s="15" t="s">
        <v>37</v>
      </c>
      <c r="K2010" s="16" t="s">
        <v>57</v>
      </c>
      <c r="L2010" s="60" t="s">
        <v>1848</v>
      </c>
      <c r="M2010" s="15"/>
      <c r="N2010" s="15" t="s">
        <v>31</v>
      </c>
      <c r="O2010" s="15"/>
      <c r="P2010" s="16" t="s">
        <v>1851</v>
      </c>
      <c r="Q2010" s="17">
        <v>12299</v>
      </c>
      <c r="R2010" s="18">
        <v>45</v>
      </c>
      <c r="S2010" s="19">
        <v>7779.1174999999994</v>
      </c>
      <c r="T2010" s="20" t="s">
        <v>33</v>
      </c>
      <c r="U2010" s="21" t="s">
        <v>62</v>
      </c>
      <c r="V2010" s="22">
        <v>46</v>
      </c>
      <c r="W2010" s="22">
        <v>7</v>
      </c>
      <c r="X2010" s="23"/>
    </row>
    <row r="2011" spans="1:24" s="1" customFormat="1" ht="26" customHeight="1" x14ac:dyDescent="0.3">
      <c r="A2011" s="24" t="s">
        <v>23</v>
      </c>
      <c r="B2011" s="24" t="s">
        <v>1846</v>
      </c>
      <c r="C2011" s="12" t="s">
        <v>1850</v>
      </c>
      <c r="D2011" s="58"/>
      <c r="E2011" s="43" t="str">
        <f>HYPERLINK("https://www.google.ru/search?q=0060R-0002&amp;newwindow=1&amp;tbm=isch","Еще фото")</f>
        <v>Еще фото</v>
      </c>
      <c r="F2011" s="34" t="s">
        <v>469</v>
      </c>
      <c r="G2011" s="24" t="s">
        <v>1756</v>
      </c>
      <c r="H2011" s="24" t="s">
        <v>27</v>
      </c>
      <c r="I2011" s="24" t="s">
        <v>1757</v>
      </c>
      <c r="J2011" s="15" t="s">
        <v>37</v>
      </c>
      <c r="K2011" s="16" t="s">
        <v>57</v>
      </c>
      <c r="L2011" s="61"/>
      <c r="M2011" s="15"/>
      <c r="N2011" s="15" t="s">
        <v>31</v>
      </c>
      <c r="O2011" s="15"/>
      <c r="P2011" s="16" t="s">
        <v>1851</v>
      </c>
      <c r="Q2011" s="17">
        <v>12299</v>
      </c>
      <c r="R2011" s="18">
        <v>45</v>
      </c>
      <c r="S2011" s="19">
        <v>7779.1174999999994</v>
      </c>
      <c r="T2011" s="20" t="s">
        <v>33</v>
      </c>
      <c r="U2011" s="21" t="s">
        <v>64</v>
      </c>
      <c r="V2011" s="22">
        <v>48</v>
      </c>
      <c r="W2011" s="22">
        <v>1</v>
      </c>
      <c r="X2011" s="23"/>
    </row>
    <row r="2012" spans="1:24" s="1" customFormat="1" ht="26" customHeight="1" x14ac:dyDescent="0.3">
      <c r="A2012" s="24" t="s">
        <v>23</v>
      </c>
      <c r="B2012" s="24" t="s">
        <v>1846</v>
      </c>
      <c r="C2012" s="12" t="s">
        <v>1850</v>
      </c>
      <c r="D2012" s="58"/>
      <c r="E2012" s="43" t="str">
        <f>HYPERLINK("https://www.google.ru/search?q=0060R-0002&amp;newwindow=1&amp;tbm=isch","Еще фото")</f>
        <v>Еще фото</v>
      </c>
      <c r="F2012" s="34" t="s">
        <v>469</v>
      </c>
      <c r="G2012" s="24" t="s">
        <v>1756</v>
      </c>
      <c r="H2012" s="24" t="s">
        <v>27</v>
      </c>
      <c r="I2012" s="24" t="s">
        <v>1757</v>
      </c>
      <c r="J2012" s="15" t="s">
        <v>37</v>
      </c>
      <c r="K2012" s="16" t="s">
        <v>57</v>
      </c>
      <c r="L2012" s="61"/>
      <c r="M2012" s="15"/>
      <c r="N2012" s="15" t="s">
        <v>31</v>
      </c>
      <c r="O2012" s="15"/>
      <c r="P2012" s="16" t="s">
        <v>1851</v>
      </c>
      <c r="Q2012" s="17">
        <v>12299</v>
      </c>
      <c r="R2012" s="18">
        <v>45</v>
      </c>
      <c r="S2012" s="19">
        <v>7779.1174999999994</v>
      </c>
      <c r="T2012" s="20" t="s">
        <v>33</v>
      </c>
      <c r="U2012" s="21" t="s">
        <v>34</v>
      </c>
      <c r="V2012" s="25" t="s">
        <v>90</v>
      </c>
      <c r="W2012" s="22">
        <v>3</v>
      </c>
      <c r="X2012" s="23"/>
    </row>
    <row r="2013" spans="1:24" s="1" customFormat="1" ht="26" customHeight="1" x14ac:dyDescent="0.3">
      <c r="A2013" s="24" t="s">
        <v>23</v>
      </c>
      <c r="B2013" s="24" t="s">
        <v>1846</v>
      </c>
      <c r="C2013" s="12" t="s">
        <v>1850</v>
      </c>
      <c r="D2013" s="59"/>
      <c r="E2013" s="43" t="str">
        <f>HYPERLINK("https://www.google.ru/search?q=0060R-0002&amp;newwindow=1&amp;tbm=isch","Еще фото")</f>
        <v>Еще фото</v>
      </c>
      <c r="F2013" s="34" t="s">
        <v>469</v>
      </c>
      <c r="G2013" s="24" t="s">
        <v>1756</v>
      </c>
      <c r="H2013" s="24" t="s">
        <v>27</v>
      </c>
      <c r="I2013" s="24" t="s">
        <v>1757</v>
      </c>
      <c r="J2013" s="15" t="s">
        <v>37</v>
      </c>
      <c r="K2013" s="16" t="s">
        <v>57</v>
      </c>
      <c r="L2013" s="62"/>
      <c r="M2013" s="15"/>
      <c r="N2013" s="15" t="s">
        <v>31</v>
      </c>
      <c r="O2013" s="15"/>
      <c r="P2013" s="16" t="s">
        <v>1851</v>
      </c>
      <c r="Q2013" s="17">
        <v>12299</v>
      </c>
      <c r="R2013" s="18">
        <v>45</v>
      </c>
      <c r="S2013" s="19">
        <v>7779.1174999999994</v>
      </c>
      <c r="T2013" s="20" t="s">
        <v>33</v>
      </c>
      <c r="U2013" s="21" t="s">
        <v>150</v>
      </c>
      <c r="V2013" s="25" t="s">
        <v>761</v>
      </c>
      <c r="W2013" s="22">
        <v>7</v>
      </c>
      <c r="X2013" s="23"/>
    </row>
    <row r="2014" spans="1:24" s="1" customFormat="1" ht="26" customHeight="1" x14ac:dyDescent="0.3">
      <c r="A2014" s="11" t="s">
        <v>23</v>
      </c>
      <c r="B2014" s="11" t="s">
        <v>1852</v>
      </c>
      <c r="C2014" s="12" t="s">
        <v>1853</v>
      </c>
      <c r="D2014" s="57"/>
      <c r="E2014" s="43" t="str">
        <f>HYPERLINK("https://www.google.ru/search?q=0065W-0004&amp;newwindow=1&amp;tbm=isch","Еще фото")</f>
        <v>Еще фото</v>
      </c>
      <c r="F2014" s="14"/>
      <c r="G2014" s="11" t="s">
        <v>1779</v>
      </c>
      <c r="H2014" s="11" t="s">
        <v>27</v>
      </c>
      <c r="I2014" s="15" t="s">
        <v>1757</v>
      </c>
      <c r="J2014" s="15" t="s">
        <v>37</v>
      </c>
      <c r="K2014" s="16" t="s">
        <v>57</v>
      </c>
      <c r="L2014" s="60"/>
      <c r="M2014" s="15"/>
      <c r="N2014" s="15" t="s">
        <v>130</v>
      </c>
      <c r="O2014" s="15"/>
      <c r="P2014" s="16" t="s">
        <v>1854</v>
      </c>
      <c r="Q2014" s="17">
        <v>13099</v>
      </c>
      <c r="R2014" s="18">
        <v>45</v>
      </c>
      <c r="S2014" s="19">
        <v>8285.1174999999985</v>
      </c>
      <c r="T2014" s="20" t="s">
        <v>33</v>
      </c>
      <c r="U2014" s="21" t="s">
        <v>62</v>
      </c>
      <c r="V2014" s="22">
        <v>46</v>
      </c>
      <c r="W2014" s="22">
        <v>11</v>
      </c>
      <c r="X2014" s="23"/>
    </row>
    <row r="2015" spans="1:24" s="1" customFormat="1" ht="26" customHeight="1" x14ac:dyDescent="0.3">
      <c r="A2015" s="24" t="s">
        <v>23</v>
      </c>
      <c r="B2015" s="24" t="s">
        <v>1852</v>
      </c>
      <c r="C2015" s="12" t="s">
        <v>1853</v>
      </c>
      <c r="D2015" s="58"/>
      <c r="E2015" s="43" t="str">
        <f>HYPERLINK("https://www.google.ru/search?q=0065W-0004&amp;newwindow=1&amp;tbm=isch","Еще фото")</f>
        <v>Еще фото</v>
      </c>
      <c r="F2015" s="14"/>
      <c r="G2015" s="24" t="s">
        <v>1779</v>
      </c>
      <c r="H2015" s="24" t="s">
        <v>27</v>
      </c>
      <c r="I2015" s="24" t="s">
        <v>1757</v>
      </c>
      <c r="J2015" s="15" t="s">
        <v>37</v>
      </c>
      <c r="K2015" s="16" t="s">
        <v>57</v>
      </c>
      <c r="L2015" s="61"/>
      <c r="M2015" s="15"/>
      <c r="N2015" s="15" t="s">
        <v>130</v>
      </c>
      <c r="O2015" s="15"/>
      <c r="P2015" s="16" t="s">
        <v>1854</v>
      </c>
      <c r="Q2015" s="17">
        <v>13099</v>
      </c>
      <c r="R2015" s="18">
        <v>45</v>
      </c>
      <c r="S2015" s="19">
        <v>8285.1174999999985</v>
      </c>
      <c r="T2015" s="20" t="s">
        <v>33</v>
      </c>
      <c r="U2015" s="21" t="s">
        <v>64</v>
      </c>
      <c r="V2015" s="22">
        <v>48</v>
      </c>
      <c r="W2015" s="22">
        <v>29</v>
      </c>
      <c r="X2015" s="23"/>
    </row>
    <row r="2016" spans="1:24" s="1" customFormat="1" ht="26" customHeight="1" x14ac:dyDescent="0.3">
      <c r="A2016" s="24" t="s">
        <v>23</v>
      </c>
      <c r="B2016" s="24" t="s">
        <v>1852</v>
      </c>
      <c r="C2016" s="12" t="s">
        <v>1853</v>
      </c>
      <c r="D2016" s="58"/>
      <c r="E2016" s="43" t="str">
        <f>HYPERLINK("https://www.google.ru/search?q=0065W-0004&amp;newwindow=1&amp;tbm=isch","Еще фото")</f>
        <v>Еще фото</v>
      </c>
      <c r="F2016" s="14"/>
      <c r="G2016" s="24" t="s">
        <v>1779</v>
      </c>
      <c r="H2016" s="24" t="s">
        <v>27</v>
      </c>
      <c r="I2016" s="24" t="s">
        <v>1757</v>
      </c>
      <c r="J2016" s="15" t="s">
        <v>37</v>
      </c>
      <c r="K2016" s="16" t="s">
        <v>57</v>
      </c>
      <c r="L2016" s="61"/>
      <c r="M2016" s="15"/>
      <c r="N2016" s="15" t="s">
        <v>130</v>
      </c>
      <c r="O2016" s="15"/>
      <c r="P2016" s="16" t="s">
        <v>1854</v>
      </c>
      <c r="Q2016" s="17">
        <v>13099</v>
      </c>
      <c r="R2016" s="18">
        <v>45</v>
      </c>
      <c r="S2016" s="19">
        <v>8285.1174999999985</v>
      </c>
      <c r="T2016" s="20" t="s">
        <v>33</v>
      </c>
      <c r="U2016" s="21" t="s">
        <v>34</v>
      </c>
      <c r="V2016" s="25" t="s">
        <v>90</v>
      </c>
      <c r="W2016" s="22">
        <v>29</v>
      </c>
      <c r="X2016" s="23"/>
    </row>
    <row r="2017" spans="1:24" s="1" customFormat="1" ht="26" customHeight="1" x14ac:dyDescent="0.3">
      <c r="A2017" s="24" t="s">
        <v>23</v>
      </c>
      <c r="B2017" s="24" t="s">
        <v>1852</v>
      </c>
      <c r="C2017" s="12" t="s">
        <v>1853</v>
      </c>
      <c r="D2017" s="59"/>
      <c r="E2017" s="43" t="str">
        <f>HYPERLINK("https://www.google.ru/search?q=0065W-0004&amp;newwindow=1&amp;tbm=isch","Еще фото")</f>
        <v>Еще фото</v>
      </c>
      <c r="F2017" s="14"/>
      <c r="G2017" s="24" t="s">
        <v>1779</v>
      </c>
      <c r="H2017" s="24" t="s">
        <v>27</v>
      </c>
      <c r="I2017" s="24" t="s">
        <v>1757</v>
      </c>
      <c r="J2017" s="15" t="s">
        <v>37</v>
      </c>
      <c r="K2017" s="16" t="s">
        <v>57</v>
      </c>
      <c r="L2017" s="62"/>
      <c r="M2017" s="15"/>
      <c r="N2017" s="15" t="s">
        <v>130</v>
      </c>
      <c r="O2017" s="15"/>
      <c r="P2017" s="16" t="s">
        <v>1854</v>
      </c>
      <c r="Q2017" s="17">
        <v>13099</v>
      </c>
      <c r="R2017" s="18">
        <v>45</v>
      </c>
      <c r="S2017" s="19">
        <v>8285.1174999999985</v>
      </c>
      <c r="T2017" s="20" t="s">
        <v>33</v>
      </c>
      <c r="U2017" s="21" t="s">
        <v>150</v>
      </c>
      <c r="V2017" s="25" t="s">
        <v>761</v>
      </c>
      <c r="W2017" s="22">
        <v>13</v>
      </c>
      <c r="X2017" s="23"/>
    </row>
    <row r="2018" spans="1:24" s="1" customFormat="1" ht="21" customHeight="1" x14ac:dyDescent="0.3">
      <c r="A2018" s="11" t="s">
        <v>23</v>
      </c>
      <c r="B2018" s="11" t="s">
        <v>1855</v>
      </c>
      <c r="C2018" s="30" t="s">
        <v>1856</v>
      </c>
      <c r="D2018" s="57"/>
      <c r="E2018" s="43" t="str">
        <f>HYPERLINK("https://www.google.ru/search?q=007SZ-0000&amp;newwindow=1&amp;tbm=isch","Еще фото")</f>
        <v>Еще фото</v>
      </c>
      <c r="F2018" s="14"/>
      <c r="G2018" s="11" t="s">
        <v>1396</v>
      </c>
      <c r="H2018" s="11" t="s">
        <v>27</v>
      </c>
      <c r="I2018" s="15" t="s">
        <v>1757</v>
      </c>
      <c r="J2018" s="15" t="s">
        <v>37</v>
      </c>
      <c r="K2018" s="16" t="s">
        <v>57</v>
      </c>
      <c r="L2018" s="60"/>
      <c r="M2018" s="15"/>
      <c r="N2018" s="15" t="s">
        <v>87</v>
      </c>
      <c r="O2018" s="15"/>
      <c r="P2018" s="16" t="s">
        <v>40</v>
      </c>
      <c r="Q2018" s="17">
        <v>20799</v>
      </c>
      <c r="R2018" s="18">
        <v>45</v>
      </c>
      <c r="S2018" s="19">
        <v>13155.3675</v>
      </c>
      <c r="T2018" s="20" t="s">
        <v>33</v>
      </c>
      <c r="U2018" s="21" t="s">
        <v>62</v>
      </c>
      <c r="V2018" s="22">
        <v>46</v>
      </c>
      <c r="W2018" s="22">
        <v>12</v>
      </c>
      <c r="X2018" s="23"/>
    </row>
    <row r="2019" spans="1:24" s="1" customFormat="1" ht="21" customHeight="1" x14ac:dyDescent="0.3">
      <c r="A2019" s="24" t="s">
        <v>23</v>
      </c>
      <c r="B2019" s="24" t="s">
        <v>1855</v>
      </c>
      <c r="C2019" s="31" t="s">
        <v>1856</v>
      </c>
      <c r="D2019" s="58"/>
      <c r="E2019" s="43" t="str">
        <f>HYPERLINK("https://www.google.ru/search?q=007SZ-0000&amp;newwindow=1&amp;tbm=isch","Еще фото")</f>
        <v>Еще фото</v>
      </c>
      <c r="F2019" s="14"/>
      <c r="G2019" s="24" t="s">
        <v>1396</v>
      </c>
      <c r="H2019" s="24" t="s">
        <v>27</v>
      </c>
      <c r="I2019" s="24" t="s">
        <v>1757</v>
      </c>
      <c r="J2019" s="15" t="s">
        <v>37</v>
      </c>
      <c r="K2019" s="16" t="s">
        <v>57</v>
      </c>
      <c r="L2019" s="61"/>
      <c r="M2019" s="15"/>
      <c r="N2019" s="15" t="s">
        <v>87</v>
      </c>
      <c r="O2019" s="15"/>
      <c r="P2019" s="16" t="s">
        <v>40</v>
      </c>
      <c r="Q2019" s="17">
        <v>20799</v>
      </c>
      <c r="R2019" s="18">
        <v>45</v>
      </c>
      <c r="S2019" s="19">
        <v>13155.3675</v>
      </c>
      <c r="T2019" s="20" t="s">
        <v>33</v>
      </c>
      <c r="U2019" s="21" t="s">
        <v>64</v>
      </c>
      <c r="V2019" s="22">
        <v>48</v>
      </c>
      <c r="W2019" s="22">
        <v>30</v>
      </c>
      <c r="X2019" s="23"/>
    </row>
    <row r="2020" spans="1:24" s="1" customFormat="1" ht="21" customHeight="1" x14ac:dyDescent="0.3">
      <c r="A2020" s="24" t="s">
        <v>23</v>
      </c>
      <c r="B2020" s="24" t="s">
        <v>1855</v>
      </c>
      <c r="C2020" s="31" t="s">
        <v>1856</v>
      </c>
      <c r="D2020" s="58"/>
      <c r="E2020" s="43" t="str">
        <f>HYPERLINK("https://www.google.ru/search?q=007SZ-0000&amp;newwindow=1&amp;tbm=isch","Еще фото")</f>
        <v>Еще фото</v>
      </c>
      <c r="F2020" s="14"/>
      <c r="G2020" s="24" t="s">
        <v>1396</v>
      </c>
      <c r="H2020" s="24" t="s">
        <v>27</v>
      </c>
      <c r="I2020" s="24" t="s">
        <v>1757</v>
      </c>
      <c r="J2020" s="15" t="s">
        <v>37</v>
      </c>
      <c r="K2020" s="16" t="s">
        <v>57</v>
      </c>
      <c r="L2020" s="61"/>
      <c r="M2020" s="15"/>
      <c r="N2020" s="15" t="s">
        <v>87</v>
      </c>
      <c r="O2020" s="15"/>
      <c r="P2020" s="16" t="s">
        <v>40</v>
      </c>
      <c r="Q2020" s="17">
        <v>20799</v>
      </c>
      <c r="R2020" s="18">
        <v>45</v>
      </c>
      <c r="S2020" s="19">
        <v>13155.3675</v>
      </c>
      <c r="T2020" s="20" t="s">
        <v>33</v>
      </c>
      <c r="U2020" s="21" t="s">
        <v>34</v>
      </c>
      <c r="V2020" s="25" t="s">
        <v>90</v>
      </c>
      <c r="W2020" s="22">
        <v>30</v>
      </c>
      <c r="X2020" s="23"/>
    </row>
    <row r="2021" spans="1:24" s="1" customFormat="1" ht="21" customHeight="1" x14ac:dyDescent="0.3">
      <c r="A2021" s="24" t="s">
        <v>23</v>
      </c>
      <c r="B2021" s="24" t="s">
        <v>1855</v>
      </c>
      <c r="C2021" s="31" t="s">
        <v>1856</v>
      </c>
      <c r="D2021" s="58"/>
      <c r="E2021" s="43" t="str">
        <f>HYPERLINK("https://www.google.ru/search?q=007SZ-0000&amp;newwindow=1&amp;tbm=isch","Еще фото")</f>
        <v>Еще фото</v>
      </c>
      <c r="F2021" s="14"/>
      <c r="G2021" s="24" t="s">
        <v>1396</v>
      </c>
      <c r="H2021" s="24" t="s">
        <v>27</v>
      </c>
      <c r="I2021" s="24" t="s">
        <v>1757</v>
      </c>
      <c r="J2021" s="15" t="s">
        <v>37</v>
      </c>
      <c r="K2021" s="16" t="s">
        <v>57</v>
      </c>
      <c r="L2021" s="61"/>
      <c r="M2021" s="15"/>
      <c r="N2021" s="15" t="s">
        <v>87</v>
      </c>
      <c r="O2021" s="15"/>
      <c r="P2021" s="16" t="s">
        <v>40</v>
      </c>
      <c r="Q2021" s="17">
        <v>20799</v>
      </c>
      <c r="R2021" s="18">
        <v>45</v>
      </c>
      <c r="S2021" s="19">
        <v>13155.3675</v>
      </c>
      <c r="T2021" s="20" t="s">
        <v>33</v>
      </c>
      <c r="U2021" s="21" t="s">
        <v>150</v>
      </c>
      <c r="V2021" s="25" t="s">
        <v>761</v>
      </c>
      <c r="W2021" s="22">
        <v>16</v>
      </c>
      <c r="X2021" s="23"/>
    </row>
    <row r="2022" spans="1:24" s="1" customFormat="1" ht="32" customHeight="1" x14ac:dyDescent="0.3">
      <c r="A2022" s="24" t="s">
        <v>23</v>
      </c>
      <c r="B2022" s="24" t="s">
        <v>1855</v>
      </c>
      <c r="C2022" s="31" t="s">
        <v>1856</v>
      </c>
      <c r="D2022" s="59"/>
      <c r="E2022" s="43" t="str">
        <f>HYPERLINK("https://www.google.ru/search?q=007SZ-0000&amp;newwindow=1&amp;tbm=isch","Еще фото")</f>
        <v>Еще фото</v>
      </c>
      <c r="F2022" s="14"/>
      <c r="G2022" s="24" t="s">
        <v>1396</v>
      </c>
      <c r="H2022" s="24" t="s">
        <v>27</v>
      </c>
      <c r="I2022" s="24" t="s">
        <v>1757</v>
      </c>
      <c r="J2022" s="15" t="s">
        <v>37</v>
      </c>
      <c r="K2022" s="16" t="s">
        <v>57</v>
      </c>
      <c r="L2022" s="62"/>
      <c r="M2022" s="15"/>
      <c r="N2022" s="15" t="s">
        <v>87</v>
      </c>
      <c r="O2022" s="15"/>
      <c r="P2022" s="16" t="s">
        <v>40</v>
      </c>
      <c r="Q2022" s="17">
        <v>20799</v>
      </c>
      <c r="R2022" s="18">
        <v>45</v>
      </c>
      <c r="S2022" s="19">
        <v>13155.3675</v>
      </c>
      <c r="T2022" s="20" t="s">
        <v>33</v>
      </c>
      <c r="U2022" s="21" t="s">
        <v>1494</v>
      </c>
      <c r="V2022" s="22">
        <v>54</v>
      </c>
      <c r="W2022" s="22">
        <v>8</v>
      </c>
      <c r="X2022" s="23"/>
    </row>
    <row r="2023" spans="1:24" s="1" customFormat="1" ht="21" customHeight="1" x14ac:dyDescent="0.3">
      <c r="A2023" s="11" t="s">
        <v>23</v>
      </c>
      <c r="B2023" s="11" t="s">
        <v>1855</v>
      </c>
      <c r="C2023" s="30" t="s">
        <v>1857</v>
      </c>
      <c r="D2023" s="57"/>
      <c r="E2023" s="43" t="str">
        <f>HYPERLINK("https://www.google.ru/search?q=007SZ-0001&amp;newwindow=1&amp;tbm=isch","Еще фото")</f>
        <v>Еще фото</v>
      </c>
      <c r="F2023" s="14"/>
      <c r="G2023" s="11" t="s">
        <v>1396</v>
      </c>
      <c r="H2023" s="11" t="s">
        <v>27</v>
      </c>
      <c r="I2023" s="15" t="s">
        <v>1757</v>
      </c>
      <c r="J2023" s="15" t="s">
        <v>37</v>
      </c>
      <c r="K2023" s="16" t="s">
        <v>57</v>
      </c>
      <c r="L2023" s="60"/>
      <c r="M2023" s="15"/>
      <c r="N2023" s="15" t="s">
        <v>99</v>
      </c>
      <c r="O2023" s="15"/>
      <c r="P2023" s="16" t="s">
        <v>40</v>
      </c>
      <c r="Q2023" s="17">
        <v>20799</v>
      </c>
      <c r="R2023" s="18">
        <v>45</v>
      </c>
      <c r="S2023" s="19">
        <v>13155.3675</v>
      </c>
      <c r="T2023" s="20" t="s">
        <v>33</v>
      </c>
      <c r="U2023" s="21" t="s">
        <v>62</v>
      </c>
      <c r="V2023" s="22">
        <v>46</v>
      </c>
      <c r="W2023" s="22">
        <v>7</v>
      </c>
      <c r="X2023" s="23"/>
    </row>
    <row r="2024" spans="1:24" s="1" customFormat="1" ht="21" customHeight="1" x14ac:dyDescent="0.3">
      <c r="A2024" s="24" t="s">
        <v>23</v>
      </c>
      <c r="B2024" s="24" t="s">
        <v>1855</v>
      </c>
      <c r="C2024" s="31" t="s">
        <v>1857</v>
      </c>
      <c r="D2024" s="58"/>
      <c r="E2024" s="43" t="str">
        <f>HYPERLINK("https://www.google.ru/search?q=007SZ-0001&amp;newwindow=1&amp;tbm=isch","Еще фото")</f>
        <v>Еще фото</v>
      </c>
      <c r="F2024" s="14"/>
      <c r="G2024" s="24" t="s">
        <v>1396</v>
      </c>
      <c r="H2024" s="24" t="s">
        <v>27</v>
      </c>
      <c r="I2024" s="24" t="s">
        <v>1757</v>
      </c>
      <c r="J2024" s="15" t="s">
        <v>37</v>
      </c>
      <c r="K2024" s="16" t="s">
        <v>57</v>
      </c>
      <c r="L2024" s="61"/>
      <c r="M2024" s="15"/>
      <c r="N2024" s="15" t="s">
        <v>99</v>
      </c>
      <c r="O2024" s="15"/>
      <c r="P2024" s="16" t="s">
        <v>40</v>
      </c>
      <c r="Q2024" s="17">
        <v>20799</v>
      </c>
      <c r="R2024" s="18">
        <v>45</v>
      </c>
      <c r="S2024" s="19">
        <v>13155.3675</v>
      </c>
      <c r="T2024" s="20" t="s">
        <v>33</v>
      </c>
      <c r="U2024" s="21" t="s">
        <v>64</v>
      </c>
      <c r="V2024" s="22">
        <v>48</v>
      </c>
      <c r="W2024" s="22">
        <v>30</v>
      </c>
      <c r="X2024" s="23"/>
    </row>
    <row r="2025" spans="1:24" s="1" customFormat="1" ht="21" customHeight="1" x14ac:dyDescent="0.3">
      <c r="A2025" s="24" t="s">
        <v>23</v>
      </c>
      <c r="B2025" s="24" t="s">
        <v>1855</v>
      </c>
      <c r="C2025" s="31" t="s">
        <v>1857</v>
      </c>
      <c r="D2025" s="58"/>
      <c r="E2025" s="43" t="str">
        <f>HYPERLINK("https://www.google.ru/search?q=007SZ-0001&amp;newwindow=1&amp;tbm=isch","Еще фото")</f>
        <v>Еще фото</v>
      </c>
      <c r="F2025" s="14"/>
      <c r="G2025" s="24" t="s">
        <v>1396</v>
      </c>
      <c r="H2025" s="24" t="s">
        <v>27</v>
      </c>
      <c r="I2025" s="24" t="s">
        <v>1757</v>
      </c>
      <c r="J2025" s="15" t="s">
        <v>37</v>
      </c>
      <c r="K2025" s="16" t="s">
        <v>57</v>
      </c>
      <c r="L2025" s="61"/>
      <c r="M2025" s="15"/>
      <c r="N2025" s="15" t="s">
        <v>99</v>
      </c>
      <c r="O2025" s="15"/>
      <c r="P2025" s="16" t="s">
        <v>40</v>
      </c>
      <c r="Q2025" s="17">
        <v>20799</v>
      </c>
      <c r="R2025" s="18">
        <v>45</v>
      </c>
      <c r="S2025" s="19">
        <v>13155.3675</v>
      </c>
      <c r="T2025" s="20" t="s">
        <v>33</v>
      </c>
      <c r="U2025" s="21" t="s">
        <v>34</v>
      </c>
      <c r="V2025" s="25" t="s">
        <v>90</v>
      </c>
      <c r="W2025" s="22">
        <v>26</v>
      </c>
      <c r="X2025" s="23"/>
    </row>
    <row r="2026" spans="1:24" s="1" customFormat="1" ht="21" customHeight="1" x14ac:dyDescent="0.3">
      <c r="A2026" s="24" t="s">
        <v>23</v>
      </c>
      <c r="B2026" s="24" t="s">
        <v>1855</v>
      </c>
      <c r="C2026" s="31" t="s">
        <v>1857</v>
      </c>
      <c r="D2026" s="58"/>
      <c r="E2026" s="43" t="str">
        <f>HYPERLINK("https://www.google.ru/search?q=007SZ-0001&amp;newwindow=1&amp;tbm=isch","Еще фото")</f>
        <v>Еще фото</v>
      </c>
      <c r="F2026" s="14"/>
      <c r="G2026" s="24" t="s">
        <v>1396</v>
      </c>
      <c r="H2026" s="24" t="s">
        <v>27</v>
      </c>
      <c r="I2026" s="24" t="s">
        <v>1757</v>
      </c>
      <c r="J2026" s="15" t="s">
        <v>37</v>
      </c>
      <c r="K2026" s="16" t="s">
        <v>57</v>
      </c>
      <c r="L2026" s="61"/>
      <c r="M2026" s="15"/>
      <c r="N2026" s="15" t="s">
        <v>99</v>
      </c>
      <c r="O2026" s="15"/>
      <c r="P2026" s="16" t="s">
        <v>40</v>
      </c>
      <c r="Q2026" s="17">
        <v>20799</v>
      </c>
      <c r="R2026" s="18">
        <v>45</v>
      </c>
      <c r="S2026" s="19">
        <v>13155.3675</v>
      </c>
      <c r="T2026" s="20" t="s">
        <v>33</v>
      </c>
      <c r="U2026" s="21" t="s">
        <v>150</v>
      </c>
      <c r="V2026" s="25" t="s">
        <v>761</v>
      </c>
      <c r="W2026" s="22">
        <v>16</v>
      </c>
      <c r="X2026" s="23"/>
    </row>
    <row r="2027" spans="1:24" s="1" customFormat="1" ht="32" customHeight="1" x14ac:dyDescent="0.3">
      <c r="A2027" s="24" t="s">
        <v>23</v>
      </c>
      <c r="B2027" s="24" t="s">
        <v>1855</v>
      </c>
      <c r="C2027" s="31" t="s">
        <v>1857</v>
      </c>
      <c r="D2027" s="59"/>
      <c r="E2027" s="43" t="str">
        <f>HYPERLINK("https://www.google.ru/search?q=007SZ-0001&amp;newwindow=1&amp;tbm=isch","Еще фото")</f>
        <v>Еще фото</v>
      </c>
      <c r="F2027" s="14"/>
      <c r="G2027" s="24" t="s">
        <v>1396</v>
      </c>
      <c r="H2027" s="24" t="s">
        <v>27</v>
      </c>
      <c r="I2027" s="24" t="s">
        <v>1757</v>
      </c>
      <c r="J2027" s="15" t="s">
        <v>37</v>
      </c>
      <c r="K2027" s="16" t="s">
        <v>57</v>
      </c>
      <c r="L2027" s="62"/>
      <c r="M2027" s="15"/>
      <c r="N2027" s="15" t="s">
        <v>99</v>
      </c>
      <c r="O2027" s="15"/>
      <c r="P2027" s="16" t="s">
        <v>40</v>
      </c>
      <c r="Q2027" s="17">
        <v>20799</v>
      </c>
      <c r="R2027" s="18">
        <v>45</v>
      </c>
      <c r="S2027" s="19">
        <v>13155.3675</v>
      </c>
      <c r="T2027" s="20" t="s">
        <v>33</v>
      </c>
      <c r="U2027" s="21" t="s">
        <v>1494</v>
      </c>
      <c r="V2027" s="22">
        <v>54</v>
      </c>
      <c r="W2027" s="22">
        <v>8</v>
      </c>
      <c r="X2027" s="23"/>
    </row>
    <row r="2028" spans="1:24" s="1" customFormat="1" ht="108" customHeight="1" x14ac:dyDescent="0.3">
      <c r="A2028" s="11" t="s">
        <v>23</v>
      </c>
      <c r="B2028" s="11" t="s">
        <v>1858</v>
      </c>
      <c r="C2028" s="12" t="s">
        <v>1859</v>
      </c>
      <c r="D2028" s="13"/>
      <c r="E2028" s="43" t="str">
        <f>HYPERLINK("https://www.google.ru/search?q=007T3-0003&amp;newwindow=1&amp;tbm=isch","Еще фото")</f>
        <v>Еще фото</v>
      </c>
      <c r="F2028" s="14"/>
      <c r="G2028" s="11" t="s">
        <v>1779</v>
      </c>
      <c r="H2028" s="11" t="s">
        <v>27</v>
      </c>
      <c r="I2028" s="15" t="s">
        <v>1757</v>
      </c>
      <c r="J2028" s="15" t="s">
        <v>37</v>
      </c>
      <c r="K2028" s="16" t="s">
        <v>57</v>
      </c>
      <c r="L2028" s="15"/>
      <c r="M2028" s="15"/>
      <c r="N2028" s="15" t="s">
        <v>99</v>
      </c>
      <c r="O2028" s="15"/>
      <c r="P2028" s="16" t="s">
        <v>1860</v>
      </c>
      <c r="Q2028" s="17">
        <v>14399</v>
      </c>
      <c r="R2028" s="18">
        <v>45</v>
      </c>
      <c r="S2028" s="19">
        <v>9107.3674999999985</v>
      </c>
      <c r="T2028" s="20" t="s">
        <v>33</v>
      </c>
      <c r="U2028" s="21" t="s">
        <v>62</v>
      </c>
      <c r="V2028" s="22">
        <v>46</v>
      </c>
      <c r="W2028" s="22">
        <v>10</v>
      </c>
      <c r="X2028" s="23"/>
    </row>
    <row r="2029" spans="1:24" s="1" customFormat="1" ht="26" customHeight="1" x14ac:dyDescent="0.3">
      <c r="A2029" s="11" t="s">
        <v>23</v>
      </c>
      <c r="B2029" s="11" t="s">
        <v>1861</v>
      </c>
      <c r="C2029" s="12" t="s">
        <v>1862</v>
      </c>
      <c r="D2029" s="57"/>
      <c r="E2029" s="43" t="str">
        <f>HYPERLINK("https://www.google.ru/search?q=007T6-0000&amp;newwindow=1&amp;tbm=isch","Еще фото")</f>
        <v>Еще фото</v>
      </c>
      <c r="F2029" s="14"/>
      <c r="G2029" s="11" t="s">
        <v>1779</v>
      </c>
      <c r="H2029" s="11" t="s">
        <v>27</v>
      </c>
      <c r="I2029" s="15" t="s">
        <v>1757</v>
      </c>
      <c r="J2029" s="15" t="s">
        <v>37</v>
      </c>
      <c r="K2029" s="16" t="s">
        <v>57</v>
      </c>
      <c r="L2029" s="60"/>
      <c r="M2029" s="15"/>
      <c r="N2029" s="15" t="s">
        <v>39</v>
      </c>
      <c r="O2029" s="15"/>
      <c r="P2029" s="16" t="s">
        <v>1863</v>
      </c>
      <c r="Q2029" s="17">
        <v>13099</v>
      </c>
      <c r="R2029" s="18">
        <v>45</v>
      </c>
      <c r="S2029" s="19">
        <v>8285.1174999999985</v>
      </c>
      <c r="T2029" s="20" t="s">
        <v>33</v>
      </c>
      <c r="U2029" s="21" t="s">
        <v>62</v>
      </c>
      <c r="V2029" s="22">
        <v>46</v>
      </c>
      <c r="W2029" s="22">
        <v>7</v>
      </c>
      <c r="X2029" s="23"/>
    </row>
    <row r="2030" spans="1:24" s="1" customFormat="1" ht="26" customHeight="1" x14ac:dyDescent="0.3">
      <c r="A2030" s="24" t="s">
        <v>23</v>
      </c>
      <c r="B2030" s="24" t="s">
        <v>1861</v>
      </c>
      <c r="C2030" s="12" t="s">
        <v>1862</v>
      </c>
      <c r="D2030" s="58"/>
      <c r="E2030" s="43" t="str">
        <f>HYPERLINK("https://www.google.ru/search?q=007T6-0000&amp;newwindow=1&amp;tbm=isch","Еще фото")</f>
        <v>Еще фото</v>
      </c>
      <c r="F2030" s="14"/>
      <c r="G2030" s="24" t="s">
        <v>1779</v>
      </c>
      <c r="H2030" s="24" t="s">
        <v>27</v>
      </c>
      <c r="I2030" s="24" t="s">
        <v>1757</v>
      </c>
      <c r="J2030" s="15" t="s">
        <v>37</v>
      </c>
      <c r="K2030" s="16" t="s">
        <v>57</v>
      </c>
      <c r="L2030" s="61"/>
      <c r="M2030" s="15"/>
      <c r="N2030" s="15" t="s">
        <v>39</v>
      </c>
      <c r="O2030" s="15"/>
      <c r="P2030" s="16" t="s">
        <v>1863</v>
      </c>
      <c r="Q2030" s="17">
        <v>13099</v>
      </c>
      <c r="R2030" s="18">
        <v>45</v>
      </c>
      <c r="S2030" s="19">
        <v>8285.1174999999985</v>
      </c>
      <c r="T2030" s="20" t="s">
        <v>33</v>
      </c>
      <c r="U2030" s="21" t="s">
        <v>64</v>
      </c>
      <c r="V2030" s="22">
        <v>48</v>
      </c>
      <c r="W2030" s="22">
        <v>19</v>
      </c>
      <c r="X2030" s="23"/>
    </row>
    <row r="2031" spans="1:24" s="1" customFormat="1" ht="26" customHeight="1" x14ac:dyDescent="0.3">
      <c r="A2031" s="24" t="s">
        <v>23</v>
      </c>
      <c r="B2031" s="24" t="s">
        <v>1861</v>
      </c>
      <c r="C2031" s="12" t="s">
        <v>1862</v>
      </c>
      <c r="D2031" s="58"/>
      <c r="E2031" s="43" t="str">
        <f>HYPERLINK("https://www.google.ru/search?q=007T6-0000&amp;newwindow=1&amp;tbm=isch","Еще фото")</f>
        <v>Еще фото</v>
      </c>
      <c r="F2031" s="14"/>
      <c r="G2031" s="24" t="s">
        <v>1779</v>
      </c>
      <c r="H2031" s="24" t="s">
        <v>27</v>
      </c>
      <c r="I2031" s="24" t="s">
        <v>1757</v>
      </c>
      <c r="J2031" s="15" t="s">
        <v>37</v>
      </c>
      <c r="K2031" s="16" t="s">
        <v>57</v>
      </c>
      <c r="L2031" s="61"/>
      <c r="M2031" s="15"/>
      <c r="N2031" s="15" t="s">
        <v>39</v>
      </c>
      <c r="O2031" s="15"/>
      <c r="P2031" s="16" t="s">
        <v>1863</v>
      </c>
      <c r="Q2031" s="17">
        <v>13099</v>
      </c>
      <c r="R2031" s="18">
        <v>45</v>
      </c>
      <c r="S2031" s="19">
        <v>8285.1174999999985</v>
      </c>
      <c r="T2031" s="20" t="s">
        <v>33</v>
      </c>
      <c r="U2031" s="21" t="s">
        <v>34</v>
      </c>
      <c r="V2031" s="25" t="s">
        <v>90</v>
      </c>
      <c r="W2031" s="22">
        <v>19</v>
      </c>
      <c r="X2031" s="23"/>
    </row>
    <row r="2032" spans="1:24" s="1" customFormat="1" ht="26" customHeight="1" x14ac:dyDescent="0.3">
      <c r="A2032" s="24" t="s">
        <v>23</v>
      </c>
      <c r="B2032" s="24" t="s">
        <v>1861</v>
      </c>
      <c r="C2032" s="12" t="s">
        <v>1862</v>
      </c>
      <c r="D2032" s="59"/>
      <c r="E2032" s="43" t="str">
        <f>HYPERLINK("https://www.google.ru/search?q=007T6-0000&amp;newwindow=1&amp;tbm=isch","Еще фото")</f>
        <v>Еще фото</v>
      </c>
      <c r="F2032" s="14"/>
      <c r="G2032" s="24" t="s">
        <v>1779</v>
      </c>
      <c r="H2032" s="24" t="s">
        <v>27</v>
      </c>
      <c r="I2032" s="24" t="s">
        <v>1757</v>
      </c>
      <c r="J2032" s="15" t="s">
        <v>37</v>
      </c>
      <c r="K2032" s="16" t="s">
        <v>57</v>
      </c>
      <c r="L2032" s="62"/>
      <c r="M2032" s="15"/>
      <c r="N2032" s="15" t="s">
        <v>39</v>
      </c>
      <c r="O2032" s="15"/>
      <c r="P2032" s="16" t="s">
        <v>1863</v>
      </c>
      <c r="Q2032" s="17">
        <v>13099</v>
      </c>
      <c r="R2032" s="18">
        <v>45</v>
      </c>
      <c r="S2032" s="19">
        <v>8285.1174999999985</v>
      </c>
      <c r="T2032" s="20" t="s">
        <v>33</v>
      </c>
      <c r="U2032" s="21" t="s">
        <v>150</v>
      </c>
      <c r="V2032" s="25" t="s">
        <v>761</v>
      </c>
      <c r="W2032" s="22">
        <v>10</v>
      </c>
      <c r="X2032" s="23"/>
    </row>
    <row r="2033" spans="1:24" s="1" customFormat="1" ht="35" customHeight="1" x14ac:dyDescent="0.3">
      <c r="A2033" s="11" t="s">
        <v>23</v>
      </c>
      <c r="B2033" s="11" t="s">
        <v>1864</v>
      </c>
      <c r="C2033" s="12" t="s">
        <v>1865</v>
      </c>
      <c r="D2033" s="57"/>
      <c r="E2033" s="43" t="str">
        <f>HYPERLINK("https://www.google.ru/search?q=007VW-0000&amp;newwindow=1&amp;tbm=isch","Еще фото")</f>
        <v>Еще фото</v>
      </c>
      <c r="F2033" s="14"/>
      <c r="G2033" s="11" t="s">
        <v>1779</v>
      </c>
      <c r="H2033" s="11" t="s">
        <v>27</v>
      </c>
      <c r="I2033" s="15" t="s">
        <v>1757</v>
      </c>
      <c r="J2033" s="15" t="s">
        <v>37</v>
      </c>
      <c r="K2033" s="16" t="s">
        <v>29</v>
      </c>
      <c r="L2033" s="60"/>
      <c r="M2033" s="15"/>
      <c r="N2033" s="15" t="s">
        <v>87</v>
      </c>
      <c r="O2033" s="15"/>
      <c r="P2033" s="16" t="s">
        <v>1837</v>
      </c>
      <c r="Q2033" s="17">
        <v>10699</v>
      </c>
      <c r="R2033" s="18">
        <v>45</v>
      </c>
      <c r="S2033" s="19">
        <v>6767.1174999999994</v>
      </c>
      <c r="T2033" s="20" t="s">
        <v>33</v>
      </c>
      <c r="U2033" s="21" t="s">
        <v>62</v>
      </c>
      <c r="V2033" s="22">
        <v>44</v>
      </c>
      <c r="W2033" s="22">
        <v>11</v>
      </c>
      <c r="X2033" s="23"/>
    </row>
    <row r="2034" spans="1:24" s="1" customFormat="1" ht="35" customHeight="1" x14ac:dyDescent="0.3">
      <c r="A2034" s="24" t="s">
        <v>23</v>
      </c>
      <c r="B2034" s="24" t="s">
        <v>1864</v>
      </c>
      <c r="C2034" s="12" t="s">
        <v>1865</v>
      </c>
      <c r="D2034" s="58"/>
      <c r="E2034" s="43" t="str">
        <f>HYPERLINK("https://www.google.ru/search?q=007VW-0000&amp;newwindow=1&amp;tbm=isch","Еще фото")</f>
        <v>Еще фото</v>
      </c>
      <c r="F2034" s="14"/>
      <c r="G2034" s="24" t="s">
        <v>1779</v>
      </c>
      <c r="H2034" s="24" t="s">
        <v>27</v>
      </c>
      <c r="I2034" s="24" t="s">
        <v>1757</v>
      </c>
      <c r="J2034" s="15" t="s">
        <v>37</v>
      </c>
      <c r="K2034" s="16" t="s">
        <v>29</v>
      </c>
      <c r="L2034" s="61"/>
      <c r="M2034" s="15"/>
      <c r="N2034" s="15" t="s">
        <v>87</v>
      </c>
      <c r="O2034" s="15"/>
      <c r="P2034" s="16" t="s">
        <v>1837</v>
      </c>
      <c r="Q2034" s="17">
        <v>10699</v>
      </c>
      <c r="R2034" s="18">
        <v>45</v>
      </c>
      <c r="S2034" s="19">
        <v>6767.1174999999994</v>
      </c>
      <c r="T2034" s="20" t="s">
        <v>33</v>
      </c>
      <c r="U2034" s="21" t="s">
        <v>64</v>
      </c>
      <c r="V2034" s="22">
        <v>46</v>
      </c>
      <c r="W2034" s="22">
        <v>19</v>
      </c>
      <c r="X2034" s="23"/>
    </row>
    <row r="2035" spans="1:24" s="1" customFormat="1" ht="37.049999999999997" customHeight="1" x14ac:dyDescent="0.3">
      <c r="A2035" s="24" t="s">
        <v>23</v>
      </c>
      <c r="B2035" s="24" t="s">
        <v>1864</v>
      </c>
      <c r="C2035" s="12" t="s">
        <v>1865</v>
      </c>
      <c r="D2035" s="59"/>
      <c r="E2035" s="43" t="str">
        <f>HYPERLINK("https://www.google.ru/search?q=007VW-0000&amp;newwindow=1&amp;tbm=isch","Еще фото")</f>
        <v>Еще фото</v>
      </c>
      <c r="F2035" s="14"/>
      <c r="G2035" s="24" t="s">
        <v>1779</v>
      </c>
      <c r="H2035" s="24" t="s">
        <v>27</v>
      </c>
      <c r="I2035" s="24" t="s">
        <v>1757</v>
      </c>
      <c r="J2035" s="15" t="s">
        <v>37</v>
      </c>
      <c r="K2035" s="16" t="s">
        <v>29</v>
      </c>
      <c r="L2035" s="62"/>
      <c r="M2035" s="15"/>
      <c r="N2035" s="15" t="s">
        <v>87</v>
      </c>
      <c r="O2035" s="15"/>
      <c r="P2035" s="16" t="s">
        <v>1837</v>
      </c>
      <c r="Q2035" s="17">
        <v>10699</v>
      </c>
      <c r="R2035" s="18">
        <v>45</v>
      </c>
      <c r="S2035" s="19">
        <v>6767.1174999999994</v>
      </c>
      <c r="T2035" s="20" t="s">
        <v>33</v>
      </c>
      <c r="U2035" s="21" t="s">
        <v>34</v>
      </c>
      <c r="V2035" s="22">
        <v>48</v>
      </c>
      <c r="W2035" s="22">
        <v>15</v>
      </c>
      <c r="X2035" s="23"/>
    </row>
    <row r="2036" spans="1:24" s="1" customFormat="1" ht="35" customHeight="1" x14ac:dyDescent="0.3">
      <c r="A2036" s="11" t="s">
        <v>23</v>
      </c>
      <c r="B2036" s="11" t="s">
        <v>1864</v>
      </c>
      <c r="C2036" s="12" t="s">
        <v>1866</v>
      </c>
      <c r="D2036" s="57"/>
      <c r="E2036" s="43" t="str">
        <f>HYPERLINK("https://www.google.ru/search?q=007VW-0003&amp;newwindow=1&amp;tbm=isch","Еще фото")</f>
        <v>Еще фото</v>
      </c>
      <c r="F2036" s="14"/>
      <c r="G2036" s="11" t="s">
        <v>1779</v>
      </c>
      <c r="H2036" s="11" t="s">
        <v>27</v>
      </c>
      <c r="I2036" s="15" t="s">
        <v>1757</v>
      </c>
      <c r="J2036" s="15" t="s">
        <v>37</v>
      </c>
      <c r="K2036" s="16" t="s">
        <v>29</v>
      </c>
      <c r="L2036" s="60"/>
      <c r="M2036" s="15"/>
      <c r="N2036" s="15" t="s">
        <v>99</v>
      </c>
      <c r="O2036" s="15"/>
      <c r="P2036" s="16" t="s">
        <v>1837</v>
      </c>
      <c r="Q2036" s="17">
        <v>10699</v>
      </c>
      <c r="R2036" s="18">
        <v>45</v>
      </c>
      <c r="S2036" s="19">
        <v>6767.1174999999994</v>
      </c>
      <c r="T2036" s="20" t="s">
        <v>33</v>
      </c>
      <c r="U2036" s="21" t="s">
        <v>62</v>
      </c>
      <c r="V2036" s="22">
        <v>44</v>
      </c>
      <c r="W2036" s="22">
        <v>10</v>
      </c>
      <c r="X2036" s="23"/>
    </row>
    <row r="2037" spans="1:24" s="1" customFormat="1" ht="35" customHeight="1" x14ac:dyDescent="0.3">
      <c r="A2037" s="24" t="s">
        <v>23</v>
      </c>
      <c r="B2037" s="24" t="s">
        <v>1864</v>
      </c>
      <c r="C2037" s="12" t="s">
        <v>1866</v>
      </c>
      <c r="D2037" s="58"/>
      <c r="E2037" s="43" t="str">
        <f>HYPERLINK("https://www.google.ru/search?q=007VW-0003&amp;newwindow=1&amp;tbm=isch","Еще фото")</f>
        <v>Еще фото</v>
      </c>
      <c r="F2037" s="14"/>
      <c r="G2037" s="24" t="s">
        <v>1779</v>
      </c>
      <c r="H2037" s="24" t="s">
        <v>27</v>
      </c>
      <c r="I2037" s="24" t="s">
        <v>1757</v>
      </c>
      <c r="J2037" s="15" t="s">
        <v>37</v>
      </c>
      <c r="K2037" s="16" t="s">
        <v>29</v>
      </c>
      <c r="L2037" s="61"/>
      <c r="M2037" s="15"/>
      <c r="N2037" s="15" t="s">
        <v>99</v>
      </c>
      <c r="O2037" s="15"/>
      <c r="P2037" s="16" t="s">
        <v>1837</v>
      </c>
      <c r="Q2037" s="17">
        <v>10699</v>
      </c>
      <c r="R2037" s="18">
        <v>45</v>
      </c>
      <c r="S2037" s="19">
        <v>6767.1174999999994</v>
      </c>
      <c r="T2037" s="20" t="s">
        <v>33</v>
      </c>
      <c r="U2037" s="21" t="s">
        <v>64</v>
      </c>
      <c r="V2037" s="22">
        <v>46</v>
      </c>
      <c r="W2037" s="22">
        <v>20</v>
      </c>
      <c r="X2037" s="23"/>
    </row>
    <row r="2038" spans="1:24" s="1" customFormat="1" ht="37.049999999999997" customHeight="1" x14ac:dyDescent="0.3">
      <c r="A2038" s="24" t="s">
        <v>23</v>
      </c>
      <c r="B2038" s="24" t="s">
        <v>1864</v>
      </c>
      <c r="C2038" s="12" t="s">
        <v>1866</v>
      </c>
      <c r="D2038" s="59"/>
      <c r="E2038" s="43" t="str">
        <f>HYPERLINK("https://www.google.ru/search?q=007VW-0003&amp;newwindow=1&amp;tbm=isch","Еще фото")</f>
        <v>Еще фото</v>
      </c>
      <c r="F2038" s="14"/>
      <c r="G2038" s="24" t="s">
        <v>1779</v>
      </c>
      <c r="H2038" s="24" t="s">
        <v>27</v>
      </c>
      <c r="I2038" s="24" t="s">
        <v>1757</v>
      </c>
      <c r="J2038" s="15" t="s">
        <v>37</v>
      </c>
      <c r="K2038" s="16" t="s">
        <v>29</v>
      </c>
      <c r="L2038" s="62"/>
      <c r="M2038" s="15"/>
      <c r="N2038" s="15" t="s">
        <v>99</v>
      </c>
      <c r="O2038" s="15"/>
      <c r="P2038" s="16" t="s">
        <v>1837</v>
      </c>
      <c r="Q2038" s="17">
        <v>10699</v>
      </c>
      <c r="R2038" s="18">
        <v>45</v>
      </c>
      <c r="S2038" s="19">
        <v>6767.1174999999994</v>
      </c>
      <c r="T2038" s="20" t="s">
        <v>33</v>
      </c>
      <c r="U2038" s="21" t="s">
        <v>34</v>
      </c>
      <c r="V2038" s="22">
        <v>48</v>
      </c>
      <c r="W2038" s="22">
        <v>20</v>
      </c>
      <c r="X2038" s="23"/>
    </row>
    <row r="2039" spans="1:24" s="1" customFormat="1" ht="26" customHeight="1" x14ac:dyDescent="0.3">
      <c r="A2039" s="11" t="s">
        <v>23</v>
      </c>
      <c r="B2039" s="11" t="s">
        <v>1867</v>
      </c>
      <c r="C2039" s="12" t="s">
        <v>1868</v>
      </c>
      <c r="D2039" s="57"/>
      <c r="E2039" s="43" t="str">
        <f>HYPERLINK("https://www.google.ru/search?q=007W2-0000&amp;newwindow=1&amp;tbm=isch","Еще фото")</f>
        <v>Еще фото</v>
      </c>
      <c r="F2039" s="14"/>
      <c r="G2039" s="11" t="s">
        <v>1779</v>
      </c>
      <c r="H2039" s="11" t="s">
        <v>27</v>
      </c>
      <c r="I2039" s="15" t="s">
        <v>1757</v>
      </c>
      <c r="J2039" s="15" t="s">
        <v>37</v>
      </c>
      <c r="K2039" s="16" t="s">
        <v>57</v>
      </c>
      <c r="L2039" s="60" t="s">
        <v>1869</v>
      </c>
      <c r="M2039" s="15"/>
      <c r="N2039" s="15" t="s">
        <v>130</v>
      </c>
      <c r="O2039" s="15"/>
      <c r="P2039" s="16" t="s">
        <v>1870</v>
      </c>
      <c r="Q2039" s="17">
        <v>13499</v>
      </c>
      <c r="R2039" s="18">
        <v>45</v>
      </c>
      <c r="S2039" s="19">
        <v>8538.1174999999985</v>
      </c>
      <c r="T2039" s="20" t="s">
        <v>33</v>
      </c>
      <c r="U2039" s="21" t="s">
        <v>62</v>
      </c>
      <c r="V2039" s="22">
        <v>46</v>
      </c>
      <c r="W2039" s="22">
        <v>4</v>
      </c>
      <c r="X2039" s="23"/>
    </row>
    <row r="2040" spans="1:24" s="1" customFormat="1" ht="26" customHeight="1" x14ac:dyDescent="0.3">
      <c r="A2040" s="24" t="s">
        <v>23</v>
      </c>
      <c r="B2040" s="24" t="s">
        <v>1867</v>
      </c>
      <c r="C2040" s="12" t="s">
        <v>1868</v>
      </c>
      <c r="D2040" s="58"/>
      <c r="E2040" s="43" t="str">
        <f>HYPERLINK("https://www.google.ru/search?q=007W2-0000&amp;newwindow=1&amp;tbm=isch","Еще фото")</f>
        <v>Еще фото</v>
      </c>
      <c r="F2040" s="14"/>
      <c r="G2040" s="24" t="s">
        <v>1779</v>
      </c>
      <c r="H2040" s="24" t="s">
        <v>27</v>
      </c>
      <c r="I2040" s="24" t="s">
        <v>1757</v>
      </c>
      <c r="J2040" s="15" t="s">
        <v>37</v>
      </c>
      <c r="K2040" s="16" t="s">
        <v>57</v>
      </c>
      <c r="L2040" s="61"/>
      <c r="M2040" s="15"/>
      <c r="N2040" s="15" t="s">
        <v>130</v>
      </c>
      <c r="O2040" s="15"/>
      <c r="P2040" s="16" t="s">
        <v>1870</v>
      </c>
      <c r="Q2040" s="17">
        <v>13499</v>
      </c>
      <c r="R2040" s="18">
        <v>45</v>
      </c>
      <c r="S2040" s="19">
        <v>8538.1174999999985</v>
      </c>
      <c r="T2040" s="20" t="s">
        <v>33</v>
      </c>
      <c r="U2040" s="21" t="s">
        <v>64</v>
      </c>
      <c r="V2040" s="22">
        <v>48</v>
      </c>
      <c r="W2040" s="22">
        <v>13</v>
      </c>
      <c r="X2040" s="23"/>
    </row>
    <row r="2041" spans="1:24" s="1" customFormat="1" ht="26" customHeight="1" x14ac:dyDescent="0.3">
      <c r="A2041" s="24" t="s">
        <v>23</v>
      </c>
      <c r="B2041" s="24" t="s">
        <v>1867</v>
      </c>
      <c r="C2041" s="12" t="s">
        <v>1868</v>
      </c>
      <c r="D2041" s="58"/>
      <c r="E2041" s="43" t="str">
        <f>HYPERLINK("https://www.google.ru/search?q=007W2-0000&amp;newwindow=1&amp;tbm=isch","Еще фото")</f>
        <v>Еще фото</v>
      </c>
      <c r="F2041" s="14"/>
      <c r="G2041" s="24" t="s">
        <v>1779</v>
      </c>
      <c r="H2041" s="24" t="s">
        <v>27</v>
      </c>
      <c r="I2041" s="24" t="s">
        <v>1757</v>
      </c>
      <c r="J2041" s="15" t="s">
        <v>37</v>
      </c>
      <c r="K2041" s="16" t="s">
        <v>57</v>
      </c>
      <c r="L2041" s="61"/>
      <c r="M2041" s="15"/>
      <c r="N2041" s="15" t="s">
        <v>130</v>
      </c>
      <c r="O2041" s="15"/>
      <c r="P2041" s="16" t="s">
        <v>1870</v>
      </c>
      <c r="Q2041" s="17">
        <v>13499</v>
      </c>
      <c r="R2041" s="18">
        <v>45</v>
      </c>
      <c r="S2041" s="19">
        <v>8538.1174999999985</v>
      </c>
      <c r="T2041" s="20" t="s">
        <v>33</v>
      </c>
      <c r="U2041" s="21" t="s">
        <v>34</v>
      </c>
      <c r="V2041" s="25" t="s">
        <v>90</v>
      </c>
      <c r="W2041" s="22">
        <v>15</v>
      </c>
      <c r="X2041" s="23"/>
    </row>
    <row r="2042" spans="1:24" s="1" customFormat="1" ht="26" customHeight="1" x14ac:dyDescent="0.3">
      <c r="A2042" s="24" t="s">
        <v>23</v>
      </c>
      <c r="B2042" s="24" t="s">
        <v>1867</v>
      </c>
      <c r="C2042" s="12" t="s">
        <v>1868</v>
      </c>
      <c r="D2042" s="59"/>
      <c r="E2042" s="43" t="str">
        <f>HYPERLINK("https://www.google.ru/search?q=007W2-0000&amp;newwindow=1&amp;tbm=isch","Еще фото")</f>
        <v>Еще фото</v>
      </c>
      <c r="F2042" s="14"/>
      <c r="G2042" s="24" t="s">
        <v>1779</v>
      </c>
      <c r="H2042" s="24" t="s">
        <v>27</v>
      </c>
      <c r="I2042" s="24" t="s">
        <v>1757</v>
      </c>
      <c r="J2042" s="15" t="s">
        <v>37</v>
      </c>
      <c r="K2042" s="16" t="s">
        <v>57</v>
      </c>
      <c r="L2042" s="62"/>
      <c r="M2042" s="15"/>
      <c r="N2042" s="15" t="s">
        <v>130</v>
      </c>
      <c r="O2042" s="15"/>
      <c r="P2042" s="16" t="s">
        <v>1870</v>
      </c>
      <c r="Q2042" s="17">
        <v>13499</v>
      </c>
      <c r="R2042" s="18">
        <v>45</v>
      </c>
      <c r="S2042" s="19">
        <v>8538.1174999999985</v>
      </c>
      <c r="T2042" s="20" t="s">
        <v>33</v>
      </c>
      <c r="U2042" s="21" t="s">
        <v>150</v>
      </c>
      <c r="V2042" s="25" t="s">
        <v>761</v>
      </c>
      <c r="W2042" s="22">
        <v>11</v>
      </c>
      <c r="X2042" s="23"/>
    </row>
    <row r="2043" spans="1:24" s="1" customFormat="1" ht="108" customHeight="1" x14ac:dyDescent="0.3">
      <c r="A2043" s="11" t="s">
        <v>23</v>
      </c>
      <c r="B2043" s="11" t="s">
        <v>1871</v>
      </c>
      <c r="C2043" s="12" t="s">
        <v>1872</v>
      </c>
      <c r="D2043" s="13"/>
      <c r="E2043" s="43" t="str">
        <f>HYPERLINK("https://www.google.ru/search?q=0082L-0000&amp;newwindow=1&amp;tbm=isch","Еще фото")</f>
        <v>Еще фото</v>
      </c>
      <c r="F2043" s="14"/>
      <c r="G2043" s="11" t="s">
        <v>1756</v>
      </c>
      <c r="H2043" s="11" t="s">
        <v>27</v>
      </c>
      <c r="I2043" s="15" t="s">
        <v>1757</v>
      </c>
      <c r="J2043" s="15" t="s">
        <v>37</v>
      </c>
      <c r="K2043" s="16" t="s">
        <v>29</v>
      </c>
      <c r="L2043" s="15" t="s">
        <v>1873</v>
      </c>
      <c r="M2043" s="15"/>
      <c r="N2043" s="15" t="s">
        <v>39</v>
      </c>
      <c r="O2043" s="15"/>
      <c r="P2043" s="16" t="s">
        <v>219</v>
      </c>
      <c r="Q2043" s="17">
        <v>7699</v>
      </c>
      <c r="R2043" s="18">
        <v>45</v>
      </c>
      <c r="S2043" s="19">
        <v>4869.6174999999994</v>
      </c>
      <c r="T2043" s="20" t="s">
        <v>33</v>
      </c>
      <c r="U2043" s="21" t="s">
        <v>62</v>
      </c>
      <c r="V2043" s="22">
        <v>44</v>
      </c>
      <c r="W2043" s="22">
        <v>3</v>
      </c>
      <c r="X2043" s="23"/>
    </row>
    <row r="2044" spans="1:24" s="1" customFormat="1" ht="108" customHeight="1" x14ac:dyDescent="0.3">
      <c r="A2044" s="11" t="s">
        <v>23</v>
      </c>
      <c r="B2044" s="11" t="s">
        <v>1874</v>
      </c>
      <c r="C2044" s="12" t="s">
        <v>1875</v>
      </c>
      <c r="D2044" s="13"/>
      <c r="E2044" s="43" t="str">
        <f>HYPERLINK("https://www.google.ru/search?q=0083Q-0000&amp;newwindow=1&amp;tbm=isch","Еще фото")</f>
        <v>Еще фото</v>
      </c>
      <c r="F2044" s="14"/>
      <c r="G2044" s="11" t="s">
        <v>1783</v>
      </c>
      <c r="H2044" s="11" t="s">
        <v>27</v>
      </c>
      <c r="I2044" s="15" t="s">
        <v>1757</v>
      </c>
      <c r="J2044" s="15" t="s">
        <v>37</v>
      </c>
      <c r="K2044" s="16" t="s">
        <v>57</v>
      </c>
      <c r="L2044" s="15"/>
      <c r="M2044" s="15"/>
      <c r="N2044" s="15" t="s">
        <v>87</v>
      </c>
      <c r="O2044" s="15"/>
      <c r="P2044" s="16" t="s">
        <v>32</v>
      </c>
      <c r="Q2044" s="17">
        <v>9399</v>
      </c>
      <c r="R2044" s="18">
        <v>45</v>
      </c>
      <c r="S2044" s="19">
        <v>5944.8674999999994</v>
      </c>
      <c r="T2044" s="20" t="s">
        <v>75</v>
      </c>
      <c r="U2044" s="21" t="s">
        <v>1494</v>
      </c>
      <c r="V2044" s="22">
        <v>54</v>
      </c>
      <c r="W2044" s="22">
        <v>8</v>
      </c>
      <c r="X2044" s="23"/>
    </row>
    <row r="2045" spans="1:24" s="1" customFormat="1" ht="108" customHeight="1" x14ac:dyDescent="0.3">
      <c r="A2045" s="11" t="s">
        <v>23</v>
      </c>
      <c r="B2045" s="11" t="s">
        <v>1876</v>
      </c>
      <c r="C2045" s="12" t="s">
        <v>1877</v>
      </c>
      <c r="D2045" s="13"/>
      <c r="E2045" s="43" t="str">
        <f>HYPERLINK("https://www.google.ru/search?q=0083U-0000&amp;newwindow=1&amp;tbm=isch","Еще фото")</f>
        <v>Еще фото</v>
      </c>
      <c r="F2045" s="14" t="s">
        <v>182</v>
      </c>
      <c r="G2045" s="11" t="s">
        <v>1756</v>
      </c>
      <c r="H2045" s="11" t="s">
        <v>27</v>
      </c>
      <c r="I2045" s="15" t="s">
        <v>1757</v>
      </c>
      <c r="J2045" s="15" t="s">
        <v>37</v>
      </c>
      <c r="K2045" s="16" t="s">
        <v>57</v>
      </c>
      <c r="L2045" s="15" t="s">
        <v>1878</v>
      </c>
      <c r="M2045" s="15"/>
      <c r="N2045" s="15" t="s">
        <v>87</v>
      </c>
      <c r="O2045" s="15"/>
      <c r="P2045" s="16" t="s">
        <v>32</v>
      </c>
      <c r="Q2045" s="17">
        <v>9899</v>
      </c>
      <c r="R2045" s="18">
        <v>45</v>
      </c>
      <c r="S2045" s="19">
        <v>6261.1174999999994</v>
      </c>
      <c r="T2045" s="20" t="s">
        <v>33</v>
      </c>
      <c r="U2045" s="21" t="s">
        <v>1494</v>
      </c>
      <c r="V2045" s="22">
        <v>54</v>
      </c>
      <c r="W2045" s="22">
        <v>7</v>
      </c>
      <c r="X2045" s="23"/>
    </row>
    <row r="2046" spans="1:24" s="1" customFormat="1" ht="108" customHeight="1" x14ac:dyDescent="0.3">
      <c r="A2046" s="11" t="s">
        <v>23</v>
      </c>
      <c r="B2046" s="11" t="s">
        <v>1879</v>
      </c>
      <c r="C2046" s="12" t="s">
        <v>1880</v>
      </c>
      <c r="D2046" s="13"/>
      <c r="E2046" s="43" t="str">
        <f>HYPERLINK("https://www.google.ru/search?q=0084Q-0000&amp;newwindow=1&amp;tbm=isch","Еще фото")</f>
        <v>Еще фото</v>
      </c>
      <c r="F2046" s="34" t="s">
        <v>469</v>
      </c>
      <c r="G2046" s="11" t="s">
        <v>1756</v>
      </c>
      <c r="H2046" s="11" t="s">
        <v>27</v>
      </c>
      <c r="I2046" s="15" t="s">
        <v>1757</v>
      </c>
      <c r="J2046" s="15" t="s">
        <v>37</v>
      </c>
      <c r="K2046" s="16" t="s">
        <v>57</v>
      </c>
      <c r="L2046" s="15" t="s">
        <v>1881</v>
      </c>
      <c r="M2046" s="15"/>
      <c r="N2046" s="15" t="s">
        <v>39</v>
      </c>
      <c r="O2046" s="15"/>
      <c r="P2046" s="16" t="s">
        <v>32</v>
      </c>
      <c r="Q2046" s="17">
        <v>10699</v>
      </c>
      <c r="R2046" s="18">
        <v>45</v>
      </c>
      <c r="S2046" s="19">
        <v>6767.1174999999994</v>
      </c>
      <c r="T2046" s="20" t="s">
        <v>33</v>
      </c>
      <c r="U2046" s="21" t="s">
        <v>34</v>
      </c>
      <c r="V2046" s="25" t="s">
        <v>90</v>
      </c>
      <c r="W2046" s="22">
        <v>1</v>
      </c>
      <c r="X2046" s="23"/>
    </row>
    <row r="2047" spans="1:24" s="1" customFormat="1" ht="26" customHeight="1" x14ac:dyDescent="0.3">
      <c r="A2047" s="11" t="s">
        <v>23</v>
      </c>
      <c r="B2047" s="11" t="s">
        <v>1879</v>
      </c>
      <c r="C2047" s="12" t="s">
        <v>1882</v>
      </c>
      <c r="D2047" s="57"/>
      <c r="E2047" s="43" t="str">
        <f>HYPERLINK("https://www.google.ru/search?q=0084Q-0003&amp;newwindow=1&amp;tbm=isch","Еще фото")</f>
        <v>Еще фото</v>
      </c>
      <c r="F2047" s="14"/>
      <c r="G2047" s="11" t="s">
        <v>1756</v>
      </c>
      <c r="H2047" s="11" t="s">
        <v>27</v>
      </c>
      <c r="I2047" s="15" t="s">
        <v>1757</v>
      </c>
      <c r="J2047" s="15" t="s">
        <v>37</v>
      </c>
      <c r="K2047" s="16" t="s">
        <v>57</v>
      </c>
      <c r="L2047" s="60" t="s">
        <v>1881</v>
      </c>
      <c r="M2047" s="15"/>
      <c r="N2047" s="15" t="s">
        <v>99</v>
      </c>
      <c r="O2047" s="15"/>
      <c r="P2047" s="16" t="s">
        <v>32</v>
      </c>
      <c r="Q2047" s="17">
        <v>10699</v>
      </c>
      <c r="R2047" s="18">
        <v>45</v>
      </c>
      <c r="S2047" s="19">
        <v>6767.1174999999994</v>
      </c>
      <c r="T2047" s="20" t="s">
        <v>33</v>
      </c>
      <c r="U2047" s="21" t="s">
        <v>62</v>
      </c>
      <c r="V2047" s="22">
        <v>46</v>
      </c>
      <c r="W2047" s="22">
        <v>11</v>
      </c>
      <c r="X2047" s="23"/>
    </row>
    <row r="2048" spans="1:24" s="1" customFormat="1" ht="26" customHeight="1" x14ac:dyDescent="0.3">
      <c r="A2048" s="24" t="s">
        <v>23</v>
      </c>
      <c r="B2048" s="24" t="s">
        <v>1879</v>
      </c>
      <c r="C2048" s="12" t="s">
        <v>1882</v>
      </c>
      <c r="D2048" s="58"/>
      <c r="E2048" s="43" t="str">
        <f>HYPERLINK("https://www.google.ru/search?q=0084Q-0003&amp;newwindow=1&amp;tbm=isch","Еще фото")</f>
        <v>Еще фото</v>
      </c>
      <c r="F2048" s="14"/>
      <c r="G2048" s="24" t="s">
        <v>1756</v>
      </c>
      <c r="H2048" s="24" t="s">
        <v>27</v>
      </c>
      <c r="I2048" s="24" t="s">
        <v>1757</v>
      </c>
      <c r="J2048" s="15" t="s">
        <v>37</v>
      </c>
      <c r="K2048" s="16" t="s">
        <v>57</v>
      </c>
      <c r="L2048" s="61"/>
      <c r="M2048" s="15"/>
      <c r="N2048" s="15" t="s">
        <v>99</v>
      </c>
      <c r="O2048" s="15"/>
      <c r="P2048" s="16" t="s">
        <v>32</v>
      </c>
      <c r="Q2048" s="17">
        <v>10699</v>
      </c>
      <c r="R2048" s="18">
        <v>45</v>
      </c>
      <c r="S2048" s="19">
        <v>6767.1174999999994</v>
      </c>
      <c r="T2048" s="20" t="s">
        <v>33</v>
      </c>
      <c r="U2048" s="21" t="s">
        <v>64</v>
      </c>
      <c r="V2048" s="22">
        <v>48</v>
      </c>
      <c r="W2048" s="22">
        <v>19</v>
      </c>
      <c r="X2048" s="23"/>
    </row>
    <row r="2049" spans="1:24" s="1" customFormat="1" ht="26" customHeight="1" x14ac:dyDescent="0.3">
      <c r="A2049" s="24" t="s">
        <v>23</v>
      </c>
      <c r="B2049" s="24" t="s">
        <v>1879</v>
      </c>
      <c r="C2049" s="12" t="s">
        <v>1882</v>
      </c>
      <c r="D2049" s="58"/>
      <c r="E2049" s="43" t="str">
        <f>HYPERLINK("https://www.google.ru/search?q=0084Q-0003&amp;newwindow=1&amp;tbm=isch","Еще фото")</f>
        <v>Еще фото</v>
      </c>
      <c r="F2049" s="14"/>
      <c r="G2049" s="24" t="s">
        <v>1756</v>
      </c>
      <c r="H2049" s="24" t="s">
        <v>27</v>
      </c>
      <c r="I2049" s="24" t="s">
        <v>1757</v>
      </c>
      <c r="J2049" s="15" t="s">
        <v>37</v>
      </c>
      <c r="K2049" s="16" t="s">
        <v>57</v>
      </c>
      <c r="L2049" s="61"/>
      <c r="M2049" s="15"/>
      <c r="N2049" s="15" t="s">
        <v>99</v>
      </c>
      <c r="O2049" s="15"/>
      <c r="P2049" s="16" t="s">
        <v>32</v>
      </c>
      <c r="Q2049" s="17">
        <v>10699</v>
      </c>
      <c r="R2049" s="18">
        <v>45</v>
      </c>
      <c r="S2049" s="19">
        <v>6767.1174999999994</v>
      </c>
      <c r="T2049" s="20" t="s">
        <v>33</v>
      </c>
      <c r="U2049" s="21" t="s">
        <v>34</v>
      </c>
      <c r="V2049" s="25" t="s">
        <v>90</v>
      </c>
      <c r="W2049" s="22">
        <v>24</v>
      </c>
      <c r="X2049" s="23"/>
    </row>
    <row r="2050" spans="1:24" s="1" customFormat="1" ht="26" customHeight="1" x14ac:dyDescent="0.3">
      <c r="A2050" s="24" t="s">
        <v>23</v>
      </c>
      <c r="B2050" s="24" t="s">
        <v>1879</v>
      </c>
      <c r="C2050" s="12" t="s">
        <v>1882</v>
      </c>
      <c r="D2050" s="59"/>
      <c r="E2050" s="43" t="str">
        <f>HYPERLINK("https://www.google.ru/search?q=0084Q-0003&amp;newwindow=1&amp;tbm=isch","Еще фото")</f>
        <v>Еще фото</v>
      </c>
      <c r="F2050" s="14"/>
      <c r="G2050" s="24" t="s">
        <v>1756</v>
      </c>
      <c r="H2050" s="24" t="s">
        <v>27</v>
      </c>
      <c r="I2050" s="24" t="s">
        <v>1757</v>
      </c>
      <c r="J2050" s="15" t="s">
        <v>37</v>
      </c>
      <c r="K2050" s="16" t="s">
        <v>57</v>
      </c>
      <c r="L2050" s="62"/>
      <c r="M2050" s="15"/>
      <c r="N2050" s="15" t="s">
        <v>99</v>
      </c>
      <c r="O2050" s="15"/>
      <c r="P2050" s="16" t="s">
        <v>32</v>
      </c>
      <c r="Q2050" s="17">
        <v>10699</v>
      </c>
      <c r="R2050" s="18">
        <v>45</v>
      </c>
      <c r="S2050" s="19">
        <v>6767.1174999999994</v>
      </c>
      <c r="T2050" s="20" t="s">
        <v>33</v>
      </c>
      <c r="U2050" s="21" t="s">
        <v>150</v>
      </c>
      <c r="V2050" s="25" t="s">
        <v>761</v>
      </c>
      <c r="W2050" s="22">
        <v>17</v>
      </c>
      <c r="X2050" s="23"/>
    </row>
    <row r="2051" spans="1:24" s="1" customFormat="1" ht="26" customHeight="1" x14ac:dyDescent="0.3">
      <c r="A2051" s="11" t="s">
        <v>23</v>
      </c>
      <c r="B2051" s="11" t="s">
        <v>1883</v>
      </c>
      <c r="C2051" s="12" t="s">
        <v>1884</v>
      </c>
      <c r="D2051" s="57"/>
      <c r="E2051" s="43" t="str">
        <f>HYPERLINK("https://www.google.ru/search?q=009AY-0001&amp;newwindow=1&amp;tbm=isch","Еще фото")</f>
        <v>Еще фото</v>
      </c>
      <c r="F2051" s="34" t="s">
        <v>469</v>
      </c>
      <c r="G2051" s="11" t="s">
        <v>1775</v>
      </c>
      <c r="H2051" s="11" t="s">
        <v>27</v>
      </c>
      <c r="I2051" s="15" t="s">
        <v>1757</v>
      </c>
      <c r="J2051" s="15" t="s">
        <v>37</v>
      </c>
      <c r="K2051" s="16" t="s">
        <v>29</v>
      </c>
      <c r="L2051" s="60"/>
      <c r="M2051" s="15"/>
      <c r="N2051" s="15" t="s">
        <v>87</v>
      </c>
      <c r="O2051" s="15"/>
      <c r="P2051" s="16" t="s">
        <v>219</v>
      </c>
      <c r="Q2051" s="17">
        <v>10699</v>
      </c>
      <c r="R2051" s="18">
        <v>45</v>
      </c>
      <c r="S2051" s="19">
        <v>6767.1174999999994</v>
      </c>
      <c r="T2051" s="20" t="s">
        <v>75</v>
      </c>
      <c r="U2051" s="21" t="s">
        <v>1885</v>
      </c>
      <c r="V2051" s="25" t="s">
        <v>90</v>
      </c>
      <c r="W2051" s="22">
        <v>17</v>
      </c>
      <c r="X2051" s="23"/>
    </row>
    <row r="2052" spans="1:24" s="1" customFormat="1" ht="26" customHeight="1" x14ac:dyDescent="0.3">
      <c r="A2052" s="24" t="s">
        <v>23</v>
      </c>
      <c r="B2052" s="24" t="s">
        <v>1883</v>
      </c>
      <c r="C2052" s="12" t="s">
        <v>1884</v>
      </c>
      <c r="D2052" s="58"/>
      <c r="E2052" s="43" t="str">
        <f>HYPERLINK("https://www.google.ru/search?q=009AY-0001&amp;newwindow=1&amp;tbm=isch","Еще фото")</f>
        <v>Еще фото</v>
      </c>
      <c r="F2052" s="34" t="s">
        <v>469</v>
      </c>
      <c r="G2052" s="24" t="s">
        <v>1775</v>
      </c>
      <c r="H2052" s="24" t="s">
        <v>27</v>
      </c>
      <c r="I2052" s="24" t="s">
        <v>1757</v>
      </c>
      <c r="J2052" s="15" t="s">
        <v>37</v>
      </c>
      <c r="K2052" s="16" t="s">
        <v>29</v>
      </c>
      <c r="L2052" s="61"/>
      <c r="M2052" s="15"/>
      <c r="N2052" s="15" t="s">
        <v>87</v>
      </c>
      <c r="O2052" s="15"/>
      <c r="P2052" s="16" t="s">
        <v>219</v>
      </c>
      <c r="Q2052" s="17">
        <v>10699</v>
      </c>
      <c r="R2052" s="18">
        <v>45</v>
      </c>
      <c r="S2052" s="19">
        <v>6767.1174999999994</v>
      </c>
      <c r="T2052" s="20" t="s">
        <v>75</v>
      </c>
      <c r="U2052" s="21" t="s">
        <v>1886</v>
      </c>
      <c r="V2052" s="25" t="s">
        <v>761</v>
      </c>
      <c r="W2052" s="22">
        <v>18</v>
      </c>
      <c r="X2052" s="23"/>
    </row>
    <row r="2053" spans="1:24" s="1" customFormat="1" ht="26" customHeight="1" x14ac:dyDescent="0.3">
      <c r="A2053" s="24" t="s">
        <v>23</v>
      </c>
      <c r="B2053" s="24" t="s">
        <v>1883</v>
      </c>
      <c r="C2053" s="12" t="s">
        <v>1884</v>
      </c>
      <c r="D2053" s="58"/>
      <c r="E2053" s="43" t="str">
        <f>HYPERLINK("https://www.google.ru/search?q=009AY-0001&amp;newwindow=1&amp;tbm=isch","Еще фото")</f>
        <v>Еще фото</v>
      </c>
      <c r="F2053" s="34" t="s">
        <v>469</v>
      </c>
      <c r="G2053" s="24" t="s">
        <v>1775</v>
      </c>
      <c r="H2053" s="24" t="s">
        <v>27</v>
      </c>
      <c r="I2053" s="24" t="s">
        <v>1757</v>
      </c>
      <c r="J2053" s="15" t="s">
        <v>37</v>
      </c>
      <c r="K2053" s="16" t="s">
        <v>29</v>
      </c>
      <c r="L2053" s="61"/>
      <c r="M2053" s="15"/>
      <c r="N2053" s="15" t="s">
        <v>87</v>
      </c>
      <c r="O2053" s="15"/>
      <c r="P2053" s="16" t="s">
        <v>219</v>
      </c>
      <c r="Q2053" s="17">
        <v>10699</v>
      </c>
      <c r="R2053" s="18">
        <v>45</v>
      </c>
      <c r="S2053" s="19">
        <v>6767.1174999999994</v>
      </c>
      <c r="T2053" s="20" t="s">
        <v>75</v>
      </c>
      <c r="U2053" s="21" t="s">
        <v>1887</v>
      </c>
      <c r="V2053" s="25" t="s">
        <v>538</v>
      </c>
      <c r="W2053" s="22">
        <v>10</v>
      </c>
      <c r="X2053" s="23"/>
    </row>
    <row r="2054" spans="1:24" s="1" customFormat="1" ht="26" customHeight="1" x14ac:dyDescent="0.3">
      <c r="A2054" s="24" t="s">
        <v>23</v>
      </c>
      <c r="B2054" s="24" t="s">
        <v>1883</v>
      </c>
      <c r="C2054" s="12" t="s">
        <v>1884</v>
      </c>
      <c r="D2054" s="59"/>
      <c r="E2054" s="43" t="str">
        <f>HYPERLINK("https://www.google.ru/search?q=009AY-0001&amp;newwindow=1&amp;tbm=isch","Еще фото")</f>
        <v>Еще фото</v>
      </c>
      <c r="F2054" s="34" t="s">
        <v>469</v>
      </c>
      <c r="G2054" s="24" t="s">
        <v>1775</v>
      </c>
      <c r="H2054" s="24" t="s">
        <v>27</v>
      </c>
      <c r="I2054" s="24" t="s">
        <v>1757</v>
      </c>
      <c r="J2054" s="15" t="s">
        <v>37</v>
      </c>
      <c r="K2054" s="16" t="s">
        <v>29</v>
      </c>
      <c r="L2054" s="62"/>
      <c r="M2054" s="15"/>
      <c r="N2054" s="15" t="s">
        <v>87</v>
      </c>
      <c r="O2054" s="15"/>
      <c r="P2054" s="16" t="s">
        <v>219</v>
      </c>
      <c r="Q2054" s="17">
        <v>10699</v>
      </c>
      <c r="R2054" s="18">
        <v>45</v>
      </c>
      <c r="S2054" s="19">
        <v>6767.1174999999994</v>
      </c>
      <c r="T2054" s="20" t="s">
        <v>75</v>
      </c>
      <c r="U2054" s="21" t="s">
        <v>1888</v>
      </c>
      <c r="V2054" s="25" t="s">
        <v>1040</v>
      </c>
      <c r="W2054" s="22">
        <v>10</v>
      </c>
      <c r="X2054" s="23"/>
    </row>
    <row r="2055" spans="1:24" s="1" customFormat="1" ht="52.05" customHeight="1" x14ac:dyDescent="0.3">
      <c r="A2055" s="11" t="s">
        <v>23</v>
      </c>
      <c r="B2055" s="11" t="s">
        <v>1889</v>
      </c>
      <c r="C2055" s="12" t="s">
        <v>1890</v>
      </c>
      <c r="D2055" s="63"/>
      <c r="E2055" s="43" t="str">
        <f>HYPERLINK("https://www.google.ru/search?q=17096-0091&amp;newwindow=1&amp;tbm=isch","Еще фото")</f>
        <v>Еще фото</v>
      </c>
      <c r="F2055" s="14"/>
      <c r="G2055" s="11" t="s">
        <v>1756</v>
      </c>
      <c r="H2055" s="11" t="s">
        <v>27</v>
      </c>
      <c r="I2055" s="15" t="s">
        <v>1757</v>
      </c>
      <c r="J2055" s="15" t="s">
        <v>37</v>
      </c>
      <c r="K2055" s="16" t="s">
        <v>57</v>
      </c>
      <c r="L2055" s="60" t="s">
        <v>1891</v>
      </c>
      <c r="M2055" s="15"/>
      <c r="N2055" s="15" t="s">
        <v>130</v>
      </c>
      <c r="O2055" s="15"/>
      <c r="P2055" s="16" t="s">
        <v>60</v>
      </c>
      <c r="Q2055" s="17">
        <v>5199</v>
      </c>
      <c r="R2055" s="18">
        <v>45</v>
      </c>
      <c r="S2055" s="19">
        <v>3288.3674999999994</v>
      </c>
      <c r="T2055" s="20" t="s">
        <v>33</v>
      </c>
      <c r="U2055" s="21" t="s">
        <v>62</v>
      </c>
      <c r="V2055" s="22">
        <v>46</v>
      </c>
      <c r="W2055" s="22">
        <v>18</v>
      </c>
      <c r="X2055" s="23"/>
    </row>
    <row r="2056" spans="1:24" s="1" customFormat="1" ht="61.05" customHeight="1" x14ac:dyDescent="0.3">
      <c r="A2056" s="24" t="s">
        <v>23</v>
      </c>
      <c r="B2056" s="24" t="s">
        <v>1889</v>
      </c>
      <c r="C2056" s="12" t="s">
        <v>1890</v>
      </c>
      <c r="D2056" s="64"/>
      <c r="E2056" s="43" t="str">
        <f>HYPERLINK("https://www.google.ru/search?q=17096-0091&amp;newwindow=1&amp;tbm=isch","Еще фото")</f>
        <v>Еще фото</v>
      </c>
      <c r="F2056" s="14"/>
      <c r="G2056" s="24" t="s">
        <v>1756</v>
      </c>
      <c r="H2056" s="24" t="s">
        <v>27</v>
      </c>
      <c r="I2056" s="24" t="s">
        <v>1757</v>
      </c>
      <c r="J2056" s="15" t="s">
        <v>37</v>
      </c>
      <c r="K2056" s="16" t="s">
        <v>57</v>
      </c>
      <c r="L2056" s="62"/>
      <c r="M2056" s="15"/>
      <c r="N2056" s="15" t="s">
        <v>130</v>
      </c>
      <c r="O2056" s="15"/>
      <c r="P2056" s="16" t="s">
        <v>60</v>
      </c>
      <c r="Q2056" s="17">
        <v>5199</v>
      </c>
      <c r="R2056" s="18">
        <v>45</v>
      </c>
      <c r="S2056" s="19">
        <v>3288.3674999999994</v>
      </c>
      <c r="T2056" s="20" t="s">
        <v>33</v>
      </c>
      <c r="U2056" s="21" t="s">
        <v>64</v>
      </c>
      <c r="V2056" s="22">
        <v>48</v>
      </c>
      <c r="W2056" s="22">
        <v>1</v>
      </c>
      <c r="X2056" s="23"/>
    </row>
    <row r="2057" spans="1:24" s="1" customFormat="1" ht="108" customHeight="1" x14ac:dyDescent="0.3">
      <c r="A2057" s="11" t="s">
        <v>23</v>
      </c>
      <c r="B2057" s="11" t="s">
        <v>1892</v>
      </c>
      <c r="C2057" s="12" t="s">
        <v>1893</v>
      </c>
      <c r="D2057" s="13"/>
      <c r="E2057" s="43" t="str">
        <f>HYPERLINK("https://www.google.ru/search?q=29945-0012&amp;newwindow=1&amp;tbm=isch","Еще фото")</f>
        <v>Еще фото</v>
      </c>
      <c r="F2057" s="14"/>
      <c r="G2057" s="11" t="s">
        <v>1471</v>
      </c>
      <c r="H2057" s="11" t="s">
        <v>27</v>
      </c>
      <c r="I2057" s="15" t="s">
        <v>1757</v>
      </c>
      <c r="J2057" s="15" t="s">
        <v>28</v>
      </c>
      <c r="K2057" s="16" t="s">
        <v>29</v>
      </c>
      <c r="L2057" s="15"/>
      <c r="M2057" s="15"/>
      <c r="N2057" s="15" t="s">
        <v>130</v>
      </c>
      <c r="O2057" s="15"/>
      <c r="P2057" s="16" t="s">
        <v>891</v>
      </c>
      <c r="Q2057" s="17">
        <v>10899</v>
      </c>
      <c r="R2057" s="18">
        <v>45</v>
      </c>
      <c r="S2057" s="19">
        <v>6893.6174999999994</v>
      </c>
      <c r="T2057" s="20" t="s">
        <v>33</v>
      </c>
      <c r="U2057" s="21" t="s">
        <v>61</v>
      </c>
      <c r="V2057" s="22">
        <v>42</v>
      </c>
      <c r="W2057" s="22">
        <v>1</v>
      </c>
      <c r="X2057" s="23"/>
    </row>
    <row r="2058" spans="1:24" s="1" customFormat="1" ht="26" customHeight="1" x14ac:dyDescent="0.3">
      <c r="A2058" s="11" t="s">
        <v>23</v>
      </c>
      <c r="B2058" s="11" t="s">
        <v>1894</v>
      </c>
      <c r="C2058" s="12" t="s">
        <v>1895</v>
      </c>
      <c r="D2058" s="57"/>
      <c r="E2058" s="43" t="str">
        <f>HYPERLINK("https://www.google.ru/search?q=29945-0013&amp;newwindow=1&amp;tbm=isch","Еще фото")</f>
        <v>Еще фото</v>
      </c>
      <c r="F2058" s="14"/>
      <c r="G2058" s="11" t="s">
        <v>1471</v>
      </c>
      <c r="H2058" s="11" t="s">
        <v>27</v>
      </c>
      <c r="I2058" s="15" t="s">
        <v>1757</v>
      </c>
      <c r="J2058" s="15" t="s">
        <v>28</v>
      </c>
      <c r="K2058" s="16" t="s">
        <v>29</v>
      </c>
      <c r="L2058" s="60"/>
      <c r="M2058" s="15"/>
      <c r="N2058" s="15" t="s">
        <v>130</v>
      </c>
      <c r="O2058" s="15"/>
      <c r="P2058" s="16" t="s">
        <v>891</v>
      </c>
      <c r="Q2058" s="17">
        <v>11899</v>
      </c>
      <c r="R2058" s="18">
        <v>45</v>
      </c>
      <c r="S2058" s="19">
        <v>7526.1174999999994</v>
      </c>
      <c r="T2058" s="20" t="s">
        <v>33</v>
      </c>
      <c r="U2058" s="21" t="s">
        <v>62</v>
      </c>
      <c r="V2058" s="22">
        <v>44</v>
      </c>
      <c r="W2058" s="22">
        <v>6</v>
      </c>
      <c r="X2058" s="23"/>
    </row>
    <row r="2059" spans="1:24" s="1" customFormat="1" ht="26" customHeight="1" x14ac:dyDescent="0.3">
      <c r="A2059" s="24" t="s">
        <v>23</v>
      </c>
      <c r="B2059" s="24" t="s">
        <v>1894</v>
      </c>
      <c r="C2059" s="12" t="s">
        <v>1895</v>
      </c>
      <c r="D2059" s="58"/>
      <c r="E2059" s="43" t="str">
        <f>HYPERLINK("https://www.google.ru/search?q=29945-0013&amp;newwindow=1&amp;tbm=isch","Еще фото")</f>
        <v>Еще фото</v>
      </c>
      <c r="F2059" s="14"/>
      <c r="G2059" s="24" t="s">
        <v>1471</v>
      </c>
      <c r="H2059" s="24" t="s">
        <v>27</v>
      </c>
      <c r="I2059" s="24" t="s">
        <v>1757</v>
      </c>
      <c r="J2059" s="15" t="s">
        <v>28</v>
      </c>
      <c r="K2059" s="16" t="s">
        <v>29</v>
      </c>
      <c r="L2059" s="61"/>
      <c r="M2059" s="15"/>
      <c r="N2059" s="15" t="s">
        <v>130</v>
      </c>
      <c r="O2059" s="15"/>
      <c r="P2059" s="16" t="s">
        <v>891</v>
      </c>
      <c r="Q2059" s="17">
        <v>11899</v>
      </c>
      <c r="R2059" s="18">
        <v>45</v>
      </c>
      <c r="S2059" s="19">
        <v>7526.1174999999994</v>
      </c>
      <c r="T2059" s="20" t="s">
        <v>33</v>
      </c>
      <c r="U2059" s="21" t="s">
        <v>64</v>
      </c>
      <c r="V2059" s="22">
        <v>46</v>
      </c>
      <c r="W2059" s="22">
        <v>20</v>
      </c>
      <c r="X2059" s="23"/>
    </row>
    <row r="2060" spans="1:24" s="1" customFormat="1" ht="26" customHeight="1" x14ac:dyDescent="0.3">
      <c r="A2060" s="24" t="s">
        <v>23</v>
      </c>
      <c r="B2060" s="24" t="s">
        <v>1894</v>
      </c>
      <c r="C2060" s="12" t="s">
        <v>1895</v>
      </c>
      <c r="D2060" s="58"/>
      <c r="E2060" s="43" t="str">
        <f>HYPERLINK("https://www.google.ru/search?q=29945-0013&amp;newwindow=1&amp;tbm=isch","Еще фото")</f>
        <v>Еще фото</v>
      </c>
      <c r="F2060" s="14"/>
      <c r="G2060" s="24" t="s">
        <v>1471</v>
      </c>
      <c r="H2060" s="24" t="s">
        <v>27</v>
      </c>
      <c r="I2060" s="24" t="s">
        <v>1757</v>
      </c>
      <c r="J2060" s="15" t="s">
        <v>28</v>
      </c>
      <c r="K2060" s="16" t="s">
        <v>29</v>
      </c>
      <c r="L2060" s="61"/>
      <c r="M2060" s="15"/>
      <c r="N2060" s="15" t="s">
        <v>130</v>
      </c>
      <c r="O2060" s="15"/>
      <c r="P2060" s="16" t="s">
        <v>891</v>
      </c>
      <c r="Q2060" s="17">
        <v>11899</v>
      </c>
      <c r="R2060" s="18">
        <v>45</v>
      </c>
      <c r="S2060" s="19">
        <v>7526.1174999999994</v>
      </c>
      <c r="T2060" s="20" t="s">
        <v>33</v>
      </c>
      <c r="U2060" s="21" t="s">
        <v>34</v>
      </c>
      <c r="V2060" s="22">
        <v>48</v>
      </c>
      <c r="W2060" s="22">
        <v>24</v>
      </c>
      <c r="X2060" s="23"/>
    </row>
    <row r="2061" spans="1:24" s="1" customFormat="1" ht="26" customHeight="1" x14ac:dyDescent="0.3">
      <c r="A2061" s="24" t="s">
        <v>23</v>
      </c>
      <c r="B2061" s="24" t="s">
        <v>1894</v>
      </c>
      <c r="C2061" s="12" t="s">
        <v>1895</v>
      </c>
      <c r="D2061" s="59"/>
      <c r="E2061" s="43" t="str">
        <f>HYPERLINK("https://www.google.ru/search?q=29945-0013&amp;newwindow=1&amp;tbm=isch","Еще фото")</f>
        <v>Еще фото</v>
      </c>
      <c r="F2061" s="14"/>
      <c r="G2061" s="24" t="s">
        <v>1471</v>
      </c>
      <c r="H2061" s="24" t="s">
        <v>27</v>
      </c>
      <c r="I2061" s="24" t="s">
        <v>1757</v>
      </c>
      <c r="J2061" s="15" t="s">
        <v>28</v>
      </c>
      <c r="K2061" s="16" t="s">
        <v>29</v>
      </c>
      <c r="L2061" s="62"/>
      <c r="M2061" s="15"/>
      <c r="N2061" s="15" t="s">
        <v>130</v>
      </c>
      <c r="O2061" s="15"/>
      <c r="P2061" s="16" t="s">
        <v>891</v>
      </c>
      <c r="Q2061" s="17">
        <v>11899</v>
      </c>
      <c r="R2061" s="18">
        <v>45</v>
      </c>
      <c r="S2061" s="19">
        <v>7526.1174999999994</v>
      </c>
      <c r="T2061" s="20" t="s">
        <v>33</v>
      </c>
      <c r="U2061" s="21" t="s">
        <v>150</v>
      </c>
      <c r="V2061" s="25" t="s">
        <v>90</v>
      </c>
      <c r="W2061" s="22">
        <v>12</v>
      </c>
      <c r="X2061" s="23"/>
    </row>
    <row r="2062" spans="1:24" s="1" customFormat="1" ht="108" customHeight="1" x14ac:dyDescent="0.3">
      <c r="A2062" s="11" t="s">
        <v>23</v>
      </c>
      <c r="B2062" s="11" t="s">
        <v>1896</v>
      </c>
      <c r="C2062" s="12" t="s">
        <v>1897</v>
      </c>
      <c r="D2062" s="13"/>
      <c r="E2062" s="43" t="str">
        <f>HYPERLINK("https://www.google.ru/search?q=29945-0014&amp;newwindow=1&amp;tbm=isch","Еще фото")</f>
        <v>Еще фото</v>
      </c>
      <c r="F2062" s="14" t="s">
        <v>182</v>
      </c>
      <c r="G2062" s="11" t="s">
        <v>1364</v>
      </c>
      <c r="H2062" s="11" t="s">
        <v>27</v>
      </c>
      <c r="I2062" s="15" t="s">
        <v>1757</v>
      </c>
      <c r="J2062" s="15" t="s">
        <v>28</v>
      </c>
      <c r="K2062" s="16" t="s">
        <v>29</v>
      </c>
      <c r="L2062" s="15" t="s">
        <v>1898</v>
      </c>
      <c r="M2062" s="15"/>
      <c r="N2062" s="15" t="s">
        <v>130</v>
      </c>
      <c r="O2062" s="15"/>
      <c r="P2062" s="16" t="s">
        <v>254</v>
      </c>
      <c r="Q2062" s="17">
        <v>14099</v>
      </c>
      <c r="R2062" s="18">
        <v>45</v>
      </c>
      <c r="S2062" s="19">
        <v>8917.6174999999985</v>
      </c>
      <c r="T2062" s="20" t="s">
        <v>33</v>
      </c>
      <c r="U2062" s="21" t="s">
        <v>61</v>
      </c>
      <c r="V2062" s="22">
        <v>42</v>
      </c>
      <c r="W2062" s="22">
        <v>2</v>
      </c>
      <c r="X2062" s="23"/>
    </row>
    <row r="2063" spans="1:24" s="1" customFormat="1" ht="52.05" customHeight="1" x14ac:dyDescent="0.3">
      <c r="A2063" s="11" t="s">
        <v>23</v>
      </c>
      <c r="B2063" s="11" t="s">
        <v>1899</v>
      </c>
      <c r="C2063" s="12" t="s">
        <v>1900</v>
      </c>
      <c r="D2063" s="63"/>
      <c r="E2063" s="43" t="str">
        <f>HYPERLINK("https://www.google.ru/search?q=29945-0038&amp;newwindow=1&amp;tbm=isch","Еще фото")</f>
        <v>Еще фото</v>
      </c>
      <c r="F2063" s="14"/>
      <c r="G2063" s="11" t="s">
        <v>1364</v>
      </c>
      <c r="H2063" s="11" t="s">
        <v>27</v>
      </c>
      <c r="I2063" s="15" t="s">
        <v>1757</v>
      </c>
      <c r="J2063" s="15" t="s">
        <v>28</v>
      </c>
      <c r="K2063" s="16" t="s">
        <v>29</v>
      </c>
      <c r="L2063" s="60" t="s">
        <v>1901</v>
      </c>
      <c r="M2063" s="15" t="s">
        <v>72</v>
      </c>
      <c r="N2063" s="15" t="s">
        <v>39</v>
      </c>
      <c r="O2063" s="15"/>
      <c r="P2063" s="16" t="s">
        <v>297</v>
      </c>
      <c r="Q2063" s="17">
        <v>14899</v>
      </c>
      <c r="R2063" s="18">
        <v>45</v>
      </c>
      <c r="S2063" s="19">
        <v>9423.6175000000003</v>
      </c>
      <c r="T2063" s="20" t="s">
        <v>33</v>
      </c>
      <c r="U2063" s="21" t="s">
        <v>61</v>
      </c>
      <c r="V2063" s="22">
        <v>42</v>
      </c>
      <c r="W2063" s="22">
        <v>1</v>
      </c>
      <c r="X2063" s="23"/>
    </row>
    <row r="2064" spans="1:24" s="1" customFormat="1" ht="61.05" customHeight="1" x14ac:dyDescent="0.3">
      <c r="A2064" s="24" t="s">
        <v>23</v>
      </c>
      <c r="B2064" s="24" t="s">
        <v>1899</v>
      </c>
      <c r="C2064" s="12" t="s">
        <v>1900</v>
      </c>
      <c r="D2064" s="64"/>
      <c r="E2064" s="43" t="str">
        <f>HYPERLINK("https://www.google.ru/search?q=29945-0038&amp;newwindow=1&amp;tbm=isch","Еще фото")</f>
        <v>Еще фото</v>
      </c>
      <c r="F2064" s="14"/>
      <c r="G2064" s="24" t="s">
        <v>1364</v>
      </c>
      <c r="H2064" s="24" t="s">
        <v>27</v>
      </c>
      <c r="I2064" s="24" t="s">
        <v>1757</v>
      </c>
      <c r="J2064" s="15" t="s">
        <v>28</v>
      </c>
      <c r="K2064" s="16" t="s">
        <v>29</v>
      </c>
      <c r="L2064" s="62"/>
      <c r="M2064" s="15" t="s">
        <v>72</v>
      </c>
      <c r="N2064" s="15" t="s">
        <v>39</v>
      </c>
      <c r="O2064" s="15"/>
      <c r="P2064" s="16" t="s">
        <v>297</v>
      </c>
      <c r="Q2064" s="17">
        <v>14899</v>
      </c>
      <c r="R2064" s="18">
        <v>45</v>
      </c>
      <c r="S2064" s="19">
        <v>9423.6175000000003</v>
      </c>
      <c r="T2064" s="20" t="s">
        <v>33</v>
      </c>
      <c r="U2064" s="21" t="s">
        <v>62</v>
      </c>
      <c r="V2064" s="22">
        <v>44</v>
      </c>
      <c r="W2064" s="22">
        <v>1</v>
      </c>
      <c r="X2064" s="23"/>
    </row>
    <row r="2065" spans="1:24" s="1" customFormat="1" ht="26" customHeight="1" x14ac:dyDescent="0.3">
      <c r="A2065" s="11" t="s">
        <v>23</v>
      </c>
      <c r="B2065" s="11" t="s">
        <v>1902</v>
      </c>
      <c r="C2065" s="12" t="s">
        <v>1903</v>
      </c>
      <c r="D2065" s="57"/>
      <c r="E2065" s="43" t="str">
        <f>HYPERLINK("https://www.google.ru/search?q=29945-0100&amp;newwindow=1&amp;tbm=isch","Еще фото")</f>
        <v>Еще фото</v>
      </c>
      <c r="F2065" s="14" t="s">
        <v>182</v>
      </c>
      <c r="G2065" s="11" t="s">
        <v>1364</v>
      </c>
      <c r="H2065" s="11" t="s">
        <v>27</v>
      </c>
      <c r="I2065" s="15" t="s">
        <v>1757</v>
      </c>
      <c r="J2065" s="15" t="s">
        <v>28</v>
      </c>
      <c r="K2065" s="16" t="s">
        <v>29</v>
      </c>
      <c r="L2065" s="60" t="s">
        <v>1904</v>
      </c>
      <c r="M2065" s="15" t="s">
        <v>72</v>
      </c>
      <c r="N2065" s="15" t="s">
        <v>138</v>
      </c>
      <c r="O2065" s="15" t="s">
        <v>121</v>
      </c>
      <c r="P2065" s="16" t="s">
        <v>790</v>
      </c>
      <c r="Q2065" s="17">
        <v>18899</v>
      </c>
      <c r="R2065" s="18">
        <v>45</v>
      </c>
      <c r="S2065" s="19">
        <v>11953.6175</v>
      </c>
      <c r="T2065" s="20" t="s">
        <v>33</v>
      </c>
      <c r="U2065" s="21" t="s">
        <v>1366</v>
      </c>
      <c r="V2065" s="22">
        <v>40</v>
      </c>
      <c r="W2065" s="22">
        <v>6</v>
      </c>
      <c r="X2065" s="23"/>
    </row>
    <row r="2066" spans="1:24" s="1" customFormat="1" ht="26" customHeight="1" x14ac:dyDescent="0.3">
      <c r="A2066" s="24" t="s">
        <v>23</v>
      </c>
      <c r="B2066" s="24" t="s">
        <v>1902</v>
      </c>
      <c r="C2066" s="12" t="s">
        <v>1903</v>
      </c>
      <c r="D2066" s="58"/>
      <c r="E2066" s="43" t="str">
        <f>HYPERLINK("https://www.google.ru/search?q=29945-0100&amp;newwindow=1&amp;tbm=isch","Еще фото")</f>
        <v>Еще фото</v>
      </c>
      <c r="F2066" s="14" t="s">
        <v>182</v>
      </c>
      <c r="G2066" s="24" t="s">
        <v>1364</v>
      </c>
      <c r="H2066" s="24" t="s">
        <v>27</v>
      </c>
      <c r="I2066" s="24" t="s">
        <v>1757</v>
      </c>
      <c r="J2066" s="15" t="s">
        <v>28</v>
      </c>
      <c r="K2066" s="16" t="s">
        <v>29</v>
      </c>
      <c r="L2066" s="61"/>
      <c r="M2066" s="15" t="s">
        <v>72</v>
      </c>
      <c r="N2066" s="15" t="s">
        <v>138</v>
      </c>
      <c r="O2066" s="15" t="s">
        <v>121</v>
      </c>
      <c r="P2066" s="16" t="s">
        <v>790</v>
      </c>
      <c r="Q2066" s="17">
        <v>18899</v>
      </c>
      <c r="R2066" s="18">
        <v>45</v>
      </c>
      <c r="S2066" s="19">
        <v>11953.6175</v>
      </c>
      <c r="T2066" s="20" t="s">
        <v>33</v>
      </c>
      <c r="U2066" s="21" t="s">
        <v>61</v>
      </c>
      <c r="V2066" s="22">
        <v>42</v>
      </c>
      <c r="W2066" s="22">
        <v>5</v>
      </c>
      <c r="X2066" s="23"/>
    </row>
    <row r="2067" spans="1:24" s="1" customFormat="1" ht="26" customHeight="1" x14ac:dyDescent="0.3">
      <c r="A2067" s="24" t="s">
        <v>23</v>
      </c>
      <c r="B2067" s="24" t="s">
        <v>1902</v>
      </c>
      <c r="C2067" s="12" t="s">
        <v>1903</v>
      </c>
      <c r="D2067" s="58"/>
      <c r="E2067" s="43" t="str">
        <f>HYPERLINK("https://www.google.ru/search?q=29945-0100&amp;newwindow=1&amp;tbm=isch","Еще фото")</f>
        <v>Еще фото</v>
      </c>
      <c r="F2067" s="14" t="s">
        <v>182</v>
      </c>
      <c r="G2067" s="24" t="s">
        <v>1364</v>
      </c>
      <c r="H2067" s="24" t="s">
        <v>27</v>
      </c>
      <c r="I2067" s="24" t="s">
        <v>1757</v>
      </c>
      <c r="J2067" s="15" t="s">
        <v>28</v>
      </c>
      <c r="K2067" s="16" t="s">
        <v>29</v>
      </c>
      <c r="L2067" s="61"/>
      <c r="M2067" s="15" t="s">
        <v>72</v>
      </c>
      <c r="N2067" s="15" t="s">
        <v>138</v>
      </c>
      <c r="O2067" s="15" t="s">
        <v>121</v>
      </c>
      <c r="P2067" s="16" t="s">
        <v>790</v>
      </c>
      <c r="Q2067" s="17">
        <v>18899</v>
      </c>
      <c r="R2067" s="18">
        <v>45</v>
      </c>
      <c r="S2067" s="19">
        <v>11953.6175</v>
      </c>
      <c r="T2067" s="20" t="s">
        <v>33</v>
      </c>
      <c r="U2067" s="21" t="s">
        <v>62</v>
      </c>
      <c r="V2067" s="22">
        <v>44</v>
      </c>
      <c r="W2067" s="22">
        <v>5</v>
      </c>
      <c r="X2067" s="23"/>
    </row>
    <row r="2068" spans="1:24" s="1" customFormat="1" ht="26" customHeight="1" x14ac:dyDescent="0.3">
      <c r="A2068" s="24" t="s">
        <v>23</v>
      </c>
      <c r="B2068" s="24" t="s">
        <v>1902</v>
      </c>
      <c r="C2068" s="12" t="s">
        <v>1903</v>
      </c>
      <c r="D2068" s="59"/>
      <c r="E2068" s="43" t="str">
        <f>HYPERLINK("https://www.google.ru/search?q=29945-0100&amp;newwindow=1&amp;tbm=isch","Еще фото")</f>
        <v>Еще фото</v>
      </c>
      <c r="F2068" s="14" t="s">
        <v>182</v>
      </c>
      <c r="G2068" s="24" t="s">
        <v>1364</v>
      </c>
      <c r="H2068" s="24" t="s">
        <v>27</v>
      </c>
      <c r="I2068" s="24" t="s">
        <v>1757</v>
      </c>
      <c r="J2068" s="15" t="s">
        <v>28</v>
      </c>
      <c r="K2068" s="16" t="s">
        <v>29</v>
      </c>
      <c r="L2068" s="62"/>
      <c r="M2068" s="15" t="s">
        <v>72</v>
      </c>
      <c r="N2068" s="15" t="s">
        <v>138</v>
      </c>
      <c r="O2068" s="15" t="s">
        <v>121</v>
      </c>
      <c r="P2068" s="16" t="s">
        <v>790</v>
      </c>
      <c r="Q2068" s="17">
        <v>18899</v>
      </c>
      <c r="R2068" s="18">
        <v>45</v>
      </c>
      <c r="S2068" s="19">
        <v>11953.6175</v>
      </c>
      <c r="T2068" s="20" t="s">
        <v>33</v>
      </c>
      <c r="U2068" s="21" t="s">
        <v>64</v>
      </c>
      <c r="V2068" s="22">
        <v>46</v>
      </c>
      <c r="W2068" s="22">
        <v>1</v>
      </c>
      <c r="X2068" s="23"/>
    </row>
    <row r="2069" spans="1:24" s="1" customFormat="1" ht="108" customHeight="1" x14ac:dyDescent="0.3">
      <c r="A2069" s="11" t="s">
        <v>23</v>
      </c>
      <c r="B2069" s="11" t="s">
        <v>1905</v>
      </c>
      <c r="C2069" s="12" t="s">
        <v>1906</v>
      </c>
      <c r="D2069" s="13"/>
      <c r="E2069" s="43" t="str">
        <f>HYPERLINK("https://www.google.ru/search?q=29945-0232&amp;newwindow=1&amp;tbm=isch","Еще фото")</f>
        <v>Еще фото</v>
      </c>
      <c r="F2069" s="14"/>
      <c r="G2069" s="11" t="s">
        <v>1364</v>
      </c>
      <c r="H2069" s="11" t="s">
        <v>27</v>
      </c>
      <c r="I2069" s="15" t="s">
        <v>1757</v>
      </c>
      <c r="J2069" s="15" t="s">
        <v>28</v>
      </c>
      <c r="K2069" s="16" t="s">
        <v>29</v>
      </c>
      <c r="L2069" s="15" t="s">
        <v>1907</v>
      </c>
      <c r="M2069" s="15"/>
      <c r="N2069" s="15" t="s">
        <v>156</v>
      </c>
      <c r="O2069" s="15"/>
      <c r="P2069" s="16" t="s">
        <v>32</v>
      </c>
      <c r="Q2069" s="17">
        <v>19499</v>
      </c>
      <c r="R2069" s="18">
        <v>45</v>
      </c>
      <c r="S2069" s="19">
        <v>12333.1175</v>
      </c>
      <c r="T2069" s="20" t="s">
        <v>33</v>
      </c>
      <c r="U2069" s="21" t="s">
        <v>62</v>
      </c>
      <c r="V2069" s="22">
        <v>44</v>
      </c>
      <c r="W2069" s="22">
        <v>1</v>
      </c>
      <c r="X2069" s="23"/>
    </row>
    <row r="2070" spans="1:24" s="1" customFormat="1" ht="108" customHeight="1" x14ac:dyDescent="0.3">
      <c r="A2070" s="11" t="s">
        <v>23</v>
      </c>
      <c r="B2070" s="11" t="s">
        <v>1908</v>
      </c>
      <c r="C2070" s="12" t="s">
        <v>1909</v>
      </c>
      <c r="D2070" s="13"/>
      <c r="E2070" s="43" t="str">
        <f>HYPERLINK("https://www.google.ru/search?q=34257-0001&amp;newwindow=1&amp;tbm=isch","Еще фото")</f>
        <v>Еще фото</v>
      </c>
      <c r="F2070" s="14"/>
      <c r="G2070" s="11" t="s">
        <v>1910</v>
      </c>
      <c r="H2070" s="11" t="s">
        <v>27</v>
      </c>
      <c r="I2070" s="15" t="s">
        <v>1757</v>
      </c>
      <c r="J2070" s="15" t="s">
        <v>28</v>
      </c>
      <c r="K2070" s="16" t="s">
        <v>57</v>
      </c>
      <c r="L2070" s="15"/>
      <c r="M2070" s="15"/>
      <c r="N2070" s="15" t="s">
        <v>130</v>
      </c>
      <c r="O2070" s="15"/>
      <c r="P2070" s="16" t="s">
        <v>60</v>
      </c>
      <c r="Q2070" s="17">
        <v>6399</v>
      </c>
      <c r="R2070" s="18">
        <v>45</v>
      </c>
      <c r="S2070" s="19">
        <v>4047.3674999999994</v>
      </c>
      <c r="T2070" s="20" t="s">
        <v>33</v>
      </c>
      <c r="U2070" s="21" t="s">
        <v>34</v>
      </c>
      <c r="V2070" s="25" t="s">
        <v>90</v>
      </c>
      <c r="W2070" s="22">
        <v>1</v>
      </c>
      <c r="X2070" s="23"/>
    </row>
    <row r="2071" spans="1:24" s="1" customFormat="1" ht="108" customHeight="1" x14ac:dyDescent="0.3">
      <c r="A2071" s="11" t="s">
        <v>23</v>
      </c>
      <c r="B2071" s="11" t="s">
        <v>1911</v>
      </c>
      <c r="C2071" s="12" t="s">
        <v>1912</v>
      </c>
      <c r="D2071" s="13"/>
      <c r="E2071" s="43" t="str">
        <f>HYPERLINK("https://www.google.ru/search?q=34581-0001&amp;newwindow=1&amp;tbm=isch","Еще фото")</f>
        <v>Еще фото</v>
      </c>
      <c r="F2071" s="14" t="s">
        <v>182</v>
      </c>
      <c r="G2071" s="11" t="s">
        <v>1756</v>
      </c>
      <c r="H2071" s="11" t="s">
        <v>27</v>
      </c>
      <c r="I2071" s="15" t="s">
        <v>1757</v>
      </c>
      <c r="J2071" s="15" t="s">
        <v>28</v>
      </c>
      <c r="K2071" s="16" t="s">
        <v>57</v>
      </c>
      <c r="L2071" s="15" t="s">
        <v>1913</v>
      </c>
      <c r="M2071" s="15" t="s">
        <v>72</v>
      </c>
      <c r="N2071" s="15" t="s">
        <v>39</v>
      </c>
      <c r="O2071" s="15" t="s">
        <v>121</v>
      </c>
      <c r="P2071" s="16" t="s">
        <v>32</v>
      </c>
      <c r="Q2071" s="17">
        <v>9499</v>
      </c>
      <c r="R2071" s="18">
        <v>45</v>
      </c>
      <c r="S2071" s="19">
        <v>6008.1174999999994</v>
      </c>
      <c r="T2071" s="20" t="s">
        <v>33</v>
      </c>
      <c r="U2071" s="21" t="s">
        <v>64</v>
      </c>
      <c r="V2071" s="22">
        <v>48</v>
      </c>
      <c r="W2071" s="22">
        <v>1</v>
      </c>
      <c r="X2071" s="23"/>
    </row>
    <row r="2072" spans="1:24" s="1" customFormat="1" ht="52.05" customHeight="1" x14ac:dyDescent="0.3">
      <c r="A2072" s="11" t="s">
        <v>23</v>
      </c>
      <c r="B2072" s="11" t="s">
        <v>1914</v>
      </c>
      <c r="C2072" s="12" t="s">
        <v>1915</v>
      </c>
      <c r="D2072" s="63"/>
      <c r="E2072" s="43" t="str">
        <f>HYPERLINK("https://www.google.ru/search?q=34581-0022&amp;newwindow=1&amp;tbm=isch","Еще фото")</f>
        <v>Еще фото</v>
      </c>
      <c r="F2072" s="14"/>
      <c r="G2072" s="11" t="s">
        <v>1756</v>
      </c>
      <c r="H2072" s="11" t="s">
        <v>27</v>
      </c>
      <c r="I2072" s="15" t="s">
        <v>1757</v>
      </c>
      <c r="J2072" s="15" t="s">
        <v>28</v>
      </c>
      <c r="K2072" s="16" t="s">
        <v>57</v>
      </c>
      <c r="L2072" s="60" t="s">
        <v>1916</v>
      </c>
      <c r="M2072" s="15"/>
      <c r="N2072" s="15" t="s">
        <v>130</v>
      </c>
      <c r="O2072" s="15"/>
      <c r="P2072" s="16" t="s">
        <v>32</v>
      </c>
      <c r="Q2072" s="17">
        <v>12599</v>
      </c>
      <c r="R2072" s="18">
        <v>45</v>
      </c>
      <c r="S2072" s="19">
        <v>7968.8674999999994</v>
      </c>
      <c r="T2072" s="20" t="s">
        <v>33</v>
      </c>
      <c r="U2072" s="21" t="s">
        <v>62</v>
      </c>
      <c r="V2072" s="22">
        <v>46</v>
      </c>
      <c r="W2072" s="22">
        <v>2</v>
      </c>
      <c r="X2072" s="23"/>
    </row>
    <row r="2073" spans="1:24" s="1" customFormat="1" ht="61.05" customHeight="1" x14ac:dyDescent="0.3">
      <c r="A2073" s="24" t="s">
        <v>23</v>
      </c>
      <c r="B2073" s="24" t="s">
        <v>1914</v>
      </c>
      <c r="C2073" s="12" t="s">
        <v>1915</v>
      </c>
      <c r="D2073" s="64"/>
      <c r="E2073" s="43" t="str">
        <f>HYPERLINK("https://www.google.ru/search?q=34581-0022&amp;newwindow=1&amp;tbm=isch","Еще фото")</f>
        <v>Еще фото</v>
      </c>
      <c r="F2073" s="14"/>
      <c r="G2073" s="24" t="s">
        <v>1756</v>
      </c>
      <c r="H2073" s="24" t="s">
        <v>27</v>
      </c>
      <c r="I2073" s="24" t="s">
        <v>1757</v>
      </c>
      <c r="J2073" s="15" t="s">
        <v>28</v>
      </c>
      <c r="K2073" s="16" t="s">
        <v>57</v>
      </c>
      <c r="L2073" s="62"/>
      <c r="M2073" s="15"/>
      <c r="N2073" s="15" t="s">
        <v>130</v>
      </c>
      <c r="O2073" s="15"/>
      <c r="P2073" s="16" t="s">
        <v>32</v>
      </c>
      <c r="Q2073" s="17">
        <v>12599</v>
      </c>
      <c r="R2073" s="18">
        <v>45</v>
      </c>
      <c r="S2073" s="19">
        <v>7968.8674999999994</v>
      </c>
      <c r="T2073" s="20" t="s">
        <v>33</v>
      </c>
      <c r="U2073" s="21" t="s">
        <v>64</v>
      </c>
      <c r="V2073" s="22">
        <v>48</v>
      </c>
      <c r="W2073" s="22">
        <v>4</v>
      </c>
      <c r="X2073" s="23"/>
    </row>
    <row r="2074" spans="1:24" s="1" customFormat="1" ht="35" customHeight="1" x14ac:dyDescent="0.3">
      <c r="A2074" s="11" t="s">
        <v>23</v>
      </c>
      <c r="B2074" s="11" t="s">
        <v>1917</v>
      </c>
      <c r="C2074" s="12" t="s">
        <v>1918</v>
      </c>
      <c r="D2074" s="57"/>
      <c r="E2074" s="43" t="str">
        <f>HYPERLINK("https://www.google.ru/search?q=34581-0046&amp;newwindow=1&amp;tbm=isch","Еще фото")</f>
        <v>Еще фото</v>
      </c>
      <c r="F2074" s="14"/>
      <c r="G2074" s="11" t="s">
        <v>1756</v>
      </c>
      <c r="H2074" s="11" t="s">
        <v>27</v>
      </c>
      <c r="I2074" s="15" t="s">
        <v>1757</v>
      </c>
      <c r="J2074" s="15" t="s">
        <v>37</v>
      </c>
      <c r="K2074" s="16" t="s">
        <v>57</v>
      </c>
      <c r="L2074" s="60" t="s">
        <v>1919</v>
      </c>
      <c r="M2074" s="15"/>
      <c r="N2074" s="15" t="s">
        <v>130</v>
      </c>
      <c r="O2074" s="15"/>
      <c r="P2074" s="16" t="s">
        <v>32</v>
      </c>
      <c r="Q2074" s="17">
        <v>12199</v>
      </c>
      <c r="R2074" s="18">
        <v>45</v>
      </c>
      <c r="S2074" s="19">
        <v>7715.8674999999994</v>
      </c>
      <c r="T2074" s="20" t="s">
        <v>33</v>
      </c>
      <c r="U2074" s="21" t="s">
        <v>62</v>
      </c>
      <c r="V2074" s="22">
        <v>46</v>
      </c>
      <c r="W2074" s="22">
        <v>2</v>
      </c>
      <c r="X2074" s="23"/>
    </row>
    <row r="2075" spans="1:24" s="1" customFormat="1" ht="35" customHeight="1" x14ac:dyDescent="0.3">
      <c r="A2075" s="24" t="s">
        <v>23</v>
      </c>
      <c r="B2075" s="24" t="s">
        <v>1917</v>
      </c>
      <c r="C2075" s="12" t="s">
        <v>1918</v>
      </c>
      <c r="D2075" s="58"/>
      <c r="E2075" s="43" t="str">
        <f>HYPERLINK("https://www.google.ru/search?q=34581-0046&amp;newwindow=1&amp;tbm=isch","Еще фото")</f>
        <v>Еще фото</v>
      </c>
      <c r="F2075" s="14"/>
      <c r="G2075" s="24" t="s">
        <v>1756</v>
      </c>
      <c r="H2075" s="24" t="s">
        <v>27</v>
      </c>
      <c r="I2075" s="24" t="s">
        <v>1757</v>
      </c>
      <c r="J2075" s="15" t="s">
        <v>37</v>
      </c>
      <c r="K2075" s="16" t="s">
        <v>57</v>
      </c>
      <c r="L2075" s="61"/>
      <c r="M2075" s="15"/>
      <c r="N2075" s="15" t="s">
        <v>130</v>
      </c>
      <c r="O2075" s="15"/>
      <c r="P2075" s="16" t="s">
        <v>32</v>
      </c>
      <c r="Q2075" s="17">
        <v>12199</v>
      </c>
      <c r="R2075" s="18">
        <v>45</v>
      </c>
      <c r="S2075" s="19">
        <v>7715.8674999999994</v>
      </c>
      <c r="T2075" s="20" t="s">
        <v>33</v>
      </c>
      <c r="U2075" s="21" t="s">
        <v>64</v>
      </c>
      <c r="V2075" s="22">
        <v>48</v>
      </c>
      <c r="W2075" s="22">
        <v>8</v>
      </c>
      <c r="X2075" s="23"/>
    </row>
    <row r="2076" spans="1:24" s="1" customFormat="1" ht="37.049999999999997" customHeight="1" x14ac:dyDescent="0.3">
      <c r="A2076" s="24" t="s">
        <v>23</v>
      </c>
      <c r="B2076" s="24" t="s">
        <v>1917</v>
      </c>
      <c r="C2076" s="12" t="s">
        <v>1918</v>
      </c>
      <c r="D2076" s="59"/>
      <c r="E2076" s="43" t="str">
        <f>HYPERLINK("https://www.google.ru/search?q=34581-0046&amp;newwindow=1&amp;tbm=isch","Еще фото")</f>
        <v>Еще фото</v>
      </c>
      <c r="F2076" s="14"/>
      <c r="G2076" s="24" t="s">
        <v>1756</v>
      </c>
      <c r="H2076" s="24" t="s">
        <v>27</v>
      </c>
      <c r="I2076" s="24" t="s">
        <v>1757</v>
      </c>
      <c r="J2076" s="15" t="s">
        <v>37</v>
      </c>
      <c r="K2076" s="16" t="s">
        <v>57</v>
      </c>
      <c r="L2076" s="62"/>
      <c r="M2076" s="15"/>
      <c r="N2076" s="15" t="s">
        <v>130</v>
      </c>
      <c r="O2076" s="15"/>
      <c r="P2076" s="16" t="s">
        <v>32</v>
      </c>
      <c r="Q2076" s="17">
        <v>12199</v>
      </c>
      <c r="R2076" s="18">
        <v>45</v>
      </c>
      <c r="S2076" s="19">
        <v>7715.8674999999994</v>
      </c>
      <c r="T2076" s="20" t="s">
        <v>33</v>
      </c>
      <c r="U2076" s="21" t="s">
        <v>150</v>
      </c>
      <c r="V2076" s="25" t="s">
        <v>761</v>
      </c>
      <c r="W2076" s="22">
        <v>2</v>
      </c>
      <c r="X2076" s="23"/>
    </row>
    <row r="2077" spans="1:24" s="1" customFormat="1" ht="52.05" customHeight="1" x14ac:dyDescent="0.3">
      <c r="A2077" s="11" t="s">
        <v>23</v>
      </c>
      <c r="B2077" s="11" t="s">
        <v>1920</v>
      </c>
      <c r="C2077" s="12" t="s">
        <v>1921</v>
      </c>
      <c r="D2077" s="63"/>
      <c r="E2077" s="43" t="str">
        <f>HYPERLINK("https://www.google.ru/search?q=34581-0065&amp;newwindow=1&amp;tbm=isch","Еще фото")</f>
        <v>Еще фото</v>
      </c>
      <c r="F2077" s="14" t="s">
        <v>182</v>
      </c>
      <c r="G2077" s="11" t="s">
        <v>1756</v>
      </c>
      <c r="H2077" s="11" t="s">
        <v>27</v>
      </c>
      <c r="I2077" s="15" t="s">
        <v>1757</v>
      </c>
      <c r="J2077" s="15" t="s">
        <v>37</v>
      </c>
      <c r="K2077" s="16" t="s">
        <v>57</v>
      </c>
      <c r="L2077" s="60"/>
      <c r="M2077" s="15"/>
      <c r="N2077" s="15" t="s">
        <v>156</v>
      </c>
      <c r="O2077" s="15"/>
      <c r="P2077" s="16" t="s">
        <v>32</v>
      </c>
      <c r="Q2077" s="17">
        <v>8699</v>
      </c>
      <c r="R2077" s="18">
        <v>45</v>
      </c>
      <c r="S2077" s="19">
        <v>5502.1174999999994</v>
      </c>
      <c r="T2077" s="20" t="s">
        <v>33</v>
      </c>
      <c r="U2077" s="21" t="s">
        <v>34</v>
      </c>
      <c r="V2077" s="25" t="s">
        <v>90</v>
      </c>
      <c r="W2077" s="22">
        <v>4</v>
      </c>
      <c r="X2077" s="23"/>
    </row>
    <row r="2078" spans="1:24" s="1" customFormat="1" ht="61.05" customHeight="1" x14ac:dyDescent="0.3">
      <c r="A2078" s="24" t="s">
        <v>23</v>
      </c>
      <c r="B2078" s="24" t="s">
        <v>1920</v>
      </c>
      <c r="C2078" s="12" t="s">
        <v>1921</v>
      </c>
      <c r="D2078" s="64"/>
      <c r="E2078" s="43" t="str">
        <f>HYPERLINK("https://www.google.ru/search?q=34581-0065&amp;newwindow=1&amp;tbm=isch","Еще фото")</f>
        <v>Еще фото</v>
      </c>
      <c r="F2078" s="14" t="s">
        <v>182</v>
      </c>
      <c r="G2078" s="24" t="s">
        <v>1756</v>
      </c>
      <c r="H2078" s="24" t="s">
        <v>27</v>
      </c>
      <c r="I2078" s="24" t="s">
        <v>1757</v>
      </c>
      <c r="J2078" s="15" t="s">
        <v>37</v>
      </c>
      <c r="K2078" s="16" t="s">
        <v>57</v>
      </c>
      <c r="L2078" s="62"/>
      <c r="M2078" s="15"/>
      <c r="N2078" s="15" t="s">
        <v>156</v>
      </c>
      <c r="O2078" s="15"/>
      <c r="P2078" s="16" t="s">
        <v>32</v>
      </c>
      <c r="Q2078" s="17">
        <v>8699</v>
      </c>
      <c r="R2078" s="18">
        <v>45</v>
      </c>
      <c r="S2078" s="19">
        <v>5502.1174999999994</v>
      </c>
      <c r="T2078" s="20" t="s">
        <v>33</v>
      </c>
      <c r="U2078" s="21" t="s">
        <v>1494</v>
      </c>
      <c r="V2078" s="22">
        <v>54</v>
      </c>
      <c r="W2078" s="22">
        <v>5</v>
      </c>
      <c r="X2078" s="23"/>
    </row>
    <row r="2079" spans="1:24" s="1" customFormat="1" ht="35" customHeight="1" x14ac:dyDescent="0.3">
      <c r="A2079" s="11" t="s">
        <v>23</v>
      </c>
      <c r="B2079" s="11" t="s">
        <v>1922</v>
      </c>
      <c r="C2079" s="12" t="s">
        <v>1923</v>
      </c>
      <c r="D2079" s="57"/>
      <c r="E2079" s="43" t="str">
        <f>HYPERLINK("https://www.google.ru/search?q=35909-0003&amp;newwindow=1&amp;tbm=isch","Еще фото")</f>
        <v>Еще фото</v>
      </c>
      <c r="F2079" s="14" t="s">
        <v>854</v>
      </c>
      <c r="G2079" s="11" t="s">
        <v>1783</v>
      </c>
      <c r="H2079" s="11" t="s">
        <v>27</v>
      </c>
      <c r="I2079" s="15" t="s">
        <v>1757</v>
      </c>
      <c r="J2079" s="15" t="s">
        <v>28</v>
      </c>
      <c r="K2079" s="16" t="s">
        <v>57</v>
      </c>
      <c r="L2079" s="60" t="s">
        <v>1924</v>
      </c>
      <c r="M2079" s="15" t="s">
        <v>72</v>
      </c>
      <c r="N2079" s="15" t="s">
        <v>39</v>
      </c>
      <c r="O2079" s="15" t="s">
        <v>121</v>
      </c>
      <c r="P2079" s="16" t="s">
        <v>172</v>
      </c>
      <c r="Q2079" s="17">
        <v>8599</v>
      </c>
      <c r="R2079" s="18">
        <v>45</v>
      </c>
      <c r="S2079" s="19">
        <v>5438.8674999999994</v>
      </c>
      <c r="T2079" s="20" t="s">
        <v>75</v>
      </c>
      <c r="U2079" s="21" t="s">
        <v>62</v>
      </c>
      <c r="V2079" s="22">
        <v>46</v>
      </c>
      <c r="W2079" s="22">
        <v>18</v>
      </c>
      <c r="X2079" s="23"/>
    </row>
    <row r="2080" spans="1:24" s="1" customFormat="1" ht="35" customHeight="1" x14ac:dyDescent="0.3">
      <c r="A2080" s="24" t="s">
        <v>23</v>
      </c>
      <c r="B2080" s="24" t="s">
        <v>1922</v>
      </c>
      <c r="C2080" s="12" t="s">
        <v>1923</v>
      </c>
      <c r="D2080" s="58"/>
      <c r="E2080" s="43" t="str">
        <f>HYPERLINK("https://www.google.ru/search?q=35909-0003&amp;newwindow=1&amp;tbm=isch","Еще фото")</f>
        <v>Еще фото</v>
      </c>
      <c r="F2080" s="14" t="s">
        <v>854</v>
      </c>
      <c r="G2080" s="24" t="s">
        <v>1783</v>
      </c>
      <c r="H2080" s="24" t="s">
        <v>27</v>
      </c>
      <c r="I2080" s="24" t="s">
        <v>1757</v>
      </c>
      <c r="J2080" s="15" t="s">
        <v>28</v>
      </c>
      <c r="K2080" s="16" t="s">
        <v>57</v>
      </c>
      <c r="L2080" s="61"/>
      <c r="M2080" s="15" t="s">
        <v>72</v>
      </c>
      <c r="N2080" s="15" t="s">
        <v>39</v>
      </c>
      <c r="O2080" s="15" t="s">
        <v>121</v>
      </c>
      <c r="P2080" s="16" t="s">
        <v>172</v>
      </c>
      <c r="Q2080" s="17">
        <v>8599</v>
      </c>
      <c r="R2080" s="18">
        <v>45</v>
      </c>
      <c r="S2080" s="19">
        <v>5438.8674999999994</v>
      </c>
      <c r="T2080" s="20" t="s">
        <v>75</v>
      </c>
      <c r="U2080" s="21" t="s">
        <v>64</v>
      </c>
      <c r="V2080" s="22">
        <v>48</v>
      </c>
      <c r="W2080" s="22">
        <v>2</v>
      </c>
      <c r="X2080" s="23"/>
    </row>
    <row r="2081" spans="1:24" s="1" customFormat="1" ht="37.049999999999997" customHeight="1" x14ac:dyDescent="0.3">
      <c r="A2081" s="24" t="s">
        <v>23</v>
      </c>
      <c r="B2081" s="24" t="s">
        <v>1922</v>
      </c>
      <c r="C2081" s="12" t="s">
        <v>1923</v>
      </c>
      <c r="D2081" s="59"/>
      <c r="E2081" s="43" t="str">
        <f>HYPERLINK("https://www.google.ru/search?q=35909-0003&amp;newwindow=1&amp;tbm=isch","Еще фото")</f>
        <v>Еще фото</v>
      </c>
      <c r="F2081" s="14" t="s">
        <v>854</v>
      </c>
      <c r="G2081" s="24" t="s">
        <v>1783</v>
      </c>
      <c r="H2081" s="24" t="s">
        <v>27</v>
      </c>
      <c r="I2081" s="24" t="s">
        <v>1757</v>
      </c>
      <c r="J2081" s="15" t="s">
        <v>28</v>
      </c>
      <c r="K2081" s="16" t="s">
        <v>57</v>
      </c>
      <c r="L2081" s="62"/>
      <c r="M2081" s="15" t="s">
        <v>72</v>
      </c>
      <c r="N2081" s="15" t="s">
        <v>39</v>
      </c>
      <c r="O2081" s="15" t="s">
        <v>121</v>
      </c>
      <c r="P2081" s="16" t="s">
        <v>172</v>
      </c>
      <c r="Q2081" s="17">
        <v>8599</v>
      </c>
      <c r="R2081" s="18">
        <v>45</v>
      </c>
      <c r="S2081" s="19">
        <v>5438.8674999999994</v>
      </c>
      <c r="T2081" s="20" t="s">
        <v>75</v>
      </c>
      <c r="U2081" s="21" t="s">
        <v>34</v>
      </c>
      <c r="V2081" s="25" t="s">
        <v>90</v>
      </c>
      <c r="W2081" s="22">
        <v>3</v>
      </c>
      <c r="X2081" s="23"/>
    </row>
    <row r="2082" spans="1:24" s="1" customFormat="1" ht="52.05" customHeight="1" x14ac:dyDescent="0.3">
      <c r="A2082" s="11" t="s">
        <v>23</v>
      </c>
      <c r="B2082" s="11" t="s">
        <v>1925</v>
      </c>
      <c r="C2082" s="12" t="s">
        <v>1926</v>
      </c>
      <c r="D2082" s="63"/>
      <c r="E2082" s="43" t="str">
        <f>HYPERLINK("https://www.google.ru/search?q=35909-0079&amp;newwindow=1&amp;tbm=isch","Еще фото")</f>
        <v>Еще фото</v>
      </c>
      <c r="F2082" s="14"/>
      <c r="G2082" s="11" t="s">
        <v>1775</v>
      </c>
      <c r="H2082" s="11" t="s">
        <v>27</v>
      </c>
      <c r="I2082" s="15" t="s">
        <v>1757</v>
      </c>
      <c r="J2082" s="15" t="s">
        <v>37</v>
      </c>
      <c r="K2082" s="16" t="s">
        <v>57</v>
      </c>
      <c r="L2082" s="60" t="s">
        <v>1927</v>
      </c>
      <c r="M2082" s="15"/>
      <c r="N2082" s="15" t="s">
        <v>73</v>
      </c>
      <c r="O2082" s="15"/>
      <c r="P2082" s="16" t="s">
        <v>32</v>
      </c>
      <c r="Q2082" s="17">
        <v>8599</v>
      </c>
      <c r="R2082" s="18">
        <v>45</v>
      </c>
      <c r="S2082" s="19">
        <v>5438.8674999999994</v>
      </c>
      <c r="T2082" s="20" t="s">
        <v>33</v>
      </c>
      <c r="U2082" s="21" t="s">
        <v>34</v>
      </c>
      <c r="V2082" s="25" t="s">
        <v>90</v>
      </c>
      <c r="W2082" s="22">
        <v>1</v>
      </c>
      <c r="X2082" s="23"/>
    </row>
    <row r="2083" spans="1:24" s="1" customFormat="1" ht="61.05" customHeight="1" x14ac:dyDescent="0.3">
      <c r="A2083" s="24" t="s">
        <v>23</v>
      </c>
      <c r="B2083" s="24" t="s">
        <v>1925</v>
      </c>
      <c r="C2083" s="12" t="s">
        <v>1926</v>
      </c>
      <c r="D2083" s="64"/>
      <c r="E2083" s="43" t="str">
        <f>HYPERLINK("https://www.google.ru/search?q=35909-0079&amp;newwindow=1&amp;tbm=isch","Еще фото")</f>
        <v>Еще фото</v>
      </c>
      <c r="F2083" s="14"/>
      <c r="G2083" s="24" t="s">
        <v>1775</v>
      </c>
      <c r="H2083" s="24" t="s">
        <v>27</v>
      </c>
      <c r="I2083" s="24" t="s">
        <v>1757</v>
      </c>
      <c r="J2083" s="15" t="s">
        <v>37</v>
      </c>
      <c r="K2083" s="16" t="s">
        <v>57</v>
      </c>
      <c r="L2083" s="62"/>
      <c r="M2083" s="15"/>
      <c r="N2083" s="15" t="s">
        <v>73</v>
      </c>
      <c r="O2083" s="15"/>
      <c r="P2083" s="16" t="s">
        <v>32</v>
      </c>
      <c r="Q2083" s="17">
        <v>8599</v>
      </c>
      <c r="R2083" s="18">
        <v>45</v>
      </c>
      <c r="S2083" s="19">
        <v>5438.8674999999994</v>
      </c>
      <c r="T2083" s="20" t="s">
        <v>33</v>
      </c>
      <c r="U2083" s="21" t="s">
        <v>150</v>
      </c>
      <c r="V2083" s="25" t="s">
        <v>761</v>
      </c>
      <c r="W2083" s="22">
        <v>1</v>
      </c>
      <c r="X2083" s="23"/>
    </row>
    <row r="2084" spans="1:24" s="1" customFormat="1" ht="35" customHeight="1" x14ac:dyDescent="0.3">
      <c r="A2084" s="11" t="s">
        <v>23</v>
      </c>
      <c r="B2084" s="11" t="s">
        <v>1925</v>
      </c>
      <c r="C2084" s="12" t="s">
        <v>1928</v>
      </c>
      <c r="D2084" s="57"/>
      <c r="E2084" s="43" t="str">
        <f>HYPERLINK("https://www.google.ru/search?q=35909-0080&amp;newwindow=1&amp;tbm=isch","Еще фото")</f>
        <v>Еще фото</v>
      </c>
      <c r="F2084" s="14" t="s">
        <v>182</v>
      </c>
      <c r="G2084" s="11" t="s">
        <v>1783</v>
      </c>
      <c r="H2084" s="11" t="s">
        <v>27</v>
      </c>
      <c r="I2084" s="15" t="s">
        <v>1757</v>
      </c>
      <c r="J2084" s="15" t="s">
        <v>37</v>
      </c>
      <c r="K2084" s="16" t="s">
        <v>57</v>
      </c>
      <c r="L2084" s="60"/>
      <c r="M2084" s="15"/>
      <c r="N2084" s="15" t="s">
        <v>39</v>
      </c>
      <c r="O2084" s="15"/>
      <c r="P2084" s="16" t="s">
        <v>32</v>
      </c>
      <c r="Q2084" s="17">
        <v>8199</v>
      </c>
      <c r="R2084" s="18">
        <v>45</v>
      </c>
      <c r="S2084" s="19">
        <v>5185.8674999999994</v>
      </c>
      <c r="T2084" s="20" t="s">
        <v>33</v>
      </c>
      <c r="U2084" s="21" t="s">
        <v>62</v>
      </c>
      <c r="V2084" s="22">
        <v>46</v>
      </c>
      <c r="W2084" s="22">
        <v>4</v>
      </c>
      <c r="X2084" s="23"/>
    </row>
    <row r="2085" spans="1:24" s="1" customFormat="1" ht="35" customHeight="1" x14ac:dyDescent="0.3">
      <c r="A2085" s="24" t="s">
        <v>23</v>
      </c>
      <c r="B2085" s="24" t="s">
        <v>1925</v>
      </c>
      <c r="C2085" s="12" t="s">
        <v>1928</v>
      </c>
      <c r="D2085" s="58"/>
      <c r="E2085" s="43" t="str">
        <f>HYPERLINK("https://www.google.ru/search?q=35909-0080&amp;newwindow=1&amp;tbm=isch","Еще фото")</f>
        <v>Еще фото</v>
      </c>
      <c r="F2085" s="14" t="s">
        <v>182</v>
      </c>
      <c r="G2085" s="24" t="s">
        <v>1783</v>
      </c>
      <c r="H2085" s="24" t="s">
        <v>27</v>
      </c>
      <c r="I2085" s="24" t="s">
        <v>1757</v>
      </c>
      <c r="J2085" s="15" t="s">
        <v>37</v>
      </c>
      <c r="K2085" s="16" t="s">
        <v>57</v>
      </c>
      <c r="L2085" s="61"/>
      <c r="M2085" s="15"/>
      <c r="N2085" s="15" t="s">
        <v>39</v>
      </c>
      <c r="O2085" s="15"/>
      <c r="P2085" s="16" t="s">
        <v>32</v>
      </c>
      <c r="Q2085" s="17">
        <v>8199</v>
      </c>
      <c r="R2085" s="18">
        <v>45</v>
      </c>
      <c r="S2085" s="19">
        <v>5185.8674999999994</v>
      </c>
      <c r="T2085" s="20" t="s">
        <v>33</v>
      </c>
      <c r="U2085" s="21" t="s">
        <v>150</v>
      </c>
      <c r="V2085" s="25" t="s">
        <v>761</v>
      </c>
      <c r="W2085" s="22">
        <v>1</v>
      </c>
      <c r="X2085" s="23"/>
    </row>
    <row r="2086" spans="1:24" s="1" customFormat="1" ht="37.049999999999997" customHeight="1" x14ac:dyDescent="0.3">
      <c r="A2086" s="24" t="s">
        <v>23</v>
      </c>
      <c r="B2086" s="24" t="s">
        <v>1925</v>
      </c>
      <c r="C2086" s="12" t="s">
        <v>1928</v>
      </c>
      <c r="D2086" s="59"/>
      <c r="E2086" s="43" t="str">
        <f>HYPERLINK("https://www.google.ru/search?q=35909-0080&amp;newwindow=1&amp;tbm=isch","Еще фото")</f>
        <v>Еще фото</v>
      </c>
      <c r="F2086" s="14" t="s">
        <v>182</v>
      </c>
      <c r="G2086" s="24" t="s">
        <v>1783</v>
      </c>
      <c r="H2086" s="24" t="s">
        <v>27</v>
      </c>
      <c r="I2086" s="24" t="s">
        <v>1757</v>
      </c>
      <c r="J2086" s="15" t="s">
        <v>37</v>
      </c>
      <c r="K2086" s="16" t="s">
        <v>57</v>
      </c>
      <c r="L2086" s="62"/>
      <c r="M2086" s="15"/>
      <c r="N2086" s="15" t="s">
        <v>39</v>
      </c>
      <c r="O2086" s="15"/>
      <c r="P2086" s="16" t="s">
        <v>32</v>
      </c>
      <c r="Q2086" s="17">
        <v>8199</v>
      </c>
      <c r="R2086" s="18">
        <v>45</v>
      </c>
      <c r="S2086" s="19">
        <v>5185.8674999999994</v>
      </c>
      <c r="T2086" s="20" t="s">
        <v>33</v>
      </c>
      <c r="U2086" s="21" t="s">
        <v>1494</v>
      </c>
      <c r="V2086" s="22">
        <v>54</v>
      </c>
      <c r="W2086" s="22">
        <v>2</v>
      </c>
      <c r="X2086" s="23"/>
    </row>
    <row r="2087" spans="1:24" s="1" customFormat="1" ht="21" customHeight="1" x14ac:dyDescent="0.3">
      <c r="A2087" s="11" t="s">
        <v>23</v>
      </c>
      <c r="B2087" s="11" t="s">
        <v>1929</v>
      </c>
      <c r="C2087" s="30" t="s">
        <v>1930</v>
      </c>
      <c r="D2087" s="57"/>
      <c r="E2087" s="43" t="str">
        <f>HYPERLINK("https://www.google.ru/search?q=35978-0008&amp;newwindow=1&amp;tbm=isch","Еще фото")</f>
        <v>Еще фото</v>
      </c>
      <c r="F2087" s="14"/>
      <c r="G2087" s="11" t="s">
        <v>1775</v>
      </c>
      <c r="H2087" s="11" t="s">
        <v>27</v>
      </c>
      <c r="I2087" s="15" t="s">
        <v>1757</v>
      </c>
      <c r="J2087" s="15" t="s">
        <v>37</v>
      </c>
      <c r="K2087" s="16" t="s">
        <v>57</v>
      </c>
      <c r="L2087" s="60" t="s">
        <v>1931</v>
      </c>
      <c r="M2087" s="15" t="s">
        <v>72</v>
      </c>
      <c r="N2087" s="15" t="s">
        <v>83</v>
      </c>
      <c r="O2087" s="15" t="s">
        <v>121</v>
      </c>
      <c r="P2087" s="16" t="s">
        <v>40</v>
      </c>
      <c r="Q2087" s="17">
        <v>9099</v>
      </c>
      <c r="R2087" s="18">
        <v>45</v>
      </c>
      <c r="S2087" s="19">
        <v>5755.1174999999994</v>
      </c>
      <c r="T2087" s="20" t="s">
        <v>75</v>
      </c>
      <c r="U2087" s="21" t="s">
        <v>62</v>
      </c>
      <c r="V2087" s="22">
        <v>46</v>
      </c>
      <c r="W2087" s="22">
        <v>4</v>
      </c>
      <c r="X2087" s="23"/>
    </row>
    <row r="2088" spans="1:24" s="1" customFormat="1" ht="21" customHeight="1" x14ac:dyDescent="0.3">
      <c r="A2088" s="24" t="s">
        <v>23</v>
      </c>
      <c r="B2088" s="24" t="s">
        <v>1929</v>
      </c>
      <c r="C2088" s="31" t="s">
        <v>1930</v>
      </c>
      <c r="D2088" s="58"/>
      <c r="E2088" s="43" t="str">
        <f>HYPERLINK("https://www.google.ru/search?q=35978-0008&amp;newwindow=1&amp;tbm=isch","Еще фото")</f>
        <v>Еще фото</v>
      </c>
      <c r="F2088" s="14"/>
      <c r="G2088" s="24" t="s">
        <v>1775</v>
      </c>
      <c r="H2088" s="24" t="s">
        <v>27</v>
      </c>
      <c r="I2088" s="24" t="s">
        <v>1757</v>
      </c>
      <c r="J2088" s="15" t="s">
        <v>37</v>
      </c>
      <c r="K2088" s="16" t="s">
        <v>57</v>
      </c>
      <c r="L2088" s="61"/>
      <c r="M2088" s="15" t="s">
        <v>72</v>
      </c>
      <c r="N2088" s="15" t="s">
        <v>83</v>
      </c>
      <c r="O2088" s="15" t="s">
        <v>121</v>
      </c>
      <c r="P2088" s="16" t="s">
        <v>40</v>
      </c>
      <c r="Q2088" s="17">
        <v>9099</v>
      </c>
      <c r="R2088" s="18">
        <v>45</v>
      </c>
      <c r="S2088" s="19">
        <v>5755.1174999999994</v>
      </c>
      <c r="T2088" s="20" t="s">
        <v>75</v>
      </c>
      <c r="U2088" s="21" t="s">
        <v>64</v>
      </c>
      <c r="V2088" s="22">
        <v>48</v>
      </c>
      <c r="W2088" s="22">
        <v>2</v>
      </c>
      <c r="X2088" s="23"/>
    </row>
    <row r="2089" spans="1:24" s="1" customFormat="1" ht="21" customHeight="1" x14ac:dyDescent="0.3">
      <c r="A2089" s="24" t="s">
        <v>23</v>
      </c>
      <c r="B2089" s="24" t="s">
        <v>1929</v>
      </c>
      <c r="C2089" s="31" t="s">
        <v>1930</v>
      </c>
      <c r="D2089" s="58"/>
      <c r="E2089" s="43" t="str">
        <f>HYPERLINK("https://www.google.ru/search?q=35978-0008&amp;newwindow=1&amp;tbm=isch","Еще фото")</f>
        <v>Еще фото</v>
      </c>
      <c r="F2089" s="14"/>
      <c r="G2089" s="24" t="s">
        <v>1775</v>
      </c>
      <c r="H2089" s="24" t="s">
        <v>27</v>
      </c>
      <c r="I2089" s="24" t="s">
        <v>1757</v>
      </c>
      <c r="J2089" s="15" t="s">
        <v>37</v>
      </c>
      <c r="K2089" s="16" t="s">
        <v>57</v>
      </c>
      <c r="L2089" s="61"/>
      <c r="M2089" s="15" t="s">
        <v>72</v>
      </c>
      <c r="N2089" s="15" t="s">
        <v>83</v>
      </c>
      <c r="O2089" s="15" t="s">
        <v>121</v>
      </c>
      <c r="P2089" s="16" t="s">
        <v>40</v>
      </c>
      <c r="Q2089" s="17">
        <v>9099</v>
      </c>
      <c r="R2089" s="18">
        <v>45</v>
      </c>
      <c r="S2089" s="19">
        <v>5755.1174999999994</v>
      </c>
      <c r="T2089" s="20" t="s">
        <v>75</v>
      </c>
      <c r="U2089" s="21" t="s">
        <v>34</v>
      </c>
      <c r="V2089" s="25" t="s">
        <v>90</v>
      </c>
      <c r="W2089" s="22">
        <v>1</v>
      </c>
      <c r="X2089" s="23"/>
    </row>
    <row r="2090" spans="1:24" s="1" customFormat="1" ht="21" customHeight="1" x14ac:dyDescent="0.3">
      <c r="A2090" s="24" t="s">
        <v>23</v>
      </c>
      <c r="B2090" s="24" t="s">
        <v>1929</v>
      </c>
      <c r="C2090" s="31" t="s">
        <v>1930</v>
      </c>
      <c r="D2090" s="58"/>
      <c r="E2090" s="43" t="str">
        <f>HYPERLINK("https://www.google.ru/search?q=35978-0008&amp;newwindow=1&amp;tbm=isch","Еще фото")</f>
        <v>Еще фото</v>
      </c>
      <c r="F2090" s="14"/>
      <c r="G2090" s="24" t="s">
        <v>1775</v>
      </c>
      <c r="H2090" s="24" t="s">
        <v>27</v>
      </c>
      <c r="I2090" s="24" t="s">
        <v>1757</v>
      </c>
      <c r="J2090" s="15" t="s">
        <v>37</v>
      </c>
      <c r="K2090" s="16" t="s">
        <v>57</v>
      </c>
      <c r="L2090" s="61"/>
      <c r="M2090" s="15" t="s">
        <v>72</v>
      </c>
      <c r="N2090" s="15" t="s">
        <v>83</v>
      </c>
      <c r="O2090" s="15" t="s">
        <v>121</v>
      </c>
      <c r="P2090" s="16" t="s">
        <v>40</v>
      </c>
      <c r="Q2090" s="17">
        <v>9099</v>
      </c>
      <c r="R2090" s="18">
        <v>45</v>
      </c>
      <c r="S2090" s="19">
        <v>5755.1174999999994</v>
      </c>
      <c r="T2090" s="20" t="s">
        <v>75</v>
      </c>
      <c r="U2090" s="21" t="s">
        <v>150</v>
      </c>
      <c r="V2090" s="25" t="s">
        <v>761</v>
      </c>
      <c r="W2090" s="22">
        <v>3</v>
      </c>
      <c r="X2090" s="23"/>
    </row>
    <row r="2091" spans="1:24" s="1" customFormat="1" ht="32" customHeight="1" x14ac:dyDescent="0.3">
      <c r="A2091" s="24" t="s">
        <v>23</v>
      </c>
      <c r="B2091" s="24" t="s">
        <v>1929</v>
      </c>
      <c r="C2091" s="31" t="s">
        <v>1930</v>
      </c>
      <c r="D2091" s="59"/>
      <c r="E2091" s="43" t="str">
        <f>HYPERLINK("https://www.google.ru/search?q=35978-0008&amp;newwindow=1&amp;tbm=isch","Еще фото")</f>
        <v>Еще фото</v>
      </c>
      <c r="F2091" s="14"/>
      <c r="G2091" s="24" t="s">
        <v>1775</v>
      </c>
      <c r="H2091" s="24" t="s">
        <v>27</v>
      </c>
      <c r="I2091" s="24" t="s">
        <v>1757</v>
      </c>
      <c r="J2091" s="15" t="s">
        <v>37</v>
      </c>
      <c r="K2091" s="16" t="s">
        <v>57</v>
      </c>
      <c r="L2091" s="62"/>
      <c r="M2091" s="15" t="s">
        <v>72</v>
      </c>
      <c r="N2091" s="15" t="s">
        <v>83</v>
      </c>
      <c r="O2091" s="15" t="s">
        <v>121</v>
      </c>
      <c r="P2091" s="16" t="s">
        <v>40</v>
      </c>
      <c r="Q2091" s="17">
        <v>9099</v>
      </c>
      <c r="R2091" s="18">
        <v>45</v>
      </c>
      <c r="S2091" s="19">
        <v>5755.1174999999994</v>
      </c>
      <c r="T2091" s="20" t="s">
        <v>75</v>
      </c>
      <c r="U2091" s="21" t="s">
        <v>1494</v>
      </c>
      <c r="V2091" s="22">
        <v>54</v>
      </c>
      <c r="W2091" s="22">
        <v>2</v>
      </c>
      <c r="X2091" s="23"/>
    </row>
    <row r="2092" spans="1:24" s="1" customFormat="1" ht="26" customHeight="1" x14ac:dyDescent="0.3">
      <c r="A2092" s="11" t="s">
        <v>23</v>
      </c>
      <c r="B2092" s="11" t="s">
        <v>1932</v>
      </c>
      <c r="C2092" s="12" t="s">
        <v>1933</v>
      </c>
      <c r="D2092" s="57"/>
      <c r="E2092" s="43" t="str">
        <f>HYPERLINK("https://www.google.ru/search?q=38423-0034&amp;newwindow=1&amp;tbm=isch","Еще фото")</f>
        <v>Еще фото</v>
      </c>
      <c r="F2092" s="14"/>
      <c r="G2092" s="11" t="s">
        <v>1783</v>
      </c>
      <c r="H2092" s="11" t="s">
        <v>27</v>
      </c>
      <c r="I2092" s="15" t="s">
        <v>1757</v>
      </c>
      <c r="J2092" s="15" t="s">
        <v>37</v>
      </c>
      <c r="K2092" s="16" t="s">
        <v>57</v>
      </c>
      <c r="L2092" s="60" t="s">
        <v>1810</v>
      </c>
      <c r="M2092" s="15"/>
      <c r="N2092" s="15" t="s">
        <v>83</v>
      </c>
      <c r="O2092" s="15"/>
      <c r="P2092" s="16" t="s">
        <v>60</v>
      </c>
      <c r="Q2092" s="17">
        <v>12599</v>
      </c>
      <c r="R2092" s="18">
        <v>45</v>
      </c>
      <c r="S2092" s="19">
        <v>7968.8674999999994</v>
      </c>
      <c r="T2092" s="20" t="s">
        <v>33</v>
      </c>
      <c r="U2092" s="21" t="s">
        <v>62</v>
      </c>
      <c r="V2092" s="22">
        <v>46</v>
      </c>
      <c r="W2092" s="22">
        <v>4</v>
      </c>
      <c r="X2092" s="23"/>
    </row>
    <row r="2093" spans="1:24" s="1" customFormat="1" ht="26" customHeight="1" x14ac:dyDescent="0.3">
      <c r="A2093" s="24" t="s">
        <v>23</v>
      </c>
      <c r="B2093" s="24" t="s">
        <v>1932</v>
      </c>
      <c r="C2093" s="12" t="s">
        <v>1933</v>
      </c>
      <c r="D2093" s="58"/>
      <c r="E2093" s="43" t="str">
        <f>HYPERLINK("https://www.google.ru/search?q=38423-0034&amp;newwindow=1&amp;tbm=isch","Еще фото")</f>
        <v>Еще фото</v>
      </c>
      <c r="F2093" s="14"/>
      <c r="G2093" s="24" t="s">
        <v>1783</v>
      </c>
      <c r="H2093" s="24" t="s">
        <v>27</v>
      </c>
      <c r="I2093" s="24" t="s">
        <v>1757</v>
      </c>
      <c r="J2093" s="15" t="s">
        <v>37</v>
      </c>
      <c r="K2093" s="16" t="s">
        <v>57</v>
      </c>
      <c r="L2093" s="61"/>
      <c r="M2093" s="15"/>
      <c r="N2093" s="15" t="s">
        <v>83</v>
      </c>
      <c r="O2093" s="15"/>
      <c r="P2093" s="16" t="s">
        <v>60</v>
      </c>
      <c r="Q2093" s="17">
        <v>12599</v>
      </c>
      <c r="R2093" s="18">
        <v>45</v>
      </c>
      <c r="S2093" s="19">
        <v>7968.8674999999994</v>
      </c>
      <c r="T2093" s="20" t="s">
        <v>33</v>
      </c>
      <c r="U2093" s="21" t="s">
        <v>64</v>
      </c>
      <c r="V2093" s="22">
        <v>48</v>
      </c>
      <c r="W2093" s="22">
        <v>2</v>
      </c>
      <c r="X2093" s="23"/>
    </row>
    <row r="2094" spans="1:24" s="1" customFormat="1" ht="26" customHeight="1" x14ac:dyDescent="0.3">
      <c r="A2094" s="24" t="s">
        <v>23</v>
      </c>
      <c r="B2094" s="24" t="s">
        <v>1932</v>
      </c>
      <c r="C2094" s="12" t="s">
        <v>1933</v>
      </c>
      <c r="D2094" s="58"/>
      <c r="E2094" s="43" t="str">
        <f>HYPERLINK("https://www.google.ru/search?q=38423-0034&amp;newwindow=1&amp;tbm=isch","Еще фото")</f>
        <v>Еще фото</v>
      </c>
      <c r="F2094" s="14"/>
      <c r="G2094" s="24" t="s">
        <v>1783</v>
      </c>
      <c r="H2094" s="24" t="s">
        <v>27</v>
      </c>
      <c r="I2094" s="24" t="s">
        <v>1757</v>
      </c>
      <c r="J2094" s="15" t="s">
        <v>37</v>
      </c>
      <c r="K2094" s="16" t="s">
        <v>57</v>
      </c>
      <c r="L2094" s="61"/>
      <c r="M2094" s="15"/>
      <c r="N2094" s="15" t="s">
        <v>83</v>
      </c>
      <c r="O2094" s="15"/>
      <c r="P2094" s="16" t="s">
        <v>60</v>
      </c>
      <c r="Q2094" s="17">
        <v>12599</v>
      </c>
      <c r="R2094" s="18">
        <v>45</v>
      </c>
      <c r="S2094" s="19">
        <v>7968.8674999999994</v>
      </c>
      <c r="T2094" s="20" t="s">
        <v>33</v>
      </c>
      <c r="U2094" s="21" t="s">
        <v>34</v>
      </c>
      <c r="V2094" s="25" t="s">
        <v>90</v>
      </c>
      <c r="W2094" s="22">
        <v>3</v>
      </c>
      <c r="X2094" s="23"/>
    </row>
    <row r="2095" spans="1:24" s="1" customFormat="1" ht="26" customHeight="1" x14ac:dyDescent="0.3">
      <c r="A2095" s="24" t="s">
        <v>23</v>
      </c>
      <c r="B2095" s="24" t="s">
        <v>1932</v>
      </c>
      <c r="C2095" s="12" t="s">
        <v>1933</v>
      </c>
      <c r="D2095" s="59"/>
      <c r="E2095" s="43" t="str">
        <f>HYPERLINK("https://www.google.ru/search?q=38423-0034&amp;newwindow=1&amp;tbm=isch","Еще фото")</f>
        <v>Еще фото</v>
      </c>
      <c r="F2095" s="14"/>
      <c r="G2095" s="24" t="s">
        <v>1783</v>
      </c>
      <c r="H2095" s="24" t="s">
        <v>27</v>
      </c>
      <c r="I2095" s="24" t="s">
        <v>1757</v>
      </c>
      <c r="J2095" s="15" t="s">
        <v>37</v>
      </c>
      <c r="K2095" s="16" t="s">
        <v>57</v>
      </c>
      <c r="L2095" s="62"/>
      <c r="M2095" s="15"/>
      <c r="N2095" s="15" t="s">
        <v>83</v>
      </c>
      <c r="O2095" s="15"/>
      <c r="P2095" s="16" t="s">
        <v>60</v>
      </c>
      <c r="Q2095" s="17">
        <v>12599</v>
      </c>
      <c r="R2095" s="18">
        <v>45</v>
      </c>
      <c r="S2095" s="19">
        <v>7968.8674999999994</v>
      </c>
      <c r="T2095" s="20" t="s">
        <v>33</v>
      </c>
      <c r="U2095" s="21" t="s">
        <v>150</v>
      </c>
      <c r="V2095" s="25" t="s">
        <v>761</v>
      </c>
      <c r="W2095" s="22">
        <v>2</v>
      </c>
      <c r="X2095" s="23"/>
    </row>
    <row r="2096" spans="1:24" s="1" customFormat="1" ht="52.05" customHeight="1" x14ac:dyDescent="0.3">
      <c r="A2096" s="11" t="s">
        <v>23</v>
      </c>
      <c r="B2096" s="11" t="s">
        <v>1934</v>
      </c>
      <c r="C2096" s="12" t="s">
        <v>1935</v>
      </c>
      <c r="D2096" s="63"/>
      <c r="E2096" s="43" t="str">
        <f>HYPERLINK("https://www.google.ru/search?q=38423-0042&amp;newwindow=1&amp;tbm=isch","Еще фото")</f>
        <v>Еще фото</v>
      </c>
      <c r="F2096" s="14"/>
      <c r="G2096" s="11" t="s">
        <v>1783</v>
      </c>
      <c r="H2096" s="11" t="s">
        <v>27</v>
      </c>
      <c r="I2096" s="15" t="s">
        <v>1757</v>
      </c>
      <c r="J2096" s="15" t="s">
        <v>37</v>
      </c>
      <c r="K2096" s="16" t="s">
        <v>57</v>
      </c>
      <c r="L2096" s="60" t="s">
        <v>1936</v>
      </c>
      <c r="M2096" s="15"/>
      <c r="N2096" s="15" t="s">
        <v>130</v>
      </c>
      <c r="O2096" s="15"/>
      <c r="P2096" s="16" t="s">
        <v>32</v>
      </c>
      <c r="Q2096" s="17">
        <v>9799</v>
      </c>
      <c r="R2096" s="18">
        <v>45</v>
      </c>
      <c r="S2096" s="19">
        <v>6197.8674999999994</v>
      </c>
      <c r="T2096" s="20" t="s">
        <v>33</v>
      </c>
      <c r="U2096" s="21" t="s">
        <v>62</v>
      </c>
      <c r="V2096" s="22">
        <v>46</v>
      </c>
      <c r="W2096" s="22">
        <v>1</v>
      </c>
      <c r="X2096" s="23"/>
    </row>
    <row r="2097" spans="1:24" s="1" customFormat="1" ht="61.05" customHeight="1" x14ac:dyDescent="0.3">
      <c r="A2097" s="24" t="s">
        <v>23</v>
      </c>
      <c r="B2097" s="24" t="s">
        <v>1934</v>
      </c>
      <c r="C2097" s="12" t="s">
        <v>1935</v>
      </c>
      <c r="D2097" s="64"/>
      <c r="E2097" s="43" t="str">
        <f>HYPERLINK("https://www.google.ru/search?q=38423-0042&amp;newwindow=1&amp;tbm=isch","Еще фото")</f>
        <v>Еще фото</v>
      </c>
      <c r="F2097" s="14"/>
      <c r="G2097" s="24" t="s">
        <v>1783</v>
      </c>
      <c r="H2097" s="24" t="s">
        <v>27</v>
      </c>
      <c r="I2097" s="24" t="s">
        <v>1757</v>
      </c>
      <c r="J2097" s="15" t="s">
        <v>37</v>
      </c>
      <c r="K2097" s="16" t="s">
        <v>57</v>
      </c>
      <c r="L2097" s="62"/>
      <c r="M2097" s="15"/>
      <c r="N2097" s="15" t="s">
        <v>130</v>
      </c>
      <c r="O2097" s="15"/>
      <c r="P2097" s="16" t="s">
        <v>32</v>
      </c>
      <c r="Q2097" s="17">
        <v>9799</v>
      </c>
      <c r="R2097" s="18">
        <v>45</v>
      </c>
      <c r="S2097" s="19">
        <v>6197.8674999999994</v>
      </c>
      <c r="T2097" s="20" t="s">
        <v>33</v>
      </c>
      <c r="U2097" s="21" t="s">
        <v>34</v>
      </c>
      <c r="V2097" s="25" t="s">
        <v>90</v>
      </c>
      <c r="W2097" s="22">
        <v>1</v>
      </c>
      <c r="X2097" s="23"/>
    </row>
    <row r="2098" spans="1:24" s="1" customFormat="1" ht="26" customHeight="1" x14ac:dyDescent="0.3">
      <c r="A2098" s="11" t="s">
        <v>23</v>
      </c>
      <c r="B2098" s="11" t="s">
        <v>1934</v>
      </c>
      <c r="C2098" s="12" t="s">
        <v>1937</v>
      </c>
      <c r="D2098" s="57"/>
      <c r="E2098" s="43" t="str">
        <f>HYPERLINK("https://www.google.ru/search?q=38423-0045&amp;newwindow=1&amp;tbm=isch","Еще фото")</f>
        <v>Еще фото</v>
      </c>
      <c r="F2098" s="14"/>
      <c r="G2098" s="11" t="s">
        <v>1783</v>
      </c>
      <c r="H2098" s="11" t="s">
        <v>27</v>
      </c>
      <c r="I2098" s="15" t="s">
        <v>1757</v>
      </c>
      <c r="J2098" s="15" t="s">
        <v>37</v>
      </c>
      <c r="K2098" s="16" t="s">
        <v>57</v>
      </c>
      <c r="L2098" s="60" t="s">
        <v>1810</v>
      </c>
      <c r="M2098" s="15"/>
      <c r="N2098" s="15" t="s">
        <v>87</v>
      </c>
      <c r="O2098" s="15"/>
      <c r="P2098" s="16" t="s">
        <v>60</v>
      </c>
      <c r="Q2098" s="17">
        <v>9699</v>
      </c>
      <c r="R2098" s="18">
        <v>45</v>
      </c>
      <c r="S2098" s="19">
        <v>6134.6174999999994</v>
      </c>
      <c r="T2098" s="20" t="s">
        <v>75</v>
      </c>
      <c r="U2098" s="21" t="s">
        <v>62</v>
      </c>
      <c r="V2098" s="22">
        <v>46</v>
      </c>
      <c r="W2098" s="22">
        <v>2</v>
      </c>
      <c r="X2098" s="23"/>
    </row>
    <row r="2099" spans="1:24" s="1" customFormat="1" ht="26" customHeight="1" x14ac:dyDescent="0.3">
      <c r="A2099" s="24" t="s">
        <v>23</v>
      </c>
      <c r="B2099" s="24" t="s">
        <v>1934</v>
      </c>
      <c r="C2099" s="12" t="s">
        <v>1937</v>
      </c>
      <c r="D2099" s="58"/>
      <c r="E2099" s="43" t="str">
        <f>HYPERLINK("https://www.google.ru/search?q=38423-0045&amp;newwindow=1&amp;tbm=isch","Еще фото")</f>
        <v>Еще фото</v>
      </c>
      <c r="F2099" s="14"/>
      <c r="G2099" s="24" t="s">
        <v>1783</v>
      </c>
      <c r="H2099" s="24" t="s">
        <v>27</v>
      </c>
      <c r="I2099" s="24" t="s">
        <v>1757</v>
      </c>
      <c r="J2099" s="15" t="s">
        <v>37</v>
      </c>
      <c r="K2099" s="16" t="s">
        <v>57</v>
      </c>
      <c r="L2099" s="61"/>
      <c r="M2099" s="15"/>
      <c r="N2099" s="15" t="s">
        <v>87</v>
      </c>
      <c r="O2099" s="15"/>
      <c r="P2099" s="16" t="s">
        <v>60</v>
      </c>
      <c r="Q2099" s="17">
        <v>9699</v>
      </c>
      <c r="R2099" s="18">
        <v>45</v>
      </c>
      <c r="S2099" s="19">
        <v>6134.6174999999994</v>
      </c>
      <c r="T2099" s="20" t="s">
        <v>75</v>
      </c>
      <c r="U2099" s="21" t="s">
        <v>64</v>
      </c>
      <c r="V2099" s="22">
        <v>48</v>
      </c>
      <c r="W2099" s="22">
        <v>20</v>
      </c>
      <c r="X2099" s="23"/>
    </row>
    <row r="2100" spans="1:24" s="1" customFormat="1" ht="26" customHeight="1" x14ac:dyDescent="0.3">
      <c r="A2100" s="24" t="s">
        <v>23</v>
      </c>
      <c r="B2100" s="24" t="s">
        <v>1934</v>
      </c>
      <c r="C2100" s="12" t="s">
        <v>1937</v>
      </c>
      <c r="D2100" s="58"/>
      <c r="E2100" s="43" t="str">
        <f>HYPERLINK("https://www.google.ru/search?q=38423-0045&amp;newwindow=1&amp;tbm=isch","Еще фото")</f>
        <v>Еще фото</v>
      </c>
      <c r="F2100" s="14"/>
      <c r="G2100" s="24" t="s">
        <v>1783</v>
      </c>
      <c r="H2100" s="24" t="s">
        <v>27</v>
      </c>
      <c r="I2100" s="24" t="s">
        <v>1757</v>
      </c>
      <c r="J2100" s="15" t="s">
        <v>37</v>
      </c>
      <c r="K2100" s="16" t="s">
        <v>57</v>
      </c>
      <c r="L2100" s="61"/>
      <c r="M2100" s="15"/>
      <c r="N2100" s="15" t="s">
        <v>87</v>
      </c>
      <c r="O2100" s="15"/>
      <c r="P2100" s="16" t="s">
        <v>60</v>
      </c>
      <c r="Q2100" s="17">
        <v>9699</v>
      </c>
      <c r="R2100" s="18">
        <v>45</v>
      </c>
      <c r="S2100" s="19">
        <v>6134.6174999999994</v>
      </c>
      <c r="T2100" s="20" t="s">
        <v>75</v>
      </c>
      <c r="U2100" s="21" t="s">
        <v>34</v>
      </c>
      <c r="V2100" s="25" t="s">
        <v>90</v>
      </c>
      <c r="W2100" s="22">
        <v>3</v>
      </c>
      <c r="X2100" s="23"/>
    </row>
    <row r="2101" spans="1:24" s="1" customFormat="1" ht="26" customHeight="1" x14ac:dyDescent="0.3">
      <c r="A2101" s="24" t="s">
        <v>23</v>
      </c>
      <c r="B2101" s="24" t="s">
        <v>1934</v>
      </c>
      <c r="C2101" s="12" t="s">
        <v>1937</v>
      </c>
      <c r="D2101" s="59"/>
      <c r="E2101" s="43" t="str">
        <f>HYPERLINK("https://www.google.ru/search?q=38423-0045&amp;newwindow=1&amp;tbm=isch","Еще фото")</f>
        <v>Еще фото</v>
      </c>
      <c r="F2101" s="14"/>
      <c r="G2101" s="24" t="s">
        <v>1783</v>
      </c>
      <c r="H2101" s="24" t="s">
        <v>27</v>
      </c>
      <c r="I2101" s="24" t="s">
        <v>1757</v>
      </c>
      <c r="J2101" s="15" t="s">
        <v>37</v>
      </c>
      <c r="K2101" s="16" t="s">
        <v>57</v>
      </c>
      <c r="L2101" s="62"/>
      <c r="M2101" s="15"/>
      <c r="N2101" s="15" t="s">
        <v>87</v>
      </c>
      <c r="O2101" s="15"/>
      <c r="P2101" s="16" t="s">
        <v>60</v>
      </c>
      <c r="Q2101" s="17">
        <v>9699</v>
      </c>
      <c r="R2101" s="18">
        <v>45</v>
      </c>
      <c r="S2101" s="19">
        <v>6134.6174999999994</v>
      </c>
      <c r="T2101" s="20" t="s">
        <v>75</v>
      </c>
      <c r="U2101" s="21" t="s">
        <v>150</v>
      </c>
      <c r="V2101" s="25" t="s">
        <v>761</v>
      </c>
      <c r="W2101" s="22">
        <v>2</v>
      </c>
      <c r="X2101" s="23"/>
    </row>
    <row r="2102" spans="1:24" s="1" customFormat="1" ht="52.05" customHeight="1" x14ac:dyDescent="0.3">
      <c r="A2102" s="11" t="s">
        <v>23</v>
      </c>
      <c r="B2102" s="11" t="s">
        <v>1938</v>
      </c>
      <c r="C2102" s="12" t="s">
        <v>1939</v>
      </c>
      <c r="D2102" s="63"/>
      <c r="E2102" s="43" t="str">
        <f>HYPERLINK("https://www.google.ru/search?q=38479-0155&amp;newwindow=1&amp;tbm=isch","Еще фото")</f>
        <v>Еще фото</v>
      </c>
      <c r="F2102" s="14"/>
      <c r="G2102" s="11" t="s">
        <v>1756</v>
      </c>
      <c r="H2102" s="11" t="s">
        <v>27</v>
      </c>
      <c r="I2102" s="15" t="s">
        <v>1757</v>
      </c>
      <c r="J2102" s="15" t="s">
        <v>28</v>
      </c>
      <c r="K2102" s="16" t="s">
        <v>57</v>
      </c>
      <c r="L2102" s="60" t="s">
        <v>1940</v>
      </c>
      <c r="M2102" s="15"/>
      <c r="N2102" s="15" t="s">
        <v>59</v>
      </c>
      <c r="O2102" s="15"/>
      <c r="P2102" s="16" t="s">
        <v>1788</v>
      </c>
      <c r="Q2102" s="17">
        <v>12599</v>
      </c>
      <c r="R2102" s="18">
        <v>45</v>
      </c>
      <c r="S2102" s="19">
        <v>7968.8674999999994</v>
      </c>
      <c r="T2102" s="20" t="s">
        <v>33</v>
      </c>
      <c r="U2102" s="21" t="s">
        <v>64</v>
      </c>
      <c r="V2102" s="22">
        <v>48</v>
      </c>
      <c r="W2102" s="22">
        <v>5</v>
      </c>
      <c r="X2102" s="23"/>
    </row>
    <row r="2103" spans="1:24" s="1" customFormat="1" ht="61.05" customHeight="1" x14ac:dyDescent="0.3">
      <c r="A2103" s="24" t="s">
        <v>23</v>
      </c>
      <c r="B2103" s="24" t="s">
        <v>1938</v>
      </c>
      <c r="C2103" s="12" t="s">
        <v>1939</v>
      </c>
      <c r="D2103" s="64"/>
      <c r="E2103" s="43" t="str">
        <f>HYPERLINK("https://www.google.ru/search?q=38479-0155&amp;newwindow=1&amp;tbm=isch","Еще фото")</f>
        <v>Еще фото</v>
      </c>
      <c r="F2103" s="14"/>
      <c r="G2103" s="24" t="s">
        <v>1756</v>
      </c>
      <c r="H2103" s="24" t="s">
        <v>27</v>
      </c>
      <c r="I2103" s="24" t="s">
        <v>1757</v>
      </c>
      <c r="J2103" s="15" t="s">
        <v>28</v>
      </c>
      <c r="K2103" s="16" t="s">
        <v>57</v>
      </c>
      <c r="L2103" s="62"/>
      <c r="M2103" s="15"/>
      <c r="N2103" s="15" t="s">
        <v>59</v>
      </c>
      <c r="O2103" s="15"/>
      <c r="P2103" s="16" t="s">
        <v>1788</v>
      </c>
      <c r="Q2103" s="17">
        <v>12599</v>
      </c>
      <c r="R2103" s="18">
        <v>45</v>
      </c>
      <c r="S2103" s="19">
        <v>7968.8674999999994</v>
      </c>
      <c r="T2103" s="20" t="s">
        <v>33</v>
      </c>
      <c r="U2103" s="21" t="s">
        <v>34</v>
      </c>
      <c r="V2103" s="25" t="s">
        <v>90</v>
      </c>
      <c r="W2103" s="22">
        <v>2</v>
      </c>
      <c r="X2103" s="23"/>
    </row>
    <row r="2104" spans="1:24" s="1" customFormat="1" ht="35" customHeight="1" x14ac:dyDescent="0.3">
      <c r="A2104" s="11" t="s">
        <v>23</v>
      </c>
      <c r="B2104" s="11" t="s">
        <v>1941</v>
      </c>
      <c r="C2104" s="12" t="s">
        <v>1942</v>
      </c>
      <c r="D2104" s="57"/>
      <c r="E2104" s="43" t="str">
        <f>HYPERLINK("https://www.google.ru/search?q=38712-0475&amp;newwindow=1&amp;tbm=isch","Еще фото")</f>
        <v>Еще фото</v>
      </c>
      <c r="F2104" s="34" t="s">
        <v>469</v>
      </c>
      <c r="G2104" s="11" t="s">
        <v>1775</v>
      </c>
      <c r="H2104" s="11" t="s">
        <v>27</v>
      </c>
      <c r="I2104" s="15" t="s">
        <v>1757</v>
      </c>
      <c r="J2104" s="15" t="s">
        <v>37</v>
      </c>
      <c r="K2104" s="16" t="s">
        <v>57</v>
      </c>
      <c r="L2104" s="60" t="s">
        <v>1943</v>
      </c>
      <c r="M2104" s="15"/>
      <c r="N2104" s="15" t="s">
        <v>31</v>
      </c>
      <c r="O2104" s="15"/>
      <c r="P2104" s="16" t="s">
        <v>1851</v>
      </c>
      <c r="Q2104" s="17">
        <v>8999</v>
      </c>
      <c r="R2104" s="18">
        <v>45</v>
      </c>
      <c r="S2104" s="19">
        <v>5691.8674999999994</v>
      </c>
      <c r="T2104" s="20" t="s">
        <v>33</v>
      </c>
      <c r="U2104" s="21" t="s">
        <v>62</v>
      </c>
      <c r="V2104" s="22">
        <v>46</v>
      </c>
      <c r="W2104" s="22">
        <v>2</v>
      </c>
      <c r="X2104" s="23"/>
    </row>
    <row r="2105" spans="1:24" s="1" customFormat="1" ht="35" customHeight="1" x14ac:dyDescent="0.3">
      <c r="A2105" s="24" t="s">
        <v>23</v>
      </c>
      <c r="B2105" s="24" t="s">
        <v>1941</v>
      </c>
      <c r="C2105" s="12" t="s">
        <v>1942</v>
      </c>
      <c r="D2105" s="58"/>
      <c r="E2105" s="43" t="str">
        <f>HYPERLINK("https://www.google.ru/search?q=38712-0475&amp;newwindow=1&amp;tbm=isch","Еще фото")</f>
        <v>Еще фото</v>
      </c>
      <c r="F2105" s="34" t="s">
        <v>469</v>
      </c>
      <c r="G2105" s="24" t="s">
        <v>1775</v>
      </c>
      <c r="H2105" s="24" t="s">
        <v>27</v>
      </c>
      <c r="I2105" s="24" t="s">
        <v>1757</v>
      </c>
      <c r="J2105" s="15" t="s">
        <v>37</v>
      </c>
      <c r="K2105" s="16" t="s">
        <v>57</v>
      </c>
      <c r="L2105" s="61"/>
      <c r="M2105" s="15"/>
      <c r="N2105" s="15" t="s">
        <v>31</v>
      </c>
      <c r="O2105" s="15"/>
      <c r="P2105" s="16" t="s">
        <v>1851</v>
      </c>
      <c r="Q2105" s="17">
        <v>8999</v>
      </c>
      <c r="R2105" s="18">
        <v>45</v>
      </c>
      <c r="S2105" s="19">
        <v>5691.8674999999994</v>
      </c>
      <c r="T2105" s="20" t="s">
        <v>33</v>
      </c>
      <c r="U2105" s="21" t="s">
        <v>64</v>
      </c>
      <c r="V2105" s="22">
        <v>48</v>
      </c>
      <c r="W2105" s="22">
        <v>6</v>
      </c>
      <c r="X2105" s="23"/>
    </row>
    <row r="2106" spans="1:24" s="1" customFormat="1" ht="37.049999999999997" customHeight="1" x14ac:dyDescent="0.3">
      <c r="A2106" s="24" t="s">
        <v>23</v>
      </c>
      <c r="B2106" s="24" t="s">
        <v>1941</v>
      </c>
      <c r="C2106" s="12" t="s">
        <v>1942</v>
      </c>
      <c r="D2106" s="59"/>
      <c r="E2106" s="43" t="str">
        <f>HYPERLINK("https://www.google.ru/search?q=38712-0475&amp;newwindow=1&amp;tbm=isch","Еще фото")</f>
        <v>Еще фото</v>
      </c>
      <c r="F2106" s="34" t="s">
        <v>469</v>
      </c>
      <c r="G2106" s="24" t="s">
        <v>1775</v>
      </c>
      <c r="H2106" s="24" t="s">
        <v>27</v>
      </c>
      <c r="I2106" s="24" t="s">
        <v>1757</v>
      </c>
      <c r="J2106" s="15" t="s">
        <v>37</v>
      </c>
      <c r="K2106" s="16" t="s">
        <v>57</v>
      </c>
      <c r="L2106" s="62"/>
      <c r="M2106" s="15"/>
      <c r="N2106" s="15" t="s">
        <v>31</v>
      </c>
      <c r="O2106" s="15"/>
      <c r="P2106" s="16" t="s">
        <v>1851</v>
      </c>
      <c r="Q2106" s="17">
        <v>8999</v>
      </c>
      <c r="R2106" s="18">
        <v>45</v>
      </c>
      <c r="S2106" s="19">
        <v>5691.8674999999994</v>
      </c>
      <c r="T2106" s="20" t="s">
        <v>33</v>
      </c>
      <c r="U2106" s="21" t="s">
        <v>34</v>
      </c>
      <c r="V2106" s="25" t="s">
        <v>90</v>
      </c>
      <c r="W2106" s="22">
        <v>4</v>
      </c>
      <c r="X2106" s="23"/>
    </row>
    <row r="2107" spans="1:24" s="1" customFormat="1" ht="52.05" customHeight="1" x14ac:dyDescent="0.3">
      <c r="A2107" s="11" t="s">
        <v>23</v>
      </c>
      <c r="B2107" s="11" t="s">
        <v>1944</v>
      </c>
      <c r="C2107" s="12" t="s">
        <v>1945</v>
      </c>
      <c r="D2107" s="63"/>
      <c r="E2107" s="43" t="str">
        <f>HYPERLINK("https://www.google.ru/search?q=72334-0773&amp;newwindow=1&amp;tbm=isch","Еще фото")</f>
        <v>Еще фото</v>
      </c>
      <c r="F2107" s="14" t="s">
        <v>182</v>
      </c>
      <c r="G2107" s="11" t="s">
        <v>1364</v>
      </c>
      <c r="H2107" s="11" t="s">
        <v>27</v>
      </c>
      <c r="I2107" s="15" t="s">
        <v>1757</v>
      </c>
      <c r="J2107" s="15" t="s">
        <v>37</v>
      </c>
      <c r="K2107" s="16" t="s">
        <v>57</v>
      </c>
      <c r="L2107" s="60" t="s">
        <v>1946</v>
      </c>
      <c r="M2107" s="15"/>
      <c r="N2107" s="15" t="s">
        <v>130</v>
      </c>
      <c r="O2107" s="15"/>
      <c r="P2107" s="16" t="s">
        <v>32</v>
      </c>
      <c r="Q2107" s="17">
        <v>18899</v>
      </c>
      <c r="R2107" s="18">
        <v>45</v>
      </c>
      <c r="S2107" s="19">
        <v>11953.6175</v>
      </c>
      <c r="T2107" s="20" t="s">
        <v>33</v>
      </c>
      <c r="U2107" s="21" t="s">
        <v>62</v>
      </c>
      <c r="V2107" s="22">
        <v>46</v>
      </c>
      <c r="W2107" s="22">
        <v>28</v>
      </c>
      <c r="X2107" s="23"/>
    </row>
    <row r="2108" spans="1:24" s="1" customFormat="1" ht="61.05" customHeight="1" x14ac:dyDescent="0.3">
      <c r="A2108" s="24" t="s">
        <v>23</v>
      </c>
      <c r="B2108" s="24" t="s">
        <v>1944</v>
      </c>
      <c r="C2108" s="12" t="s">
        <v>1945</v>
      </c>
      <c r="D2108" s="64"/>
      <c r="E2108" s="43" t="str">
        <f>HYPERLINK("https://www.google.ru/search?q=72334-0773&amp;newwindow=1&amp;tbm=isch","Еще фото")</f>
        <v>Еще фото</v>
      </c>
      <c r="F2108" s="14" t="s">
        <v>182</v>
      </c>
      <c r="G2108" s="24" t="s">
        <v>1364</v>
      </c>
      <c r="H2108" s="24" t="s">
        <v>27</v>
      </c>
      <c r="I2108" s="24" t="s">
        <v>1757</v>
      </c>
      <c r="J2108" s="15" t="s">
        <v>37</v>
      </c>
      <c r="K2108" s="16" t="s">
        <v>57</v>
      </c>
      <c r="L2108" s="62"/>
      <c r="M2108" s="15"/>
      <c r="N2108" s="15" t="s">
        <v>130</v>
      </c>
      <c r="O2108" s="15"/>
      <c r="P2108" s="16" t="s">
        <v>32</v>
      </c>
      <c r="Q2108" s="17">
        <v>18899</v>
      </c>
      <c r="R2108" s="18">
        <v>45</v>
      </c>
      <c r="S2108" s="19">
        <v>11953.6175</v>
      </c>
      <c r="T2108" s="20" t="s">
        <v>33</v>
      </c>
      <c r="U2108" s="21" t="s">
        <v>64</v>
      </c>
      <c r="V2108" s="22">
        <v>48</v>
      </c>
      <c r="W2108" s="22">
        <v>24</v>
      </c>
      <c r="X2108" s="23"/>
    </row>
    <row r="2109" spans="1:24" s="1" customFormat="1" ht="52.05" customHeight="1" x14ac:dyDescent="0.3">
      <c r="A2109" s="11" t="s">
        <v>23</v>
      </c>
      <c r="B2109" s="11" t="s">
        <v>1947</v>
      </c>
      <c r="C2109" s="12" t="s">
        <v>1948</v>
      </c>
      <c r="D2109" s="63"/>
      <c r="E2109" s="43" t="str">
        <f>HYPERLINK("https://www.google.ru/search?q=72334-0775&amp;newwindow=1&amp;tbm=isch","Еще фото")</f>
        <v>Еще фото</v>
      </c>
      <c r="F2109" s="14"/>
      <c r="G2109" s="11" t="s">
        <v>1364</v>
      </c>
      <c r="H2109" s="11" t="s">
        <v>27</v>
      </c>
      <c r="I2109" s="15" t="s">
        <v>1757</v>
      </c>
      <c r="J2109" s="15" t="s">
        <v>37</v>
      </c>
      <c r="K2109" s="16" t="s">
        <v>57</v>
      </c>
      <c r="L2109" s="60" t="s">
        <v>1949</v>
      </c>
      <c r="M2109" s="15"/>
      <c r="N2109" s="15" t="s">
        <v>138</v>
      </c>
      <c r="O2109" s="15"/>
      <c r="P2109" s="16" t="s">
        <v>32</v>
      </c>
      <c r="Q2109" s="17">
        <v>18899</v>
      </c>
      <c r="R2109" s="18">
        <v>45</v>
      </c>
      <c r="S2109" s="19">
        <v>11953.6175</v>
      </c>
      <c r="T2109" s="20" t="s">
        <v>33</v>
      </c>
      <c r="U2109" s="21" t="s">
        <v>62</v>
      </c>
      <c r="V2109" s="22">
        <v>46</v>
      </c>
      <c r="W2109" s="22">
        <v>3</v>
      </c>
      <c r="X2109" s="23"/>
    </row>
    <row r="2110" spans="1:24" s="1" customFormat="1" ht="61.05" customHeight="1" x14ac:dyDescent="0.3">
      <c r="A2110" s="24" t="s">
        <v>23</v>
      </c>
      <c r="B2110" s="24" t="s">
        <v>1947</v>
      </c>
      <c r="C2110" s="12" t="s">
        <v>1948</v>
      </c>
      <c r="D2110" s="64"/>
      <c r="E2110" s="43" t="str">
        <f>HYPERLINK("https://www.google.ru/search?q=72334-0775&amp;newwindow=1&amp;tbm=isch","Еще фото")</f>
        <v>Еще фото</v>
      </c>
      <c r="F2110" s="14"/>
      <c r="G2110" s="24" t="s">
        <v>1364</v>
      </c>
      <c r="H2110" s="24" t="s">
        <v>27</v>
      </c>
      <c r="I2110" s="24" t="s">
        <v>1757</v>
      </c>
      <c r="J2110" s="15" t="s">
        <v>37</v>
      </c>
      <c r="K2110" s="16" t="s">
        <v>57</v>
      </c>
      <c r="L2110" s="62"/>
      <c r="M2110" s="15"/>
      <c r="N2110" s="15" t="s">
        <v>138</v>
      </c>
      <c r="O2110" s="15"/>
      <c r="P2110" s="16" t="s">
        <v>32</v>
      </c>
      <c r="Q2110" s="17">
        <v>18899</v>
      </c>
      <c r="R2110" s="18">
        <v>45</v>
      </c>
      <c r="S2110" s="19">
        <v>11953.6175</v>
      </c>
      <c r="T2110" s="20" t="s">
        <v>33</v>
      </c>
      <c r="U2110" s="21" t="s">
        <v>64</v>
      </c>
      <c r="V2110" s="22">
        <v>48</v>
      </c>
      <c r="W2110" s="22">
        <v>1</v>
      </c>
      <c r="X2110" s="23"/>
    </row>
    <row r="2111" spans="1:24" s="1" customFormat="1" ht="52.05" customHeight="1" x14ac:dyDescent="0.3">
      <c r="A2111" s="11" t="s">
        <v>23</v>
      </c>
      <c r="B2111" s="11" t="s">
        <v>1950</v>
      </c>
      <c r="C2111" s="12" t="s">
        <v>1951</v>
      </c>
      <c r="D2111" s="63"/>
      <c r="E2111" s="43" t="str">
        <f>HYPERLINK("https://www.google.ru/search?q=72334-0797&amp;newwindow=1&amp;tbm=isch","Еще фото")</f>
        <v>Еще фото</v>
      </c>
      <c r="F2111" s="14"/>
      <c r="G2111" s="11" t="s">
        <v>1364</v>
      </c>
      <c r="H2111" s="11" t="s">
        <v>27</v>
      </c>
      <c r="I2111" s="15" t="s">
        <v>1757</v>
      </c>
      <c r="J2111" s="15" t="s">
        <v>37</v>
      </c>
      <c r="K2111" s="16" t="s">
        <v>57</v>
      </c>
      <c r="L2111" s="60" t="s">
        <v>1946</v>
      </c>
      <c r="M2111" s="15"/>
      <c r="N2111" s="15" t="s">
        <v>39</v>
      </c>
      <c r="O2111" s="15"/>
      <c r="P2111" s="16" t="s">
        <v>32</v>
      </c>
      <c r="Q2111" s="17">
        <v>18899</v>
      </c>
      <c r="R2111" s="18">
        <v>45</v>
      </c>
      <c r="S2111" s="19">
        <v>11953.6175</v>
      </c>
      <c r="T2111" s="20" t="s">
        <v>33</v>
      </c>
      <c r="U2111" s="21" t="s">
        <v>62</v>
      </c>
      <c r="V2111" s="22">
        <v>46</v>
      </c>
      <c r="W2111" s="22">
        <v>7</v>
      </c>
      <c r="X2111" s="23"/>
    </row>
    <row r="2112" spans="1:24" s="1" customFormat="1" ht="61.05" customHeight="1" x14ac:dyDescent="0.3">
      <c r="A2112" s="24" t="s">
        <v>23</v>
      </c>
      <c r="B2112" s="24" t="s">
        <v>1950</v>
      </c>
      <c r="C2112" s="12" t="s">
        <v>1951</v>
      </c>
      <c r="D2112" s="64"/>
      <c r="E2112" s="43" t="str">
        <f>HYPERLINK("https://www.google.ru/search?q=72334-0797&amp;newwindow=1&amp;tbm=isch","Еще фото")</f>
        <v>Еще фото</v>
      </c>
      <c r="F2112" s="14"/>
      <c r="G2112" s="24" t="s">
        <v>1364</v>
      </c>
      <c r="H2112" s="24" t="s">
        <v>27</v>
      </c>
      <c r="I2112" s="24" t="s">
        <v>1757</v>
      </c>
      <c r="J2112" s="15" t="s">
        <v>37</v>
      </c>
      <c r="K2112" s="16" t="s">
        <v>57</v>
      </c>
      <c r="L2112" s="62"/>
      <c r="M2112" s="15"/>
      <c r="N2112" s="15" t="s">
        <v>39</v>
      </c>
      <c r="O2112" s="15"/>
      <c r="P2112" s="16" t="s">
        <v>32</v>
      </c>
      <c r="Q2112" s="17">
        <v>18899</v>
      </c>
      <c r="R2112" s="18">
        <v>45</v>
      </c>
      <c r="S2112" s="19">
        <v>11953.6175</v>
      </c>
      <c r="T2112" s="20" t="s">
        <v>33</v>
      </c>
      <c r="U2112" s="21" t="s">
        <v>64</v>
      </c>
      <c r="V2112" s="22">
        <v>48</v>
      </c>
      <c r="W2112" s="22">
        <v>1</v>
      </c>
      <c r="X2112" s="23"/>
    </row>
    <row r="2113" spans="1:24" s="1" customFormat="1" ht="35" customHeight="1" x14ac:dyDescent="0.3">
      <c r="A2113" s="11" t="s">
        <v>23</v>
      </c>
      <c r="B2113" s="11" t="s">
        <v>1952</v>
      </c>
      <c r="C2113" s="12" t="s">
        <v>1953</v>
      </c>
      <c r="D2113" s="57"/>
      <c r="E2113" s="43" t="str">
        <f>HYPERLINK("https://www.google.ru/search?q=A0719-0003&amp;newwindow=1&amp;tbm=isch","Еще фото")</f>
        <v>Еще фото</v>
      </c>
      <c r="F2113" s="14"/>
      <c r="G2113" s="11" t="s">
        <v>1910</v>
      </c>
      <c r="H2113" s="11" t="s">
        <v>27</v>
      </c>
      <c r="I2113" s="15" t="s">
        <v>1757</v>
      </c>
      <c r="J2113" s="15" t="s">
        <v>28</v>
      </c>
      <c r="K2113" s="16" t="s">
        <v>29</v>
      </c>
      <c r="L2113" s="60" t="s">
        <v>1954</v>
      </c>
      <c r="M2113" s="15" t="s">
        <v>72</v>
      </c>
      <c r="N2113" s="15" t="s">
        <v>39</v>
      </c>
      <c r="O2113" s="15"/>
      <c r="P2113" s="16" t="s">
        <v>1955</v>
      </c>
      <c r="Q2113" s="17">
        <v>12199</v>
      </c>
      <c r="R2113" s="18">
        <v>45</v>
      </c>
      <c r="S2113" s="19">
        <v>7715.8674999999994</v>
      </c>
      <c r="T2113" s="20" t="s">
        <v>33</v>
      </c>
      <c r="U2113" s="21" t="s">
        <v>61</v>
      </c>
      <c r="V2113" s="22">
        <v>42</v>
      </c>
      <c r="W2113" s="22">
        <v>8</v>
      </c>
      <c r="X2113" s="23"/>
    </row>
    <row r="2114" spans="1:24" s="1" customFormat="1" ht="35" customHeight="1" x14ac:dyDescent="0.3">
      <c r="A2114" s="24" t="s">
        <v>23</v>
      </c>
      <c r="B2114" s="24" t="s">
        <v>1952</v>
      </c>
      <c r="C2114" s="12" t="s">
        <v>1953</v>
      </c>
      <c r="D2114" s="58"/>
      <c r="E2114" s="43" t="str">
        <f>HYPERLINK("https://www.google.ru/search?q=A0719-0003&amp;newwindow=1&amp;tbm=isch","Еще фото")</f>
        <v>Еще фото</v>
      </c>
      <c r="F2114" s="14"/>
      <c r="G2114" s="24" t="s">
        <v>1910</v>
      </c>
      <c r="H2114" s="24" t="s">
        <v>27</v>
      </c>
      <c r="I2114" s="24" t="s">
        <v>1757</v>
      </c>
      <c r="J2114" s="15" t="s">
        <v>28</v>
      </c>
      <c r="K2114" s="16" t="s">
        <v>29</v>
      </c>
      <c r="L2114" s="61"/>
      <c r="M2114" s="15" t="s">
        <v>72</v>
      </c>
      <c r="N2114" s="15" t="s">
        <v>39</v>
      </c>
      <c r="O2114" s="15"/>
      <c r="P2114" s="16" t="s">
        <v>1955</v>
      </c>
      <c r="Q2114" s="17">
        <v>12199</v>
      </c>
      <c r="R2114" s="18">
        <v>45</v>
      </c>
      <c r="S2114" s="19">
        <v>7715.8674999999994</v>
      </c>
      <c r="T2114" s="20" t="s">
        <v>33</v>
      </c>
      <c r="U2114" s="21" t="s">
        <v>62</v>
      </c>
      <c r="V2114" s="22">
        <v>44</v>
      </c>
      <c r="W2114" s="22">
        <v>4</v>
      </c>
      <c r="X2114" s="23"/>
    </row>
    <row r="2115" spans="1:24" s="1" customFormat="1" ht="37.049999999999997" customHeight="1" x14ac:dyDescent="0.3">
      <c r="A2115" s="24" t="s">
        <v>23</v>
      </c>
      <c r="B2115" s="24" t="s">
        <v>1952</v>
      </c>
      <c r="C2115" s="12" t="s">
        <v>1953</v>
      </c>
      <c r="D2115" s="59"/>
      <c r="E2115" s="43" t="str">
        <f>HYPERLINK("https://www.google.ru/search?q=A0719-0003&amp;newwindow=1&amp;tbm=isch","Еще фото")</f>
        <v>Еще фото</v>
      </c>
      <c r="F2115" s="14"/>
      <c r="G2115" s="24" t="s">
        <v>1910</v>
      </c>
      <c r="H2115" s="24" t="s">
        <v>27</v>
      </c>
      <c r="I2115" s="24" t="s">
        <v>1757</v>
      </c>
      <c r="J2115" s="15" t="s">
        <v>28</v>
      </c>
      <c r="K2115" s="16" t="s">
        <v>29</v>
      </c>
      <c r="L2115" s="62"/>
      <c r="M2115" s="15" t="s">
        <v>72</v>
      </c>
      <c r="N2115" s="15" t="s">
        <v>39</v>
      </c>
      <c r="O2115" s="15"/>
      <c r="P2115" s="16" t="s">
        <v>1955</v>
      </c>
      <c r="Q2115" s="17">
        <v>12199</v>
      </c>
      <c r="R2115" s="18">
        <v>45</v>
      </c>
      <c r="S2115" s="19">
        <v>7715.8674999999994</v>
      </c>
      <c r="T2115" s="20" t="s">
        <v>33</v>
      </c>
      <c r="U2115" s="21" t="s">
        <v>34</v>
      </c>
      <c r="V2115" s="22">
        <v>48</v>
      </c>
      <c r="W2115" s="22">
        <v>1</v>
      </c>
      <c r="X2115" s="23"/>
    </row>
    <row r="2116" spans="1:24" s="1" customFormat="1" ht="52.05" customHeight="1" x14ac:dyDescent="0.3">
      <c r="A2116" s="11" t="s">
        <v>23</v>
      </c>
      <c r="B2116" s="11" t="s">
        <v>1956</v>
      </c>
      <c r="C2116" s="12" t="s">
        <v>1957</v>
      </c>
      <c r="D2116" s="63"/>
      <c r="E2116" s="43" t="str">
        <f>HYPERLINK("https://www.google.ru/search?q=A1743-0000&amp;newwindow=1&amp;tbm=isch","Еще фото")</f>
        <v>Еще фото</v>
      </c>
      <c r="F2116" s="14"/>
      <c r="G2116" s="11" t="s">
        <v>1471</v>
      </c>
      <c r="H2116" s="11" t="s">
        <v>27</v>
      </c>
      <c r="I2116" s="15" t="s">
        <v>1757</v>
      </c>
      <c r="J2116" s="15" t="s">
        <v>28</v>
      </c>
      <c r="K2116" s="16" t="s">
        <v>29</v>
      </c>
      <c r="L2116" s="60"/>
      <c r="M2116" s="15" t="s">
        <v>72</v>
      </c>
      <c r="N2116" s="15" t="s">
        <v>87</v>
      </c>
      <c r="O2116" s="15" t="s">
        <v>121</v>
      </c>
      <c r="P2116" s="16" t="s">
        <v>32</v>
      </c>
      <c r="Q2116" s="17">
        <v>19999</v>
      </c>
      <c r="R2116" s="18">
        <v>45</v>
      </c>
      <c r="S2116" s="19">
        <v>12649.3675</v>
      </c>
      <c r="T2116" s="20" t="s">
        <v>33</v>
      </c>
      <c r="U2116" s="21" t="s">
        <v>61</v>
      </c>
      <c r="V2116" s="22">
        <v>42</v>
      </c>
      <c r="W2116" s="22">
        <v>1</v>
      </c>
      <c r="X2116" s="23"/>
    </row>
    <row r="2117" spans="1:24" s="1" customFormat="1" ht="61.05" customHeight="1" x14ac:dyDescent="0.3">
      <c r="A2117" s="24" t="s">
        <v>23</v>
      </c>
      <c r="B2117" s="24" t="s">
        <v>1956</v>
      </c>
      <c r="C2117" s="12" t="s">
        <v>1957</v>
      </c>
      <c r="D2117" s="64"/>
      <c r="E2117" s="43" t="str">
        <f>HYPERLINK("https://www.google.ru/search?q=A1743-0000&amp;newwindow=1&amp;tbm=isch","Еще фото")</f>
        <v>Еще фото</v>
      </c>
      <c r="F2117" s="14"/>
      <c r="G2117" s="24" t="s">
        <v>1471</v>
      </c>
      <c r="H2117" s="24" t="s">
        <v>27</v>
      </c>
      <c r="I2117" s="24" t="s">
        <v>1757</v>
      </c>
      <c r="J2117" s="15" t="s">
        <v>28</v>
      </c>
      <c r="K2117" s="16" t="s">
        <v>29</v>
      </c>
      <c r="L2117" s="62"/>
      <c r="M2117" s="15" t="s">
        <v>72</v>
      </c>
      <c r="N2117" s="15" t="s">
        <v>87</v>
      </c>
      <c r="O2117" s="15" t="s">
        <v>121</v>
      </c>
      <c r="P2117" s="16" t="s">
        <v>32</v>
      </c>
      <c r="Q2117" s="17">
        <v>19999</v>
      </c>
      <c r="R2117" s="18">
        <v>45</v>
      </c>
      <c r="S2117" s="19">
        <v>12649.3675</v>
      </c>
      <c r="T2117" s="20" t="s">
        <v>33</v>
      </c>
      <c r="U2117" s="21" t="s">
        <v>64</v>
      </c>
      <c r="V2117" s="22">
        <v>46</v>
      </c>
      <c r="W2117" s="22">
        <v>4</v>
      </c>
      <c r="X2117" s="23"/>
    </row>
    <row r="2118" spans="1:24" s="1" customFormat="1" ht="108" customHeight="1" x14ac:dyDescent="0.3">
      <c r="A2118" s="11" t="s">
        <v>23</v>
      </c>
      <c r="B2118" s="11" t="s">
        <v>1958</v>
      </c>
      <c r="C2118" s="12" t="s">
        <v>1959</v>
      </c>
      <c r="D2118" s="13"/>
      <c r="E2118" s="43" t="str">
        <f>HYPERLINK("https://www.google.ru/search?q=A4320-0000&amp;newwindow=1&amp;tbm=isch","Еще фото")</f>
        <v>Еще фото</v>
      </c>
      <c r="F2118" s="14" t="s">
        <v>182</v>
      </c>
      <c r="G2118" s="11" t="s">
        <v>1910</v>
      </c>
      <c r="H2118" s="11" t="s">
        <v>27</v>
      </c>
      <c r="I2118" s="15" t="s">
        <v>1757</v>
      </c>
      <c r="J2118" s="15" t="s">
        <v>37</v>
      </c>
      <c r="K2118" s="16" t="s">
        <v>57</v>
      </c>
      <c r="L2118" s="15" t="s">
        <v>1960</v>
      </c>
      <c r="M2118" s="15"/>
      <c r="N2118" s="15" t="s">
        <v>87</v>
      </c>
      <c r="O2118" s="15"/>
      <c r="P2118" s="16" t="s">
        <v>1961</v>
      </c>
      <c r="Q2118" s="17">
        <v>12499</v>
      </c>
      <c r="R2118" s="18">
        <v>45</v>
      </c>
      <c r="S2118" s="19">
        <v>7905.6174999999994</v>
      </c>
      <c r="T2118" s="20" t="s">
        <v>33</v>
      </c>
      <c r="U2118" s="21" t="s">
        <v>62</v>
      </c>
      <c r="V2118" s="22">
        <v>46</v>
      </c>
      <c r="W2118" s="22">
        <v>15</v>
      </c>
      <c r="X2118" s="23"/>
    </row>
    <row r="2119" spans="1:24" s="1" customFormat="1" ht="35" customHeight="1" x14ac:dyDescent="0.3">
      <c r="A2119" s="11" t="s">
        <v>23</v>
      </c>
      <c r="B2119" s="11" t="s">
        <v>1962</v>
      </c>
      <c r="C2119" s="12" t="s">
        <v>1963</v>
      </c>
      <c r="D2119" s="57"/>
      <c r="E2119" s="43" t="str">
        <f>HYPERLINK("https://www.google.ru/search?q=A5782-0078&amp;newwindow=1&amp;tbm=isch","Еще фото")</f>
        <v>Еще фото</v>
      </c>
      <c r="F2119" s="34" t="s">
        <v>469</v>
      </c>
      <c r="G2119" s="11" t="s">
        <v>1463</v>
      </c>
      <c r="H2119" s="11" t="s">
        <v>27</v>
      </c>
      <c r="I2119" s="15" t="s">
        <v>1757</v>
      </c>
      <c r="J2119" s="15" t="s">
        <v>37</v>
      </c>
      <c r="K2119" s="16" t="s">
        <v>57</v>
      </c>
      <c r="L2119" s="60"/>
      <c r="M2119" s="15"/>
      <c r="N2119" s="15" t="s">
        <v>138</v>
      </c>
      <c r="O2119" s="15"/>
      <c r="P2119" s="16" t="s">
        <v>32</v>
      </c>
      <c r="Q2119" s="17">
        <v>19399</v>
      </c>
      <c r="R2119" s="18">
        <v>45</v>
      </c>
      <c r="S2119" s="19">
        <v>12269.8675</v>
      </c>
      <c r="T2119" s="20" t="s">
        <v>33</v>
      </c>
      <c r="U2119" s="21" t="s">
        <v>64</v>
      </c>
      <c r="V2119" s="22">
        <v>48</v>
      </c>
      <c r="W2119" s="22">
        <v>16</v>
      </c>
      <c r="X2119" s="23"/>
    </row>
    <row r="2120" spans="1:24" s="1" customFormat="1" ht="35" customHeight="1" x14ac:dyDescent="0.3">
      <c r="A2120" s="24" t="s">
        <v>23</v>
      </c>
      <c r="B2120" s="24" t="s">
        <v>1962</v>
      </c>
      <c r="C2120" s="12" t="s">
        <v>1963</v>
      </c>
      <c r="D2120" s="58"/>
      <c r="E2120" s="43" t="str">
        <f>HYPERLINK("https://www.google.ru/search?q=A5782-0078&amp;newwindow=1&amp;tbm=isch","Еще фото")</f>
        <v>Еще фото</v>
      </c>
      <c r="F2120" s="34" t="s">
        <v>469</v>
      </c>
      <c r="G2120" s="24" t="s">
        <v>1463</v>
      </c>
      <c r="H2120" s="24" t="s">
        <v>27</v>
      </c>
      <c r="I2120" s="24" t="s">
        <v>1757</v>
      </c>
      <c r="J2120" s="15" t="s">
        <v>37</v>
      </c>
      <c r="K2120" s="16" t="s">
        <v>57</v>
      </c>
      <c r="L2120" s="61"/>
      <c r="M2120" s="15"/>
      <c r="N2120" s="15" t="s">
        <v>138</v>
      </c>
      <c r="O2120" s="15"/>
      <c r="P2120" s="16" t="s">
        <v>32</v>
      </c>
      <c r="Q2120" s="17">
        <v>19399</v>
      </c>
      <c r="R2120" s="18">
        <v>45</v>
      </c>
      <c r="S2120" s="19">
        <v>12269.8675</v>
      </c>
      <c r="T2120" s="20" t="s">
        <v>33</v>
      </c>
      <c r="U2120" s="21" t="s">
        <v>34</v>
      </c>
      <c r="V2120" s="25" t="s">
        <v>90</v>
      </c>
      <c r="W2120" s="22">
        <v>7</v>
      </c>
      <c r="X2120" s="23"/>
    </row>
    <row r="2121" spans="1:24" s="1" customFormat="1" ht="37.049999999999997" customHeight="1" x14ac:dyDescent="0.3">
      <c r="A2121" s="24" t="s">
        <v>23</v>
      </c>
      <c r="B2121" s="24" t="s">
        <v>1962</v>
      </c>
      <c r="C2121" s="12" t="s">
        <v>1963</v>
      </c>
      <c r="D2121" s="59"/>
      <c r="E2121" s="43" t="str">
        <f>HYPERLINK("https://www.google.ru/search?q=A5782-0078&amp;newwindow=1&amp;tbm=isch","Еще фото")</f>
        <v>Еще фото</v>
      </c>
      <c r="F2121" s="34" t="s">
        <v>469</v>
      </c>
      <c r="G2121" s="24" t="s">
        <v>1463</v>
      </c>
      <c r="H2121" s="24" t="s">
        <v>27</v>
      </c>
      <c r="I2121" s="24" t="s">
        <v>1757</v>
      </c>
      <c r="J2121" s="15" t="s">
        <v>37</v>
      </c>
      <c r="K2121" s="16" t="s">
        <v>57</v>
      </c>
      <c r="L2121" s="62"/>
      <c r="M2121" s="15"/>
      <c r="N2121" s="15" t="s">
        <v>138</v>
      </c>
      <c r="O2121" s="15"/>
      <c r="P2121" s="16" t="s">
        <v>32</v>
      </c>
      <c r="Q2121" s="17">
        <v>19399</v>
      </c>
      <c r="R2121" s="18">
        <v>45</v>
      </c>
      <c r="S2121" s="19">
        <v>12269.8675</v>
      </c>
      <c r="T2121" s="20" t="s">
        <v>33</v>
      </c>
      <c r="U2121" s="21" t="s">
        <v>150</v>
      </c>
      <c r="V2121" s="25" t="s">
        <v>761</v>
      </c>
      <c r="W2121" s="22">
        <v>9</v>
      </c>
      <c r="X2121" s="23"/>
    </row>
    <row r="2122" spans="1:24" s="1" customFormat="1" ht="108" customHeight="1" x14ac:dyDescent="0.3">
      <c r="A2122" s="11" t="s">
        <v>23</v>
      </c>
      <c r="B2122" s="11" t="s">
        <v>1962</v>
      </c>
      <c r="C2122" s="12" t="s">
        <v>1964</v>
      </c>
      <c r="D2122" s="13"/>
      <c r="E2122" s="43" t="str">
        <f>HYPERLINK("https://www.google.ru/search?q=A5782-0083&amp;newwindow=1&amp;tbm=isch","Еще фото")</f>
        <v>Еще фото</v>
      </c>
      <c r="F2122" s="14" t="s">
        <v>182</v>
      </c>
      <c r="G2122" s="11" t="s">
        <v>1463</v>
      </c>
      <c r="H2122" s="11" t="s">
        <v>27</v>
      </c>
      <c r="I2122" s="15" t="s">
        <v>1757</v>
      </c>
      <c r="J2122" s="15" t="s">
        <v>37</v>
      </c>
      <c r="K2122" s="16" t="s">
        <v>57</v>
      </c>
      <c r="L2122" s="15"/>
      <c r="M2122" s="15"/>
      <c r="N2122" s="15" t="s">
        <v>130</v>
      </c>
      <c r="O2122" s="15"/>
      <c r="P2122" s="16" t="s">
        <v>172</v>
      </c>
      <c r="Q2122" s="17">
        <v>18399</v>
      </c>
      <c r="R2122" s="18">
        <v>45</v>
      </c>
      <c r="S2122" s="19">
        <v>11637.3675</v>
      </c>
      <c r="T2122" s="20" t="s">
        <v>33</v>
      </c>
      <c r="U2122" s="21" t="s">
        <v>62</v>
      </c>
      <c r="V2122" s="22">
        <v>46</v>
      </c>
      <c r="W2122" s="22">
        <v>4</v>
      </c>
      <c r="X2122" s="23"/>
    </row>
    <row r="2123" spans="1:24" s="1" customFormat="1" ht="52.05" customHeight="1" x14ac:dyDescent="0.3">
      <c r="A2123" s="11" t="s">
        <v>23</v>
      </c>
      <c r="B2123" s="11" t="s">
        <v>1965</v>
      </c>
      <c r="C2123" s="12" t="s">
        <v>1966</v>
      </c>
      <c r="D2123" s="63"/>
      <c r="E2123" s="43" t="str">
        <f>HYPERLINK("https://www.google.ru/search?q=A5942-0024&amp;newwindow=1&amp;tbm=isch","Еще фото")</f>
        <v>Еще фото</v>
      </c>
      <c r="F2123" s="14"/>
      <c r="G2123" s="11" t="s">
        <v>1775</v>
      </c>
      <c r="H2123" s="11" t="s">
        <v>27</v>
      </c>
      <c r="I2123" s="15" t="s">
        <v>1757</v>
      </c>
      <c r="J2123" s="15" t="s">
        <v>28</v>
      </c>
      <c r="K2123" s="16" t="s">
        <v>29</v>
      </c>
      <c r="L2123" s="60"/>
      <c r="M2123" s="15"/>
      <c r="N2123" s="15" t="s">
        <v>130</v>
      </c>
      <c r="O2123" s="15"/>
      <c r="P2123" s="16" t="s">
        <v>1813</v>
      </c>
      <c r="Q2123" s="17">
        <v>6999</v>
      </c>
      <c r="R2123" s="18">
        <v>45</v>
      </c>
      <c r="S2123" s="19">
        <v>4426.8674999999994</v>
      </c>
      <c r="T2123" s="20" t="s">
        <v>33</v>
      </c>
      <c r="U2123" s="21" t="s">
        <v>64</v>
      </c>
      <c r="V2123" s="22">
        <v>46</v>
      </c>
      <c r="W2123" s="22">
        <v>1</v>
      </c>
      <c r="X2123" s="23"/>
    </row>
    <row r="2124" spans="1:24" s="1" customFormat="1" ht="61.05" customHeight="1" x14ac:dyDescent="0.3">
      <c r="A2124" s="24" t="s">
        <v>23</v>
      </c>
      <c r="B2124" s="24" t="s">
        <v>1965</v>
      </c>
      <c r="C2124" s="12" t="s">
        <v>1966</v>
      </c>
      <c r="D2124" s="64"/>
      <c r="E2124" s="43" t="str">
        <f>HYPERLINK("https://www.google.ru/search?q=A5942-0024&amp;newwindow=1&amp;tbm=isch","Еще фото")</f>
        <v>Еще фото</v>
      </c>
      <c r="F2124" s="14"/>
      <c r="G2124" s="24" t="s">
        <v>1775</v>
      </c>
      <c r="H2124" s="24" t="s">
        <v>27</v>
      </c>
      <c r="I2124" s="24" t="s">
        <v>1757</v>
      </c>
      <c r="J2124" s="15" t="s">
        <v>28</v>
      </c>
      <c r="K2124" s="16" t="s">
        <v>29</v>
      </c>
      <c r="L2124" s="62"/>
      <c r="M2124" s="15"/>
      <c r="N2124" s="15" t="s">
        <v>130</v>
      </c>
      <c r="O2124" s="15"/>
      <c r="P2124" s="16" t="s">
        <v>1813</v>
      </c>
      <c r="Q2124" s="17">
        <v>6999</v>
      </c>
      <c r="R2124" s="18">
        <v>45</v>
      </c>
      <c r="S2124" s="19">
        <v>4426.8674999999994</v>
      </c>
      <c r="T2124" s="20" t="s">
        <v>33</v>
      </c>
      <c r="U2124" s="21" t="s">
        <v>34</v>
      </c>
      <c r="V2124" s="22">
        <v>48</v>
      </c>
      <c r="W2124" s="22">
        <v>1</v>
      </c>
      <c r="X2124" s="23"/>
    </row>
    <row r="2125" spans="1:24" s="1" customFormat="1" ht="108" customHeight="1" x14ac:dyDescent="0.3">
      <c r="A2125" s="11" t="s">
        <v>23</v>
      </c>
      <c r="B2125" s="11" t="s">
        <v>1967</v>
      </c>
      <c r="C2125" s="12" t="s">
        <v>1968</v>
      </c>
      <c r="D2125" s="13"/>
      <c r="E2125" s="43" t="str">
        <f>HYPERLINK("https://www.google.ru/search?q=A5942-0036&amp;newwindow=1&amp;tbm=isch","Еще фото")</f>
        <v>Еще фото</v>
      </c>
      <c r="F2125" s="14" t="s">
        <v>182</v>
      </c>
      <c r="G2125" s="11" t="s">
        <v>1910</v>
      </c>
      <c r="H2125" s="11" t="s">
        <v>27</v>
      </c>
      <c r="I2125" s="15" t="s">
        <v>1757</v>
      </c>
      <c r="J2125" s="15" t="s">
        <v>28</v>
      </c>
      <c r="K2125" s="16" t="s">
        <v>29</v>
      </c>
      <c r="L2125" s="15"/>
      <c r="M2125" s="15"/>
      <c r="N2125" s="15" t="s">
        <v>31</v>
      </c>
      <c r="O2125" s="15"/>
      <c r="P2125" s="16" t="s">
        <v>1813</v>
      </c>
      <c r="Q2125" s="17">
        <v>6999</v>
      </c>
      <c r="R2125" s="18">
        <v>45</v>
      </c>
      <c r="S2125" s="19">
        <v>4426.8674999999994</v>
      </c>
      <c r="T2125" s="20" t="s">
        <v>33</v>
      </c>
      <c r="U2125" s="21" t="s">
        <v>34</v>
      </c>
      <c r="V2125" s="22">
        <v>48</v>
      </c>
      <c r="W2125" s="22">
        <v>2</v>
      </c>
      <c r="X2125" s="23"/>
    </row>
    <row r="2126" spans="1:24" s="1" customFormat="1" ht="108" customHeight="1" x14ac:dyDescent="0.3">
      <c r="A2126" s="11" t="s">
        <v>23</v>
      </c>
      <c r="B2126" s="11" t="s">
        <v>1965</v>
      </c>
      <c r="C2126" s="12" t="s">
        <v>1969</v>
      </c>
      <c r="D2126" s="13"/>
      <c r="E2126" s="43" t="str">
        <f>HYPERLINK("https://www.google.ru/search?q=A5942-0060&amp;newwindow=1&amp;tbm=isch","Еще фото")</f>
        <v>Еще фото</v>
      </c>
      <c r="F2126" s="14"/>
      <c r="G2126" s="11" t="s">
        <v>1783</v>
      </c>
      <c r="H2126" s="11" t="s">
        <v>27</v>
      </c>
      <c r="I2126" s="15" t="s">
        <v>1757</v>
      </c>
      <c r="J2126" s="15" t="s">
        <v>37</v>
      </c>
      <c r="K2126" s="16" t="s">
        <v>29</v>
      </c>
      <c r="L2126" s="15" t="s">
        <v>1970</v>
      </c>
      <c r="M2126" s="15"/>
      <c r="N2126" s="15" t="s">
        <v>138</v>
      </c>
      <c r="O2126" s="15"/>
      <c r="P2126" s="16" t="s">
        <v>1813</v>
      </c>
      <c r="Q2126" s="17">
        <v>6099</v>
      </c>
      <c r="R2126" s="18">
        <v>45</v>
      </c>
      <c r="S2126" s="19">
        <v>3857.6174999999994</v>
      </c>
      <c r="T2126" s="20" t="s">
        <v>33</v>
      </c>
      <c r="U2126" s="21" t="s">
        <v>64</v>
      </c>
      <c r="V2126" s="22">
        <v>46</v>
      </c>
      <c r="W2126" s="22">
        <v>1</v>
      </c>
      <c r="X2126" s="23"/>
    </row>
    <row r="2127" spans="1:24" s="1" customFormat="1" ht="35" customHeight="1" x14ac:dyDescent="0.3">
      <c r="A2127" s="11" t="s">
        <v>23</v>
      </c>
      <c r="B2127" s="11" t="s">
        <v>1971</v>
      </c>
      <c r="C2127" s="12" t="s">
        <v>1972</v>
      </c>
      <c r="D2127" s="57"/>
      <c r="E2127" s="43" t="str">
        <f>HYPERLINK("https://www.google.ru/search?q=A6069-0009&amp;newwindow=1&amp;tbm=isch","Еще фото")</f>
        <v>Еще фото</v>
      </c>
      <c r="F2127" s="14"/>
      <c r="G2127" s="11" t="s">
        <v>1756</v>
      </c>
      <c r="H2127" s="11" t="s">
        <v>27</v>
      </c>
      <c r="I2127" s="15" t="s">
        <v>1757</v>
      </c>
      <c r="J2127" s="15" t="s">
        <v>28</v>
      </c>
      <c r="K2127" s="16" t="s">
        <v>29</v>
      </c>
      <c r="L2127" s="60" t="s">
        <v>1973</v>
      </c>
      <c r="M2127" s="15"/>
      <c r="N2127" s="15" t="s">
        <v>1974</v>
      </c>
      <c r="O2127" s="15"/>
      <c r="P2127" s="16" t="s">
        <v>162</v>
      </c>
      <c r="Q2127" s="17">
        <v>10499</v>
      </c>
      <c r="R2127" s="18">
        <v>45</v>
      </c>
      <c r="S2127" s="19">
        <v>6640.6174999999994</v>
      </c>
      <c r="T2127" s="20" t="s">
        <v>33</v>
      </c>
      <c r="U2127" s="21" t="s">
        <v>61</v>
      </c>
      <c r="V2127" s="22">
        <v>42</v>
      </c>
      <c r="W2127" s="22">
        <v>2</v>
      </c>
      <c r="X2127" s="23"/>
    </row>
    <row r="2128" spans="1:24" s="1" customFormat="1" ht="35" customHeight="1" x14ac:dyDescent="0.3">
      <c r="A2128" s="24" t="s">
        <v>23</v>
      </c>
      <c r="B2128" s="24" t="s">
        <v>1971</v>
      </c>
      <c r="C2128" s="12" t="s">
        <v>1972</v>
      </c>
      <c r="D2128" s="58"/>
      <c r="E2128" s="43" t="str">
        <f>HYPERLINK("https://www.google.ru/search?q=A6069-0009&amp;newwindow=1&amp;tbm=isch","Еще фото")</f>
        <v>Еще фото</v>
      </c>
      <c r="F2128" s="14"/>
      <c r="G2128" s="24" t="s">
        <v>1756</v>
      </c>
      <c r="H2128" s="24" t="s">
        <v>27</v>
      </c>
      <c r="I2128" s="24" t="s">
        <v>1757</v>
      </c>
      <c r="J2128" s="15" t="s">
        <v>28</v>
      </c>
      <c r="K2128" s="16" t="s">
        <v>29</v>
      </c>
      <c r="L2128" s="61"/>
      <c r="M2128" s="15"/>
      <c r="N2128" s="15" t="s">
        <v>1974</v>
      </c>
      <c r="O2128" s="15"/>
      <c r="P2128" s="16" t="s">
        <v>162</v>
      </c>
      <c r="Q2128" s="17">
        <v>10499</v>
      </c>
      <c r="R2128" s="18">
        <v>45</v>
      </c>
      <c r="S2128" s="19">
        <v>6640.6174999999994</v>
      </c>
      <c r="T2128" s="20" t="s">
        <v>33</v>
      </c>
      <c r="U2128" s="21" t="s">
        <v>62</v>
      </c>
      <c r="V2128" s="22">
        <v>44</v>
      </c>
      <c r="W2128" s="22">
        <v>1</v>
      </c>
      <c r="X2128" s="23"/>
    </row>
    <row r="2129" spans="1:24" s="1" customFormat="1" ht="37.049999999999997" customHeight="1" x14ac:dyDescent="0.3">
      <c r="A2129" s="24" t="s">
        <v>23</v>
      </c>
      <c r="B2129" s="24" t="s">
        <v>1971</v>
      </c>
      <c r="C2129" s="12" t="s">
        <v>1972</v>
      </c>
      <c r="D2129" s="59"/>
      <c r="E2129" s="43" t="str">
        <f>HYPERLINK("https://www.google.ru/search?q=A6069-0009&amp;newwindow=1&amp;tbm=isch","Еще фото")</f>
        <v>Еще фото</v>
      </c>
      <c r="F2129" s="14"/>
      <c r="G2129" s="24" t="s">
        <v>1756</v>
      </c>
      <c r="H2129" s="24" t="s">
        <v>27</v>
      </c>
      <c r="I2129" s="24" t="s">
        <v>1757</v>
      </c>
      <c r="J2129" s="15" t="s">
        <v>28</v>
      </c>
      <c r="K2129" s="16" t="s">
        <v>29</v>
      </c>
      <c r="L2129" s="62"/>
      <c r="M2129" s="15"/>
      <c r="N2129" s="15" t="s">
        <v>1974</v>
      </c>
      <c r="O2129" s="15"/>
      <c r="P2129" s="16" t="s">
        <v>162</v>
      </c>
      <c r="Q2129" s="17">
        <v>10499</v>
      </c>
      <c r="R2129" s="18">
        <v>45</v>
      </c>
      <c r="S2129" s="19">
        <v>6640.6174999999994</v>
      </c>
      <c r="T2129" s="20" t="s">
        <v>33</v>
      </c>
      <c r="U2129" s="21" t="s">
        <v>34</v>
      </c>
      <c r="V2129" s="22">
        <v>48</v>
      </c>
      <c r="W2129" s="22">
        <v>1</v>
      </c>
      <c r="X2129" s="23"/>
    </row>
    <row r="2130" spans="1:24" s="1" customFormat="1" ht="108" customHeight="1" x14ac:dyDescent="0.3">
      <c r="A2130" s="11" t="s">
        <v>23</v>
      </c>
      <c r="B2130" s="11" t="s">
        <v>1975</v>
      </c>
      <c r="C2130" s="12" t="s">
        <v>1976</v>
      </c>
      <c r="D2130" s="13"/>
      <c r="E2130" s="43" t="str">
        <f>HYPERLINK("https://www.google.ru/search?q=A7189-0001&amp;newwindow=1&amp;tbm=isch","Еще фото")</f>
        <v>Еще фото</v>
      </c>
      <c r="F2130" s="14"/>
      <c r="G2130" s="11" t="s">
        <v>1489</v>
      </c>
      <c r="H2130" s="11" t="s">
        <v>27</v>
      </c>
      <c r="I2130" s="15" t="s">
        <v>1757</v>
      </c>
      <c r="J2130" s="15" t="s">
        <v>37</v>
      </c>
      <c r="K2130" s="16" t="s">
        <v>29</v>
      </c>
      <c r="L2130" s="15" t="s">
        <v>1977</v>
      </c>
      <c r="M2130" s="15"/>
      <c r="N2130" s="15" t="s">
        <v>130</v>
      </c>
      <c r="O2130" s="15"/>
      <c r="P2130" s="16" t="s">
        <v>32</v>
      </c>
      <c r="Q2130" s="17">
        <v>19999</v>
      </c>
      <c r="R2130" s="18">
        <v>45</v>
      </c>
      <c r="S2130" s="19">
        <v>12649.3675</v>
      </c>
      <c r="T2130" s="20" t="s">
        <v>33</v>
      </c>
      <c r="U2130" s="21" t="s">
        <v>64</v>
      </c>
      <c r="V2130" s="22">
        <v>46</v>
      </c>
      <c r="W2130" s="22">
        <v>1</v>
      </c>
      <c r="X2130" s="23"/>
    </row>
    <row r="2131" spans="1:24" s="1" customFormat="1" ht="35" customHeight="1" x14ac:dyDescent="0.3">
      <c r="A2131" s="11" t="s">
        <v>23</v>
      </c>
      <c r="B2131" s="11" t="s">
        <v>1978</v>
      </c>
      <c r="C2131" s="12" t="s">
        <v>1979</v>
      </c>
      <c r="D2131" s="57"/>
      <c r="E2131" s="43" t="str">
        <f>HYPERLINK("https://www.google.ru/search?q=A8435-0008&amp;newwindow=1&amp;tbm=isch","Еще фото")</f>
        <v>Еще фото</v>
      </c>
      <c r="F2131" s="34" t="s">
        <v>469</v>
      </c>
      <c r="G2131" s="11" t="s">
        <v>1756</v>
      </c>
      <c r="H2131" s="11" t="s">
        <v>27</v>
      </c>
      <c r="I2131" s="15" t="s">
        <v>1757</v>
      </c>
      <c r="J2131" s="15" t="s">
        <v>28</v>
      </c>
      <c r="K2131" s="16" t="s">
        <v>57</v>
      </c>
      <c r="L2131" s="60" t="s">
        <v>1980</v>
      </c>
      <c r="M2131" s="15"/>
      <c r="N2131" s="15" t="s">
        <v>31</v>
      </c>
      <c r="O2131" s="15"/>
      <c r="P2131" s="16" t="s">
        <v>1851</v>
      </c>
      <c r="Q2131" s="17">
        <v>11399</v>
      </c>
      <c r="R2131" s="18">
        <v>45</v>
      </c>
      <c r="S2131" s="19">
        <v>7209.8674999999994</v>
      </c>
      <c r="T2131" s="20" t="s">
        <v>33</v>
      </c>
      <c r="U2131" s="21" t="s">
        <v>62</v>
      </c>
      <c r="V2131" s="22">
        <v>46</v>
      </c>
      <c r="W2131" s="22">
        <v>2</v>
      </c>
      <c r="X2131" s="23"/>
    </row>
    <row r="2132" spans="1:24" s="1" customFormat="1" ht="35" customHeight="1" x14ac:dyDescent="0.3">
      <c r="A2132" s="24" t="s">
        <v>23</v>
      </c>
      <c r="B2132" s="24" t="s">
        <v>1978</v>
      </c>
      <c r="C2132" s="12" t="s">
        <v>1979</v>
      </c>
      <c r="D2132" s="58"/>
      <c r="E2132" s="43" t="str">
        <f>HYPERLINK("https://www.google.ru/search?q=A8435-0008&amp;newwindow=1&amp;tbm=isch","Еще фото")</f>
        <v>Еще фото</v>
      </c>
      <c r="F2132" s="34" t="s">
        <v>469</v>
      </c>
      <c r="G2132" s="24" t="s">
        <v>1756</v>
      </c>
      <c r="H2132" s="24" t="s">
        <v>27</v>
      </c>
      <c r="I2132" s="24" t="s">
        <v>1757</v>
      </c>
      <c r="J2132" s="15" t="s">
        <v>28</v>
      </c>
      <c r="K2132" s="16" t="s">
        <v>57</v>
      </c>
      <c r="L2132" s="61"/>
      <c r="M2132" s="15"/>
      <c r="N2132" s="15" t="s">
        <v>31</v>
      </c>
      <c r="O2132" s="15"/>
      <c r="P2132" s="16" t="s">
        <v>1851</v>
      </c>
      <c r="Q2132" s="17">
        <v>11399</v>
      </c>
      <c r="R2132" s="18">
        <v>45</v>
      </c>
      <c r="S2132" s="19">
        <v>7209.8674999999994</v>
      </c>
      <c r="T2132" s="20" t="s">
        <v>33</v>
      </c>
      <c r="U2132" s="21" t="s">
        <v>64</v>
      </c>
      <c r="V2132" s="22">
        <v>48</v>
      </c>
      <c r="W2132" s="22">
        <v>4</v>
      </c>
      <c r="X2132" s="23"/>
    </row>
    <row r="2133" spans="1:24" s="1" customFormat="1" ht="37.049999999999997" customHeight="1" x14ac:dyDescent="0.3">
      <c r="A2133" s="24" t="s">
        <v>23</v>
      </c>
      <c r="B2133" s="24" t="s">
        <v>1978</v>
      </c>
      <c r="C2133" s="12" t="s">
        <v>1979</v>
      </c>
      <c r="D2133" s="59"/>
      <c r="E2133" s="43" t="str">
        <f>HYPERLINK("https://www.google.ru/search?q=A8435-0008&amp;newwindow=1&amp;tbm=isch","Еще фото")</f>
        <v>Еще фото</v>
      </c>
      <c r="F2133" s="34" t="s">
        <v>469</v>
      </c>
      <c r="G2133" s="24" t="s">
        <v>1756</v>
      </c>
      <c r="H2133" s="24" t="s">
        <v>27</v>
      </c>
      <c r="I2133" s="24" t="s">
        <v>1757</v>
      </c>
      <c r="J2133" s="15" t="s">
        <v>28</v>
      </c>
      <c r="K2133" s="16" t="s">
        <v>57</v>
      </c>
      <c r="L2133" s="62"/>
      <c r="M2133" s="15"/>
      <c r="N2133" s="15" t="s">
        <v>31</v>
      </c>
      <c r="O2133" s="15"/>
      <c r="P2133" s="16" t="s">
        <v>1851</v>
      </c>
      <c r="Q2133" s="17">
        <v>11399</v>
      </c>
      <c r="R2133" s="18">
        <v>45</v>
      </c>
      <c r="S2133" s="19">
        <v>7209.8674999999994</v>
      </c>
      <c r="T2133" s="20" t="s">
        <v>33</v>
      </c>
      <c r="U2133" s="21" t="s">
        <v>34</v>
      </c>
      <c r="V2133" s="25" t="s">
        <v>90</v>
      </c>
      <c r="W2133" s="22">
        <v>9</v>
      </c>
      <c r="X2133" s="23"/>
    </row>
    <row r="2134" spans="1:24" s="1" customFormat="1" ht="108" customHeight="1" x14ac:dyDescent="0.3">
      <c r="A2134" s="11" t="s">
        <v>23</v>
      </c>
      <c r="B2134" s="11" t="s">
        <v>1978</v>
      </c>
      <c r="C2134" s="12" t="s">
        <v>1981</v>
      </c>
      <c r="D2134" s="13"/>
      <c r="E2134" s="43" t="str">
        <f>HYPERLINK("https://www.google.ru/search?q=A8435-0019&amp;newwindow=1&amp;tbm=isch","Еще фото")</f>
        <v>Еще фото</v>
      </c>
      <c r="F2134" s="34" t="s">
        <v>469</v>
      </c>
      <c r="G2134" s="11" t="s">
        <v>1756</v>
      </c>
      <c r="H2134" s="11" t="s">
        <v>27</v>
      </c>
      <c r="I2134" s="15" t="s">
        <v>1757</v>
      </c>
      <c r="J2134" s="15" t="s">
        <v>28</v>
      </c>
      <c r="K2134" s="16" t="s">
        <v>57</v>
      </c>
      <c r="L2134" s="15" t="s">
        <v>1982</v>
      </c>
      <c r="M2134" s="15"/>
      <c r="N2134" s="15" t="s">
        <v>39</v>
      </c>
      <c r="O2134" s="15"/>
      <c r="P2134" s="16" t="s">
        <v>1851</v>
      </c>
      <c r="Q2134" s="17">
        <v>9199</v>
      </c>
      <c r="R2134" s="18">
        <v>45</v>
      </c>
      <c r="S2134" s="19">
        <v>5818.3674999999994</v>
      </c>
      <c r="T2134" s="20" t="s">
        <v>33</v>
      </c>
      <c r="U2134" s="21" t="s">
        <v>62</v>
      </c>
      <c r="V2134" s="22">
        <v>46</v>
      </c>
      <c r="W2134" s="22">
        <v>1</v>
      </c>
      <c r="X2134" s="23"/>
    </row>
    <row r="2135" spans="1:24" s="1" customFormat="1" ht="52.05" customHeight="1" x14ac:dyDescent="0.3">
      <c r="A2135" s="11" t="s">
        <v>23</v>
      </c>
      <c r="B2135" s="11" t="s">
        <v>1983</v>
      </c>
      <c r="C2135" s="12" t="s">
        <v>1984</v>
      </c>
      <c r="D2135" s="63"/>
      <c r="E2135" s="43" t="str">
        <f>HYPERLINK("https://www.google.ru/search?q=A8435-0039&amp;newwindow=1&amp;tbm=isch","Еще фото")</f>
        <v>Еще фото</v>
      </c>
      <c r="F2135" s="34" t="s">
        <v>469</v>
      </c>
      <c r="G2135" s="11" t="s">
        <v>1756</v>
      </c>
      <c r="H2135" s="11" t="s">
        <v>27</v>
      </c>
      <c r="I2135" s="15" t="s">
        <v>1757</v>
      </c>
      <c r="J2135" s="15" t="s">
        <v>37</v>
      </c>
      <c r="K2135" s="16" t="s">
        <v>57</v>
      </c>
      <c r="L2135" s="60" t="s">
        <v>1980</v>
      </c>
      <c r="M2135" s="15"/>
      <c r="N2135" s="15" t="s">
        <v>73</v>
      </c>
      <c r="O2135" s="15"/>
      <c r="P2135" s="16" t="s">
        <v>1851</v>
      </c>
      <c r="Q2135" s="17">
        <v>10199</v>
      </c>
      <c r="R2135" s="18">
        <v>45</v>
      </c>
      <c r="S2135" s="19">
        <v>6450.8674999999994</v>
      </c>
      <c r="T2135" s="20" t="s">
        <v>33</v>
      </c>
      <c r="U2135" s="21" t="s">
        <v>64</v>
      </c>
      <c r="V2135" s="22">
        <v>48</v>
      </c>
      <c r="W2135" s="22">
        <v>3</v>
      </c>
      <c r="X2135" s="23"/>
    </row>
    <row r="2136" spans="1:24" s="1" customFormat="1" ht="61.05" customHeight="1" x14ac:dyDescent="0.3">
      <c r="A2136" s="24" t="s">
        <v>23</v>
      </c>
      <c r="B2136" s="24" t="s">
        <v>1983</v>
      </c>
      <c r="C2136" s="12" t="s">
        <v>1984</v>
      </c>
      <c r="D2136" s="64"/>
      <c r="E2136" s="43" t="str">
        <f>HYPERLINK("https://www.google.ru/search?q=A8435-0039&amp;newwindow=1&amp;tbm=isch","Еще фото")</f>
        <v>Еще фото</v>
      </c>
      <c r="F2136" s="34" t="s">
        <v>469</v>
      </c>
      <c r="G2136" s="24" t="s">
        <v>1756</v>
      </c>
      <c r="H2136" s="24" t="s">
        <v>27</v>
      </c>
      <c r="I2136" s="24" t="s">
        <v>1757</v>
      </c>
      <c r="J2136" s="15" t="s">
        <v>37</v>
      </c>
      <c r="K2136" s="16" t="s">
        <v>57</v>
      </c>
      <c r="L2136" s="62"/>
      <c r="M2136" s="15"/>
      <c r="N2136" s="15" t="s">
        <v>73</v>
      </c>
      <c r="O2136" s="15"/>
      <c r="P2136" s="16" t="s">
        <v>1851</v>
      </c>
      <c r="Q2136" s="17">
        <v>10199</v>
      </c>
      <c r="R2136" s="18">
        <v>45</v>
      </c>
      <c r="S2136" s="19">
        <v>6450.8674999999994</v>
      </c>
      <c r="T2136" s="20" t="s">
        <v>33</v>
      </c>
      <c r="U2136" s="21" t="s">
        <v>34</v>
      </c>
      <c r="V2136" s="25" t="s">
        <v>90</v>
      </c>
      <c r="W2136" s="22">
        <v>5</v>
      </c>
      <c r="X2136" s="23"/>
    </row>
    <row r="2137" spans="1:24" s="1" customFormat="1" ht="108" customHeight="1" x14ac:dyDescent="0.3">
      <c r="A2137" s="11" t="s">
        <v>23</v>
      </c>
      <c r="B2137" s="11" t="s">
        <v>1985</v>
      </c>
      <c r="C2137" s="12" t="s">
        <v>1986</v>
      </c>
      <c r="D2137" s="13"/>
      <c r="E2137" s="43" t="str">
        <f>HYPERLINK("https://www.google.ru/search?q=A8435-0040&amp;newwindow=1&amp;tbm=isch","Еще фото")</f>
        <v>Еще фото</v>
      </c>
      <c r="F2137" s="14"/>
      <c r="G2137" s="11" t="s">
        <v>1756</v>
      </c>
      <c r="H2137" s="11" t="s">
        <v>27</v>
      </c>
      <c r="I2137" s="15" t="s">
        <v>1757</v>
      </c>
      <c r="J2137" s="15" t="s">
        <v>37</v>
      </c>
      <c r="K2137" s="16" t="s">
        <v>57</v>
      </c>
      <c r="L2137" s="15" t="s">
        <v>1980</v>
      </c>
      <c r="M2137" s="15"/>
      <c r="N2137" s="15" t="s">
        <v>87</v>
      </c>
      <c r="O2137" s="15"/>
      <c r="P2137" s="16" t="s">
        <v>1851</v>
      </c>
      <c r="Q2137" s="17">
        <v>9099</v>
      </c>
      <c r="R2137" s="18">
        <v>45</v>
      </c>
      <c r="S2137" s="19">
        <v>5755.1174999999994</v>
      </c>
      <c r="T2137" s="20" t="s">
        <v>33</v>
      </c>
      <c r="U2137" s="21" t="s">
        <v>62</v>
      </c>
      <c r="V2137" s="22">
        <v>46</v>
      </c>
      <c r="W2137" s="22">
        <v>9</v>
      </c>
      <c r="X2137" s="23"/>
    </row>
    <row r="2138" spans="1:24" s="1" customFormat="1" ht="108" customHeight="1" x14ac:dyDescent="0.3">
      <c r="A2138" s="11" t="s">
        <v>23</v>
      </c>
      <c r="B2138" s="11" t="s">
        <v>1987</v>
      </c>
      <c r="C2138" s="12" t="s">
        <v>1988</v>
      </c>
      <c r="D2138" s="13"/>
      <c r="E2138" s="43" t="str">
        <f>HYPERLINK("https://www.google.ru/search?q=A8435-0041&amp;newwindow=1&amp;tbm=isch","Еще фото")</f>
        <v>Еще фото</v>
      </c>
      <c r="F2138" s="14"/>
      <c r="G2138" s="11" t="s">
        <v>1756</v>
      </c>
      <c r="H2138" s="11" t="s">
        <v>27</v>
      </c>
      <c r="I2138" s="15" t="s">
        <v>1757</v>
      </c>
      <c r="J2138" s="15" t="s">
        <v>37</v>
      </c>
      <c r="K2138" s="16" t="s">
        <v>57</v>
      </c>
      <c r="L2138" s="15" t="s">
        <v>1980</v>
      </c>
      <c r="M2138" s="15"/>
      <c r="N2138" s="15" t="s">
        <v>31</v>
      </c>
      <c r="O2138" s="15"/>
      <c r="P2138" s="16" t="s">
        <v>1851</v>
      </c>
      <c r="Q2138" s="17">
        <v>8199</v>
      </c>
      <c r="R2138" s="18">
        <v>45</v>
      </c>
      <c r="S2138" s="19">
        <v>5185.8674999999994</v>
      </c>
      <c r="T2138" s="20" t="s">
        <v>33</v>
      </c>
      <c r="U2138" s="21" t="s">
        <v>64</v>
      </c>
      <c r="V2138" s="22">
        <v>48</v>
      </c>
      <c r="W2138" s="22">
        <v>1</v>
      </c>
      <c r="X2138" s="23"/>
    </row>
    <row r="2139" spans="1:24" s="1" customFormat="1" ht="108" customHeight="1" x14ac:dyDescent="0.3">
      <c r="A2139" s="11" t="s">
        <v>23</v>
      </c>
      <c r="B2139" s="11" t="s">
        <v>1989</v>
      </c>
      <c r="C2139" s="12" t="s">
        <v>1990</v>
      </c>
      <c r="D2139" s="13"/>
      <c r="E2139" s="43" t="str">
        <f>HYPERLINK("https://www.google.ru/search?q=A8790-0011&amp;newwindow=1&amp;tbm=isch","Еще фото")</f>
        <v>Еще фото</v>
      </c>
      <c r="F2139" s="14"/>
      <c r="G2139" s="11" t="s">
        <v>1756</v>
      </c>
      <c r="H2139" s="11" t="s">
        <v>27</v>
      </c>
      <c r="I2139" s="15" t="s">
        <v>1757</v>
      </c>
      <c r="J2139" s="15" t="s">
        <v>28</v>
      </c>
      <c r="K2139" s="16" t="s">
        <v>29</v>
      </c>
      <c r="L2139" s="15" t="s">
        <v>1991</v>
      </c>
      <c r="M2139" s="15"/>
      <c r="N2139" s="15" t="s">
        <v>31</v>
      </c>
      <c r="O2139" s="15"/>
      <c r="P2139" s="16" t="s">
        <v>32</v>
      </c>
      <c r="Q2139" s="17">
        <v>13999</v>
      </c>
      <c r="R2139" s="18">
        <v>45</v>
      </c>
      <c r="S2139" s="19">
        <v>8854.3674999999985</v>
      </c>
      <c r="T2139" s="20" t="s">
        <v>33</v>
      </c>
      <c r="U2139" s="21" t="s">
        <v>62</v>
      </c>
      <c r="V2139" s="22">
        <v>44</v>
      </c>
      <c r="W2139" s="22">
        <v>1</v>
      </c>
      <c r="X2139" s="23"/>
    </row>
    <row r="2140" spans="1:24" s="1" customFormat="1" ht="26" customHeight="1" x14ac:dyDescent="0.3">
      <c r="A2140" s="11" t="s">
        <v>23</v>
      </c>
      <c r="B2140" s="11" t="s">
        <v>1992</v>
      </c>
      <c r="C2140" s="12" t="s">
        <v>1993</v>
      </c>
      <c r="D2140" s="57"/>
      <c r="E2140" s="43" t="str">
        <f>HYPERLINK("https://www.google.ru/search?q=A8800-0086&amp;newwindow=1&amp;tbm=isch","Еще фото")</f>
        <v>Еще фото</v>
      </c>
      <c r="F2140" s="34" t="s">
        <v>469</v>
      </c>
      <c r="G2140" s="11" t="s">
        <v>1775</v>
      </c>
      <c r="H2140" s="11" t="s">
        <v>27</v>
      </c>
      <c r="I2140" s="15" t="s">
        <v>1757</v>
      </c>
      <c r="J2140" s="15" t="s">
        <v>37</v>
      </c>
      <c r="K2140" s="16" t="s">
        <v>29</v>
      </c>
      <c r="L2140" s="60" t="s">
        <v>1994</v>
      </c>
      <c r="M2140" s="15"/>
      <c r="N2140" s="15" t="s">
        <v>39</v>
      </c>
      <c r="O2140" s="15"/>
      <c r="P2140" s="16" t="s">
        <v>1995</v>
      </c>
      <c r="Q2140" s="17">
        <v>8399</v>
      </c>
      <c r="R2140" s="18">
        <v>45</v>
      </c>
      <c r="S2140" s="19">
        <v>5312.3674999999994</v>
      </c>
      <c r="T2140" s="20" t="s">
        <v>33</v>
      </c>
      <c r="U2140" s="21" t="s">
        <v>61</v>
      </c>
      <c r="V2140" s="22">
        <v>42</v>
      </c>
      <c r="W2140" s="22">
        <v>5</v>
      </c>
      <c r="X2140" s="23"/>
    </row>
    <row r="2141" spans="1:24" s="1" customFormat="1" ht="26" customHeight="1" x14ac:dyDescent="0.3">
      <c r="A2141" s="24" t="s">
        <v>23</v>
      </c>
      <c r="B2141" s="24" t="s">
        <v>1992</v>
      </c>
      <c r="C2141" s="12" t="s">
        <v>1993</v>
      </c>
      <c r="D2141" s="58"/>
      <c r="E2141" s="43" t="str">
        <f>HYPERLINK("https://www.google.ru/search?q=A8800-0086&amp;newwindow=1&amp;tbm=isch","Еще фото")</f>
        <v>Еще фото</v>
      </c>
      <c r="F2141" s="34" t="s">
        <v>469</v>
      </c>
      <c r="G2141" s="24" t="s">
        <v>1775</v>
      </c>
      <c r="H2141" s="24" t="s">
        <v>27</v>
      </c>
      <c r="I2141" s="24" t="s">
        <v>1757</v>
      </c>
      <c r="J2141" s="15" t="s">
        <v>37</v>
      </c>
      <c r="K2141" s="16" t="s">
        <v>29</v>
      </c>
      <c r="L2141" s="61"/>
      <c r="M2141" s="15"/>
      <c r="N2141" s="15" t="s">
        <v>39</v>
      </c>
      <c r="O2141" s="15"/>
      <c r="P2141" s="16" t="s">
        <v>1995</v>
      </c>
      <c r="Q2141" s="17">
        <v>8399</v>
      </c>
      <c r="R2141" s="18">
        <v>45</v>
      </c>
      <c r="S2141" s="19">
        <v>5312.3674999999994</v>
      </c>
      <c r="T2141" s="20" t="s">
        <v>33</v>
      </c>
      <c r="U2141" s="21" t="s">
        <v>62</v>
      </c>
      <c r="V2141" s="22">
        <v>44</v>
      </c>
      <c r="W2141" s="22">
        <v>11</v>
      </c>
      <c r="X2141" s="23"/>
    </row>
    <row r="2142" spans="1:24" s="1" customFormat="1" ht="26" customHeight="1" x14ac:dyDescent="0.3">
      <c r="A2142" s="24" t="s">
        <v>23</v>
      </c>
      <c r="B2142" s="24" t="s">
        <v>1992</v>
      </c>
      <c r="C2142" s="12" t="s">
        <v>1993</v>
      </c>
      <c r="D2142" s="58"/>
      <c r="E2142" s="43" t="str">
        <f>HYPERLINK("https://www.google.ru/search?q=A8800-0086&amp;newwindow=1&amp;tbm=isch","Еще фото")</f>
        <v>Еще фото</v>
      </c>
      <c r="F2142" s="34" t="s">
        <v>469</v>
      </c>
      <c r="G2142" s="24" t="s">
        <v>1775</v>
      </c>
      <c r="H2142" s="24" t="s">
        <v>27</v>
      </c>
      <c r="I2142" s="24" t="s">
        <v>1757</v>
      </c>
      <c r="J2142" s="15" t="s">
        <v>37</v>
      </c>
      <c r="K2142" s="16" t="s">
        <v>29</v>
      </c>
      <c r="L2142" s="61"/>
      <c r="M2142" s="15"/>
      <c r="N2142" s="15" t="s">
        <v>39</v>
      </c>
      <c r="O2142" s="15"/>
      <c r="P2142" s="16" t="s">
        <v>1995</v>
      </c>
      <c r="Q2142" s="17">
        <v>8399</v>
      </c>
      <c r="R2142" s="18">
        <v>45</v>
      </c>
      <c r="S2142" s="19">
        <v>5312.3674999999994</v>
      </c>
      <c r="T2142" s="20" t="s">
        <v>33</v>
      </c>
      <c r="U2142" s="21" t="s">
        <v>64</v>
      </c>
      <c r="V2142" s="22">
        <v>46</v>
      </c>
      <c r="W2142" s="22">
        <v>12</v>
      </c>
      <c r="X2142" s="23"/>
    </row>
    <row r="2143" spans="1:24" s="1" customFormat="1" ht="26" customHeight="1" x14ac:dyDescent="0.3">
      <c r="A2143" s="24" t="s">
        <v>23</v>
      </c>
      <c r="B2143" s="24" t="s">
        <v>1992</v>
      </c>
      <c r="C2143" s="12" t="s">
        <v>1993</v>
      </c>
      <c r="D2143" s="59"/>
      <c r="E2143" s="43" t="str">
        <f>HYPERLINK("https://www.google.ru/search?q=A8800-0086&amp;newwindow=1&amp;tbm=isch","Еще фото")</f>
        <v>Еще фото</v>
      </c>
      <c r="F2143" s="34" t="s">
        <v>469</v>
      </c>
      <c r="G2143" s="24" t="s">
        <v>1775</v>
      </c>
      <c r="H2143" s="24" t="s">
        <v>27</v>
      </c>
      <c r="I2143" s="24" t="s">
        <v>1757</v>
      </c>
      <c r="J2143" s="15" t="s">
        <v>37</v>
      </c>
      <c r="K2143" s="16" t="s">
        <v>29</v>
      </c>
      <c r="L2143" s="62"/>
      <c r="M2143" s="15"/>
      <c r="N2143" s="15" t="s">
        <v>39</v>
      </c>
      <c r="O2143" s="15"/>
      <c r="P2143" s="16" t="s">
        <v>1995</v>
      </c>
      <c r="Q2143" s="17">
        <v>8399</v>
      </c>
      <c r="R2143" s="18">
        <v>45</v>
      </c>
      <c r="S2143" s="19">
        <v>5312.3674999999994</v>
      </c>
      <c r="T2143" s="20" t="s">
        <v>33</v>
      </c>
      <c r="U2143" s="21" t="s">
        <v>34</v>
      </c>
      <c r="V2143" s="22">
        <v>48</v>
      </c>
      <c r="W2143" s="22">
        <v>9</v>
      </c>
      <c r="X2143" s="23"/>
    </row>
    <row r="2144" spans="1:24" s="1" customFormat="1" ht="108" customHeight="1" x14ac:dyDescent="0.3">
      <c r="A2144" s="11" t="s">
        <v>23</v>
      </c>
      <c r="B2144" s="11" t="s">
        <v>1996</v>
      </c>
      <c r="C2144" s="12" t="s">
        <v>1997</v>
      </c>
      <c r="D2144" s="13"/>
      <c r="E2144" s="43" t="str">
        <f>HYPERLINK("https://www.google.ru/search?q=A8801-0009&amp;newwindow=1&amp;tbm=isch","Еще фото")</f>
        <v>Еще фото</v>
      </c>
      <c r="F2144" s="14"/>
      <c r="G2144" s="11" t="s">
        <v>1756</v>
      </c>
      <c r="H2144" s="11" t="s">
        <v>27</v>
      </c>
      <c r="I2144" s="15" t="s">
        <v>1757</v>
      </c>
      <c r="J2144" s="15" t="s">
        <v>37</v>
      </c>
      <c r="K2144" s="16" t="s">
        <v>29</v>
      </c>
      <c r="L2144" s="15" t="s">
        <v>1998</v>
      </c>
      <c r="M2144" s="15"/>
      <c r="N2144" s="15" t="s">
        <v>59</v>
      </c>
      <c r="O2144" s="15"/>
      <c r="P2144" s="16" t="s">
        <v>1999</v>
      </c>
      <c r="Q2144" s="17">
        <v>14699</v>
      </c>
      <c r="R2144" s="18">
        <v>45</v>
      </c>
      <c r="S2144" s="19">
        <v>9297.1174999999985</v>
      </c>
      <c r="T2144" s="20" t="s">
        <v>33</v>
      </c>
      <c r="U2144" s="21" t="s">
        <v>64</v>
      </c>
      <c r="V2144" s="22">
        <v>46</v>
      </c>
      <c r="W2144" s="22">
        <v>1</v>
      </c>
      <c r="X2144" s="23"/>
    </row>
    <row r="2145" spans="1:24" s="1" customFormat="1" ht="108" customHeight="1" x14ac:dyDescent="0.3">
      <c r="A2145" s="11" t="s">
        <v>23</v>
      </c>
      <c r="B2145" s="11" t="s">
        <v>2000</v>
      </c>
      <c r="C2145" s="12" t="s">
        <v>2001</v>
      </c>
      <c r="D2145" s="13"/>
      <c r="E2145" s="43" t="str">
        <f>HYPERLINK("https://www.google.ru/search?q=A9265-0000&amp;newwindow=1&amp;tbm=isch","Еще фото")</f>
        <v>Еще фото</v>
      </c>
      <c r="F2145" s="14"/>
      <c r="G2145" s="11" t="s">
        <v>1775</v>
      </c>
      <c r="H2145" s="11" t="s">
        <v>27</v>
      </c>
      <c r="I2145" s="15" t="s">
        <v>1757</v>
      </c>
      <c r="J2145" s="15" t="s">
        <v>28</v>
      </c>
      <c r="K2145" s="16" t="s">
        <v>57</v>
      </c>
      <c r="L2145" s="15"/>
      <c r="M2145" s="15"/>
      <c r="N2145" s="15" t="s">
        <v>39</v>
      </c>
      <c r="O2145" s="15"/>
      <c r="P2145" s="16" t="s">
        <v>1851</v>
      </c>
      <c r="Q2145" s="17">
        <v>10799</v>
      </c>
      <c r="R2145" s="18">
        <v>45</v>
      </c>
      <c r="S2145" s="19">
        <v>6830.3674999999994</v>
      </c>
      <c r="T2145" s="20" t="s">
        <v>33</v>
      </c>
      <c r="U2145" s="21" t="s">
        <v>150</v>
      </c>
      <c r="V2145" s="25" t="s">
        <v>761</v>
      </c>
      <c r="W2145" s="22">
        <v>1</v>
      </c>
      <c r="X2145" s="23"/>
    </row>
    <row r="2146" spans="1:24" s="1" customFormat="1" ht="108" customHeight="1" x14ac:dyDescent="0.3">
      <c r="A2146" s="11" t="s">
        <v>23</v>
      </c>
      <c r="B2146" s="11" t="s">
        <v>2002</v>
      </c>
      <c r="C2146" s="12" t="s">
        <v>2003</v>
      </c>
      <c r="D2146" s="13"/>
      <c r="E2146" s="43" t="str">
        <f>HYPERLINK("https://www.google.ru/search?q=A9283-0004&amp;newwindow=1&amp;tbm=isch","Еще фото")</f>
        <v>Еще фото</v>
      </c>
      <c r="F2146" s="14"/>
      <c r="G2146" s="11" t="s">
        <v>1779</v>
      </c>
      <c r="H2146" s="11" t="s">
        <v>27</v>
      </c>
      <c r="I2146" s="15" t="s">
        <v>1757</v>
      </c>
      <c r="J2146" s="15" t="s">
        <v>37</v>
      </c>
      <c r="K2146" s="16" t="s">
        <v>29</v>
      </c>
      <c r="L2146" s="15" t="s">
        <v>2004</v>
      </c>
      <c r="M2146" s="15"/>
      <c r="N2146" s="15" t="s">
        <v>39</v>
      </c>
      <c r="O2146" s="15"/>
      <c r="P2146" s="16" t="s">
        <v>2005</v>
      </c>
      <c r="Q2146" s="17">
        <v>9799</v>
      </c>
      <c r="R2146" s="18">
        <v>45</v>
      </c>
      <c r="S2146" s="19">
        <v>6197.8674999999994</v>
      </c>
      <c r="T2146" s="20" t="s">
        <v>33</v>
      </c>
      <c r="U2146" s="21" t="s">
        <v>64</v>
      </c>
      <c r="V2146" s="22">
        <v>46</v>
      </c>
      <c r="W2146" s="22">
        <v>1</v>
      </c>
      <c r="X2146" s="23"/>
    </row>
    <row r="2147" spans="1:24" s="1" customFormat="1" ht="108" customHeight="1" x14ac:dyDescent="0.3">
      <c r="A2147" s="11" t="s">
        <v>23</v>
      </c>
      <c r="B2147" s="11" t="s">
        <v>2006</v>
      </c>
      <c r="C2147" s="12" t="s">
        <v>2007</v>
      </c>
      <c r="D2147" s="13"/>
      <c r="E2147" s="43" t="str">
        <f>HYPERLINK("https://www.google.ru/search?q=79541-0000&amp;newwindow=1&amp;tbm=isch","Еще фото")</f>
        <v>Еще фото</v>
      </c>
      <c r="F2147" s="14"/>
      <c r="G2147" s="11" t="s">
        <v>1534</v>
      </c>
      <c r="H2147" s="11" t="s">
        <v>27</v>
      </c>
      <c r="I2147" s="15" t="s">
        <v>2008</v>
      </c>
      <c r="J2147" s="15" t="s">
        <v>28</v>
      </c>
      <c r="K2147" s="16" t="s">
        <v>57</v>
      </c>
      <c r="L2147" s="15" t="s">
        <v>2009</v>
      </c>
      <c r="M2147" s="15" t="s">
        <v>72</v>
      </c>
      <c r="N2147" s="15" t="s">
        <v>31</v>
      </c>
      <c r="O2147" s="15" t="s">
        <v>121</v>
      </c>
      <c r="P2147" s="16" t="s">
        <v>32</v>
      </c>
      <c r="Q2147" s="17">
        <v>5599</v>
      </c>
      <c r="R2147" s="18">
        <v>73.069999999999993</v>
      </c>
      <c r="S2147" s="19">
        <v>1733.9354999999998</v>
      </c>
      <c r="T2147" s="20" t="s">
        <v>33</v>
      </c>
      <c r="U2147" s="21" t="s">
        <v>1366</v>
      </c>
      <c r="V2147" s="22">
        <v>42</v>
      </c>
      <c r="W2147" s="22">
        <v>48</v>
      </c>
      <c r="X2147" s="23"/>
    </row>
    <row r="2148" spans="1:24" s="1" customFormat="1" ht="35" customHeight="1" x14ac:dyDescent="0.3">
      <c r="A2148" s="11" t="s">
        <v>23</v>
      </c>
      <c r="B2148" s="11" t="s">
        <v>2010</v>
      </c>
      <c r="C2148" s="12" t="s">
        <v>2011</v>
      </c>
      <c r="D2148" s="57"/>
      <c r="E2148" s="43" t="str">
        <f>HYPERLINK("https://www.google.ru/search?q=16143-0767&amp;newwindow=1&amp;tbm=isch","Еще фото")</f>
        <v>Еще фото</v>
      </c>
      <c r="F2148" s="14"/>
      <c r="G2148" s="11" t="s">
        <v>1534</v>
      </c>
      <c r="H2148" s="11" t="s">
        <v>27</v>
      </c>
      <c r="I2148" s="15" t="s">
        <v>2008</v>
      </c>
      <c r="J2148" s="15" t="s">
        <v>28</v>
      </c>
      <c r="K2148" s="16" t="s">
        <v>57</v>
      </c>
      <c r="L2148" s="60" t="s">
        <v>2012</v>
      </c>
      <c r="M2148" s="15"/>
      <c r="N2148" s="15" t="s">
        <v>130</v>
      </c>
      <c r="O2148" s="15"/>
      <c r="P2148" s="16" t="s">
        <v>32</v>
      </c>
      <c r="Q2148" s="17">
        <v>4899</v>
      </c>
      <c r="R2148" s="18">
        <v>56.16</v>
      </c>
      <c r="S2148" s="19">
        <v>2469.9354999999996</v>
      </c>
      <c r="T2148" s="20" t="s">
        <v>33</v>
      </c>
      <c r="U2148" s="21" t="s">
        <v>62</v>
      </c>
      <c r="V2148" s="22">
        <v>46</v>
      </c>
      <c r="W2148" s="22">
        <v>7</v>
      </c>
      <c r="X2148" s="23"/>
    </row>
    <row r="2149" spans="1:24" s="1" customFormat="1" ht="35" customHeight="1" x14ac:dyDescent="0.3">
      <c r="A2149" s="24" t="s">
        <v>23</v>
      </c>
      <c r="B2149" s="24" t="s">
        <v>2010</v>
      </c>
      <c r="C2149" s="12" t="s">
        <v>2011</v>
      </c>
      <c r="D2149" s="58"/>
      <c r="E2149" s="43" t="str">
        <f>HYPERLINK("https://www.google.ru/search?q=16143-0767&amp;newwindow=1&amp;tbm=isch","Еще фото")</f>
        <v>Еще фото</v>
      </c>
      <c r="F2149" s="14"/>
      <c r="G2149" s="24" t="s">
        <v>1534</v>
      </c>
      <c r="H2149" s="24" t="s">
        <v>27</v>
      </c>
      <c r="I2149" s="24" t="s">
        <v>2008</v>
      </c>
      <c r="J2149" s="15" t="s">
        <v>28</v>
      </c>
      <c r="K2149" s="16" t="s">
        <v>57</v>
      </c>
      <c r="L2149" s="61"/>
      <c r="M2149" s="15"/>
      <c r="N2149" s="15" t="s">
        <v>130</v>
      </c>
      <c r="O2149" s="15"/>
      <c r="P2149" s="16" t="s">
        <v>32</v>
      </c>
      <c r="Q2149" s="17">
        <v>4899</v>
      </c>
      <c r="R2149" s="18">
        <v>56.16</v>
      </c>
      <c r="S2149" s="19">
        <v>2469.9354999999996</v>
      </c>
      <c r="T2149" s="20" t="s">
        <v>33</v>
      </c>
      <c r="U2149" s="21" t="s">
        <v>64</v>
      </c>
      <c r="V2149" s="22">
        <v>48</v>
      </c>
      <c r="W2149" s="22">
        <v>34</v>
      </c>
      <c r="X2149" s="23"/>
    </row>
    <row r="2150" spans="1:24" s="1" customFormat="1" ht="37.049999999999997" customHeight="1" x14ac:dyDescent="0.3">
      <c r="A2150" s="24" t="s">
        <v>23</v>
      </c>
      <c r="B2150" s="24" t="s">
        <v>2010</v>
      </c>
      <c r="C2150" s="12" t="s">
        <v>2011</v>
      </c>
      <c r="D2150" s="59"/>
      <c r="E2150" s="43" t="str">
        <f>HYPERLINK("https://www.google.ru/search?q=16143-0767&amp;newwindow=1&amp;tbm=isch","Еще фото")</f>
        <v>Еще фото</v>
      </c>
      <c r="F2150" s="14"/>
      <c r="G2150" s="24" t="s">
        <v>1534</v>
      </c>
      <c r="H2150" s="24" t="s">
        <v>27</v>
      </c>
      <c r="I2150" s="24" t="s">
        <v>2008</v>
      </c>
      <c r="J2150" s="15" t="s">
        <v>28</v>
      </c>
      <c r="K2150" s="16" t="s">
        <v>57</v>
      </c>
      <c r="L2150" s="62"/>
      <c r="M2150" s="15"/>
      <c r="N2150" s="15" t="s">
        <v>130</v>
      </c>
      <c r="O2150" s="15"/>
      <c r="P2150" s="16" t="s">
        <v>32</v>
      </c>
      <c r="Q2150" s="17">
        <v>4899</v>
      </c>
      <c r="R2150" s="18">
        <v>56.16</v>
      </c>
      <c r="S2150" s="19">
        <v>2469.9354999999996</v>
      </c>
      <c r="T2150" s="20" t="s">
        <v>33</v>
      </c>
      <c r="U2150" s="21" t="s">
        <v>34</v>
      </c>
      <c r="V2150" s="25" t="s">
        <v>90</v>
      </c>
      <c r="W2150" s="22">
        <v>18</v>
      </c>
      <c r="X2150" s="23"/>
    </row>
    <row r="2151" spans="1:24" s="1" customFormat="1" ht="52.05" customHeight="1" x14ac:dyDescent="0.3">
      <c r="A2151" s="11" t="s">
        <v>23</v>
      </c>
      <c r="B2151" s="11" t="s">
        <v>2013</v>
      </c>
      <c r="C2151" s="12" t="s">
        <v>2014</v>
      </c>
      <c r="D2151" s="63"/>
      <c r="E2151" s="43" t="str">
        <f>HYPERLINK("https://www.google.ru/search?q=21945-0378&amp;newwindow=1&amp;tbm=isch","Еще фото")</f>
        <v>Еще фото</v>
      </c>
      <c r="F2151" s="14"/>
      <c r="G2151" s="11" t="s">
        <v>1534</v>
      </c>
      <c r="H2151" s="11" t="s">
        <v>27</v>
      </c>
      <c r="I2151" s="15" t="s">
        <v>2008</v>
      </c>
      <c r="J2151" s="15" t="s">
        <v>37</v>
      </c>
      <c r="K2151" s="16" t="s">
        <v>57</v>
      </c>
      <c r="L2151" s="60" t="s">
        <v>2015</v>
      </c>
      <c r="M2151" s="15"/>
      <c r="N2151" s="15" t="s">
        <v>31</v>
      </c>
      <c r="O2151" s="15"/>
      <c r="P2151" s="16" t="s">
        <v>32</v>
      </c>
      <c r="Q2151" s="17">
        <v>6099</v>
      </c>
      <c r="R2151" s="18">
        <v>55.77</v>
      </c>
      <c r="S2151" s="19">
        <v>3102.4354999999996</v>
      </c>
      <c r="T2151" s="20" t="s">
        <v>33</v>
      </c>
      <c r="U2151" s="21" t="s">
        <v>64</v>
      </c>
      <c r="V2151" s="22">
        <v>48</v>
      </c>
      <c r="W2151" s="22">
        <v>10</v>
      </c>
      <c r="X2151" s="23"/>
    </row>
    <row r="2152" spans="1:24" s="1" customFormat="1" ht="61.05" customHeight="1" x14ac:dyDescent="0.3">
      <c r="A2152" s="24" t="s">
        <v>23</v>
      </c>
      <c r="B2152" s="24" t="s">
        <v>2013</v>
      </c>
      <c r="C2152" s="12" t="s">
        <v>2014</v>
      </c>
      <c r="D2152" s="64"/>
      <c r="E2152" s="43" t="str">
        <f>HYPERLINK("https://www.google.ru/search?q=21945-0378&amp;newwindow=1&amp;tbm=isch","Еще фото")</f>
        <v>Еще фото</v>
      </c>
      <c r="F2152" s="14"/>
      <c r="G2152" s="24" t="s">
        <v>1534</v>
      </c>
      <c r="H2152" s="24" t="s">
        <v>27</v>
      </c>
      <c r="I2152" s="24" t="s">
        <v>2008</v>
      </c>
      <c r="J2152" s="15" t="s">
        <v>37</v>
      </c>
      <c r="K2152" s="16" t="s">
        <v>57</v>
      </c>
      <c r="L2152" s="62"/>
      <c r="M2152" s="15"/>
      <c r="N2152" s="15" t="s">
        <v>31</v>
      </c>
      <c r="O2152" s="15"/>
      <c r="P2152" s="16" t="s">
        <v>32</v>
      </c>
      <c r="Q2152" s="17">
        <v>6099</v>
      </c>
      <c r="R2152" s="18">
        <v>55.77</v>
      </c>
      <c r="S2152" s="19">
        <v>3102.4354999999996</v>
      </c>
      <c r="T2152" s="20" t="s">
        <v>33</v>
      </c>
      <c r="U2152" s="21" t="s">
        <v>34</v>
      </c>
      <c r="V2152" s="25" t="s">
        <v>90</v>
      </c>
      <c r="W2152" s="22">
        <v>6</v>
      </c>
      <c r="X2152" s="23"/>
    </row>
    <row r="2153" spans="1:24" s="1" customFormat="1" ht="108" customHeight="1" x14ac:dyDescent="0.3">
      <c r="A2153" s="11" t="s">
        <v>23</v>
      </c>
      <c r="B2153" s="11" t="s">
        <v>2016</v>
      </c>
      <c r="C2153" s="12" t="s">
        <v>2017</v>
      </c>
      <c r="D2153" s="13"/>
      <c r="E2153" s="43" t="str">
        <f>HYPERLINK("https://www.google.ru/search?q=17369-2513&amp;newwindow=1&amp;tbm=isch","Еще фото")</f>
        <v>Еще фото</v>
      </c>
      <c r="F2153" s="14"/>
      <c r="G2153" s="11" t="s">
        <v>1534</v>
      </c>
      <c r="H2153" s="11" t="s">
        <v>27</v>
      </c>
      <c r="I2153" s="15" t="s">
        <v>2008</v>
      </c>
      <c r="J2153" s="15" t="s">
        <v>37</v>
      </c>
      <c r="K2153" s="16" t="s">
        <v>29</v>
      </c>
      <c r="L2153" s="15" t="s">
        <v>2018</v>
      </c>
      <c r="M2153" s="15"/>
      <c r="N2153" s="15" t="s">
        <v>138</v>
      </c>
      <c r="O2153" s="15"/>
      <c r="P2153" s="16" t="s">
        <v>32</v>
      </c>
      <c r="Q2153" s="17">
        <v>3799</v>
      </c>
      <c r="R2153" s="18">
        <v>51.1</v>
      </c>
      <c r="S2153" s="19">
        <v>2136.4354999999996</v>
      </c>
      <c r="T2153" s="20" t="s">
        <v>33</v>
      </c>
      <c r="U2153" s="21" t="s">
        <v>61</v>
      </c>
      <c r="V2153" s="22">
        <v>42</v>
      </c>
      <c r="W2153" s="22">
        <v>5</v>
      </c>
      <c r="X2153" s="23"/>
    </row>
    <row r="2154" spans="1:24" s="1" customFormat="1" ht="52.05" customHeight="1" x14ac:dyDescent="0.3">
      <c r="A2154" s="11" t="s">
        <v>23</v>
      </c>
      <c r="B2154" s="11" t="s">
        <v>2019</v>
      </c>
      <c r="C2154" s="12" t="s">
        <v>2020</v>
      </c>
      <c r="D2154" s="63"/>
      <c r="E2154" s="43" t="str">
        <f>HYPERLINK("https://www.google.ru/search?q=17369-1755&amp;newwindow=1&amp;tbm=isch","Еще фото")</f>
        <v>Еще фото</v>
      </c>
      <c r="F2154" s="14"/>
      <c r="G2154" s="11" t="s">
        <v>1534</v>
      </c>
      <c r="H2154" s="11" t="s">
        <v>27</v>
      </c>
      <c r="I2154" s="15" t="s">
        <v>2008</v>
      </c>
      <c r="J2154" s="15" t="s">
        <v>28</v>
      </c>
      <c r="K2154" s="16" t="s">
        <v>29</v>
      </c>
      <c r="L2154" s="60" t="s">
        <v>2021</v>
      </c>
      <c r="M2154" s="15" t="s">
        <v>72</v>
      </c>
      <c r="N2154" s="15" t="s">
        <v>31</v>
      </c>
      <c r="O2154" s="15" t="s">
        <v>121</v>
      </c>
      <c r="P2154" s="16" t="s">
        <v>32</v>
      </c>
      <c r="Q2154" s="17">
        <v>5299</v>
      </c>
      <c r="R2154" s="18">
        <v>49.28</v>
      </c>
      <c r="S2154" s="19">
        <v>3090.9354999999996</v>
      </c>
      <c r="T2154" s="20" t="s">
        <v>33</v>
      </c>
      <c r="U2154" s="21" t="s">
        <v>61</v>
      </c>
      <c r="V2154" s="22">
        <v>42</v>
      </c>
      <c r="W2154" s="22">
        <v>37</v>
      </c>
      <c r="X2154" s="23"/>
    </row>
    <row r="2155" spans="1:24" s="1" customFormat="1" ht="61.05" customHeight="1" x14ac:dyDescent="0.3">
      <c r="A2155" s="24" t="s">
        <v>23</v>
      </c>
      <c r="B2155" s="24" t="s">
        <v>2019</v>
      </c>
      <c r="C2155" s="12" t="s">
        <v>2020</v>
      </c>
      <c r="D2155" s="64"/>
      <c r="E2155" s="43" t="str">
        <f>HYPERLINK("https://www.google.ru/search?q=17369-1755&amp;newwindow=1&amp;tbm=isch","Еще фото")</f>
        <v>Еще фото</v>
      </c>
      <c r="F2155" s="14"/>
      <c r="G2155" s="24" t="s">
        <v>1534</v>
      </c>
      <c r="H2155" s="24" t="s">
        <v>27</v>
      </c>
      <c r="I2155" s="24" t="s">
        <v>2008</v>
      </c>
      <c r="J2155" s="15" t="s">
        <v>28</v>
      </c>
      <c r="K2155" s="16" t="s">
        <v>29</v>
      </c>
      <c r="L2155" s="62"/>
      <c r="M2155" s="15" t="s">
        <v>72</v>
      </c>
      <c r="N2155" s="15" t="s">
        <v>31</v>
      </c>
      <c r="O2155" s="15" t="s">
        <v>121</v>
      </c>
      <c r="P2155" s="16" t="s">
        <v>32</v>
      </c>
      <c r="Q2155" s="17">
        <v>5299</v>
      </c>
      <c r="R2155" s="18">
        <v>49.28</v>
      </c>
      <c r="S2155" s="19">
        <v>3090.9354999999996</v>
      </c>
      <c r="T2155" s="20" t="s">
        <v>33</v>
      </c>
      <c r="U2155" s="21" t="s">
        <v>62</v>
      </c>
      <c r="V2155" s="22">
        <v>44</v>
      </c>
      <c r="W2155" s="22">
        <v>25</v>
      </c>
      <c r="X2155" s="23"/>
    </row>
    <row r="2156" spans="1:24" s="1" customFormat="1" ht="26" customHeight="1" x14ac:dyDescent="0.3">
      <c r="A2156" s="11" t="s">
        <v>23</v>
      </c>
      <c r="B2156" s="11" t="s">
        <v>2022</v>
      </c>
      <c r="C2156" s="12" t="s">
        <v>2023</v>
      </c>
      <c r="D2156" s="57"/>
      <c r="E2156" s="43" t="str">
        <f>HYPERLINK("https://www.google.ru/search?q=17369-2020&amp;newwindow=1&amp;tbm=isch","Еще фото")</f>
        <v>Еще фото</v>
      </c>
      <c r="F2156" s="14"/>
      <c r="G2156" s="11" t="s">
        <v>1534</v>
      </c>
      <c r="H2156" s="11" t="s">
        <v>27</v>
      </c>
      <c r="I2156" s="15" t="s">
        <v>2008</v>
      </c>
      <c r="J2156" s="15" t="s">
        <v>28</v>
      </c>
      <c r="K2156" s="16" t="s">
        <v>29</v>
      </c>
      <c r="L2156" s="60" t="s">
        <v>2024</v>
      </c>
      <c r="M2156" s="15"/>
      <c r="N2156" s="15" t="s">
        <v>130</v>
      </c>
      <c r="O2156" s="15"/>
      <c r="P2156" s="16" t="s">
        <v>32</v>
      </c>
      <c r="Q2156" s="17">
        <v>5199</v>
      </c>
      <c r="R2156" s="18">
        <v>48.88</v>
      </c>
      <c r="S2156" s="19">
        <v>3056.4354999999996</v>
      </c>
      <c r="T2156" s="20" t="s">
        <v>33</v>
      </c>
      <c r="U2156" s="21" t="s">
        <v>61</v>
      </c>
      <c r="V2156" s="22">
        <v>42</v>
      </c>
      <c r="W2156" s="22">
        <v>4</v>
      </c>
      <c r="X2156" s="23"/>
    </row>
    <row r="2157" spans="1:24" s="1" customFormat="1" ht="26" customHeight="1" x14ac:dyDescent="0.3">
      <c r="A2157" s="24" t="s">
        <v>23</v>
      </c>
      <c r="B2157" s="24" t="s">
        <v>2022</v>
      </c>
      <c r="C2157" s="12" t="s">
        <v>2023</v>
      </c>
      <c r="D2157" s="58"/>
      <c r="E2157" s="43" t="str">
        <f>HYPERLINK("https://www.google.ru/search?q=17369-2020&amp;newwindow=1&amp;tbm=isch","Еще фото")</f>
        <v>Еще фото</v>
      </c>
      <c r="F2157" s="14"/>
      <c r="G2157" s="24" t="s">
        <v>1534</v>
      </c>
      <c r="H2157" s="24" t="s">
        <v>27</v>
      </c>
      <c r="I2157" s="24" t="s">
        <v>2008</v>
      </c>
      <c r="J2157" s="15" t="s">
        <v>28</v>
      </c>
      <c r="K2157" s="16" t="s">
        <v>29</v>
      </c>
      <c r="L2157" s="61"/>
      <c r="M2157" s="15"/>
      <c r="N2157" s="15" t="s">
        <v>130</v>
      </c>
      <c r="O2157" s="15"/>
      <c r="P2157" s="16" t="s">
        <v>32</v>
      </c>
      <c r="Q2157" s="17">
        <v>5199</v>
      </c>
      <c r="R2157" s="18">
        <v>48.88</v>
      </c>
      <c r="S2157" s="19">
        <v>3056.4354999999996</v>
      </c>
      <c r="T2157" s="20" t="s">
        <v>33</v>
      </c>
      <c r="U2157" s="21" t="s">
        <v>62</v>
      </c>
      <c r="V2157" s="22">
        <v>44</v>
      </c>
      <c r="W2157" s="22">
        <v>4</v>
      </c>
      <c r="X2157" s="23"/>
    </row>
    <row r="2158" spans="1:24" s="1" customFormat="1" ht="26" customHeight="1" x14ac:dyDescent="0.3">
      <c r="A2158" s="24" t="s">
        <v>23</v>
      </c>
      <c r="B2158" s="24" t="s">
        <v>2022</v>
      </c>
      <c r="C2158" s="12" t="s">
        <v>2023</v>
      </c>
      <c r="D2158" s="58"/>
      <c r="E2158" s="43" t="str">
        <f>HYPERLINK("https://www.google.ru/search?q=17369-2020&amp;newwindow=1&amp;tbm=isch","Еще фото")</f>
        <v>Еще фото</v>
      </c>
      <c r="F2158" s="14"/>
      <c r="G2158" s="24" t="s">
        <v>1534</v>
      </c>
      <c r="H2158" s="24" t="s">
        <v>27</v>
      </c>
      <c r="I2158" s="24" t="s">
        <v>2008</v>
      </c>
      <c r="J2158" s="15" t="s">
        <v>28</v>
      </c>
      <c r="K2158" s="16" t="s">
        <v>29</v>
      </c>
      <c r="L2158" s="61"/>
      <c r="M2158" s="15"/>
      <c r="N2158" s="15" t="s">
        <v>130</v>
      </c>
      <c r="O2158" s="15"/>
      <c r="P2158" s="16" t="s">
        <v>32</v>
      </c>
      <c r="Q2158" s="17">
        <v>5199</v>
      </c>
      <c r="R2158" s="18">
        <v>48.88</v>
      </c>
      <c r="S2158" s="19">
        <v>3056.4354999999996</v>
      </c>
      <c r="T2158" s="20" t="s">
        <v>33</v>
      </c>
      <c r="U2158" s="21" t="s">
        <v>64</v>
      </c>
      <c r="V2158" s="22">
        <v>46</v>
      </c>
      <c r="W2158" s="22">
        <v>6</v>
      </c>
      <c r="X2158" s="23"/>
    </row>
    <row r="2159" spans="1:24" s="1" customFormat="1" ht="26" customHeight="1" x14ac:dyDescent="0.3">
      <c r="A2159" s="24" t="s">
        <v>23</v>
      </c>
      <c r="B2159" s="24" t="s">
        <v>2022</v>
      </c>
      <c r="C2159" s="12" t="s">
        <v>2023</v>
      </c>
      <c r="D2159" s="59"/>
      <c r="E2159" s="43" t="str">
        <f>HYPERLINK("https://www.google.ru/search?q=17369-2020&amp;newwindow=1&amp;tbm=isch","Еще фото")</f>
        <v>Еще фото</v>
      </c>
      <c r="F2159" s="14"/>
      <c r="G2159" s="24" t="s">
        <v>1534</v>
      </c>
      <c r="H2159" s="24" t="s">
        <v>27</v>
      </c>
      <c r="I2159" s="24" t="s">
        <v>2008</v>
      </c>
      <c r="J2159" s="15" t="s">
        <v>28</v>
      </c>
      <c r="K2159" s="16" t="s">
        <v>29</v>
      </c>
      <c r="L2159" s="62"/>
      <c r="M2159" s="15"/>
      <c r="N2159" s="15" t="s">
        <v>130</v>
      </c>
      <c r="O2159" s="15"/>
      <c r="P2159" s="16" t="s">
        <v>32</v>
      </c>
      <c r="Q2159" s="17">
        <v>5199</v>
      </c>
      <c r="R2159" s="18">
        <v>48.88</v>
      </c>
      <c r="S2159" s="19">
        <v>3056.4354999999996</v>
      </c>
      <c r="T2159" s="20" t="s">
        <v>33</v>
      </c>
      <c r="U2159" s="21" t="s">
        <v>34</v>
      </c>
      <c r="V2159" s="22">
        <v>48</v>
      </c>
      <c r="W2159" s="22">
        <v>3</v>
      </c>
      <c r="X2159" s="23"/>
    </row>
    <row r="2160" spans="1:24" s="1" customFormat="1" ht="26" customHeight="1" x14ac:dyDescent="0.3">
      <c r="A2160" s="11" t="s">
        <v>23</v>
      </c>
      <c r="B2160" s="11" t="s">
        <v>2025</v>
      </c>
      <c r="C2160" s="12" t="s">
        <v>2026</v>
      </c>
      <c r="D2160" s="57"/>
      <c r="E2160" s="43" t="str">
        <f>HYPERLINK("https://www.google.ru/search?q=17369-1774&amp;newwindow=1&amp;tbm=isch","Еще фото")</f>
        <v>Еще фото</v>
      </c>
      <c r="F2160" s="14"/>
      <c r="G2160" s="11" t="s">
        <v>1534</v>
      </c>
      <c r="H2160" s="11" t="s">
        <v>27</v>
      </c>
      <c r="I2160" s="15" t="s">
        <v>2008</v>
      </c>
      <c r="J2160" s="15" t="s">
        <v>28</v>
      </c>
      <c r="K2160" s="16" t="s">
        <v>29</v>
      </c>
      <c r="L2160" s="60" t="s">
        <v>2027</v>
      </c>
      <c r="M2160" s="15" t="s">
        <v>72</v>
      </c>
      <c r="N2160" s="15" t="s">
        <v>73</v>
      </c>
      <c r="O2160" s="15" t="s">
        <v>121</v>
      </c>
      <c r="P2160" s="16" t="s">
        <v>32</v>
      </c>
      <c r="Q2160" s="17">
        <v>3799</v>
      </c>
      <c r="R2160" s="18">
        <v>48.73</v>
      </c>
      <c r="S2160" s="19">
        <v>2239.9354999999996</v>
      </c>
      <c r="T2160" s="20" t="s">
        <v>33</v>
      </c>
      <c r="U2160" s="21" t="s">
        <v>61</v>
      </c>
      <c r="V2160" s="22">
        <v>42</v>
      </c>
      <c r="W2160" s="22">
        <v>5</v>
      </c>
      <c r="X2160" s="23"/>
    </row>
    <row r="2161" spans="1:24" s="1" customFormat="1" ht="26" customHeight="1" x14ac:dyDescent="0.3">
      <c r="A2161" s="24" t="s">
        <v>23</v>
      </c>
      <c r="B2161" s="24" t="s">
        <v>2025</v>
      </c>
      <c r="C2161" s="12" t="s">
        <v>2026</v>
      </c>
      <c r="D2161" s="58"/>
      <c r="E2161" s="43" t="str">
        <f>HYPERLINK("https://www.google.ru/search?q=17369-1774&amp;newwindow=1&amp;tbm=isch","Еще фото")</f>
        <v>Еще фото</v>
      </c>
      <c r="F2161" s="14"/>
      <c r="G2161" s="24" t="s">
        <v>1534</v>
      </c>
      <c r="H2161" s="24" t="s">
        <v>27</v>
      </c>
      <c r="I2161" s="24" t="s">
        <v>2008</v>
      </c>
      <c r="J2161" s="15" t="s">
        <v>28</v>
      </c>
      <c r="K2161" s="16" t="s">
        <v>29</v>
      </c>
      <c r="L2161" s="61"/>
      <c r="M2161" s="15" t="s">
        <v>72</v>
      </c>
      <c r="N2161" s="15" t="s">
        <v>73</v>
      </c>
      <c r="O2161" s="15" t="s">
        <v>121</v>
      </c>
      <c r="P2161" s="16" t="s">
        <v>32</v>
      </c>
      <c r="Q2161" s="17">
        <v>3799</v>
      </c>
      <c r="R2161" s="18">
        <v>48.73</v>
      </c>
      <c r="S2161" s="19">
        <v>2239.9354999999996</v>
      </c>
      <c r="T2161" s="20" t="s">
        <v>33</v>
      </c>
      <c r="U2161" s="21" t="s">
        <v>62</v>
      </c>
      <c r="V2161" s="22">
        <v>44</v>
      </c>
      <c r="W2161" s="22">
        <v>15</v>
      </c>
      <c r="X2161" s="23"/>
    </row>
    <row r="2162" spans="1:24" s="1" customFormat="1" ht="26" customHeight="1" x14ac:dyDescent="0.3">
      <c r="A2162" s="24" t="s">
        <v>23</v>
      </c>
      <c r="B2162" s="24" t="s">
        <v>2025</v>
      </c>
      <c r="C2162" s="12" t="s">
        <v>2026</v>
      </c>
      <c r="D2162" s="58"/>
      <c r="E2162" s="43" t="str">
        <f>HYPERLINK("https://www.google.ru/search?q=17369-1774&amp;newwindow=1&amp;tbm=isch","Еще фото")</f>
        <v>Еще фото</v>
      </c>
      <c r="F2162" s="14"/>
      <c r="G2162" s="24" t="s">
        <v>1534</v>
      </c>
      <c r="H2162" s="24" t="s">
        <v>27</v>
      </c>
      <c r="I2162" s="24" t="s">
        <v>2008</v>
      </c>
      <c r="J2162" s="15" t="s">
        <v>28</v>
      </c>
      <c r="K2162" s="16" t="s">
        <v>29</v>
      </c>
      <c r="L2162" s="61"/>
      <c r="M2162" s="15" t="s">
        <v>72</v>
      </c>
      <c r="N2162" s="15" t="s">
        <v>73</v>
      </c>
      <c r="O2162" s="15" t="s">
        <v>121</v>
      </c>
      <c r="P2162" s="16" t="s">
        <v>32</v>
      </c>
      <c r="Q2162" s="17">
        <v>3799</v>
      </c>
      <c r="R2162" s="18">
        <v>48.73</v>
      </c>
      <c r="S2162" s="19">
        <v>2239.9354999999996</v>
      </c>
      <c r="T2162" s="20" t="s">
        <v>33</v>
      </c>
      <c r="U2162" s="21" t="s">
        <v>64</v>
      </c>
      <c r="V2162" s="22">
        <v>46</v>
      </c>
      <c r="W2162" s="22">
        <v>5</v>
      </c>
      <c r="X2162" s="23"/>
    </row>
    <row r="2163" spans="1:24" s="1" customFormat="1" ht="26" customHeight="1" x14ac:dyDescent="0.3">
      <c r="A2163" s="24" t="s">
        <v>23</v>
      </c>
      <c r="B2163" s="24" t="s">
        <v>2025</v>
      </c>
      <c r="C2163" s="12" t="s">
        <v>2026</v>
      </c>
      <c r="D2163" s="59"/>
      <c r="E2163" s="43" t="str">
        <f>HYPERLINK("https://www.google.ru/search?q=17369-1774&amp;newwindow=1&amp;tbm=isch","Еще фото")</f>
        <v>Еще фото</v>
      </c>
      <c r="F2163" s="14"/>
      <c r="G2163" s="24" t="s">
        <v>1534</v>
      </c>
      <c r="H2163" s="24" t="s">
        <v>27</v>
      </c>
      <c r="I2163" s="24" t="s">
        <v>2008</v>
      </c>
      <c r="J2163" s="15" t="s">
        <v>28</v>
      </c>
      <c r="K2163" s="16" t="s">
        <v>29</v>
      </c>
      <c r="L2163" s="62"/>
      <c r="M2163" s="15" t="s">
        <v>72</v>
      </c>
      <c r="N2163" s="15" t="s">
        <v>73</v>
      </c>
      <c r="O2163" s="15" t="s">
        <v>121</v>
      </c>
      <c r="P2163" s="16" t="s">
        <v>32</v>
      </c>
      <c r="Q2163" s="17">
        <v>3799</v>
      </c>
      <c r="R2163" s="18">
        <v>48.73</v>
      </c>
      <c r="S2163" s="19">
        <v>2239.9354999999996</v>
      </c>
      <c r="T2163" s="20" t="s">
        <v>33</v>
      </c>
      <c r="U2163" s="21" t="s">
        <v>34</v>
      </c>
      <c r="V2163" s="22">
        <v>48</v>
      </c>
      <c r="W2163" s="22">
        <v>5</v>
      </c>
      <c r="X2163" s="23"/>
    </row>
    <row r="2164" spans="1:24" s="1" customFormat="1" ht="108" customHeight="1" x14ac:dyDescent="0.3">
      <c r="A2164" s="11" t="s">
        <v>23</v>
      </c>
      <c r="B2164" s="11" t="s">
        <v>2028</v>
      </c>
      <c r="C2164" s="12" t="s">
        <v>2029</v>
      </c>
      <c r="D2164" s="13"/>
      <c r="E2164" s="43" t="str">
        <f>HYPERLINK("https://www.google.ru/search?q=004H0-0022&amp;newwindow=1&amp;tbm=isch","Еще фото")</f>
        <v>Еще фото</v>
      </c>
      <c r="F2164" s="14"/>
      <c r="G2164" s="11" t="s">
        <v>1534</v>
      </c>
      <c r="H2164" s="11" t="s">
        <v>27</v>
      </c>
      <c r="I2164" s="15" t="s">
        <v>2008</v>
      </c>
      <c r="J2164" s="15" t="s">
        <v>37</v>
      </c>
      <c r="K2164" s="16" t="s">
        <v>57</v>
      </c>
      <c r="L2164" s="15"/>
      <c r="M2164" s="15"/>
      <c r="N2164" s="15" t="s">
        <v>39</v>
      </c>
      <c r="O2164" s="15"/>
      <c r="P2164" s="16" t="s">
        <v>32</v>
      </c>
      <c r="Q2164" s="17">
        <v>3999</v>
      </c>
      <c r="R2164" s="18">
        <v>47.49</v>
      </c>
      <c r="S2164" s="19">
        <v>2414.9884999999995</v>
      </c>
      <c r="T2164" s="20" t="s">
        <v>33</v>
      </c>
      <c r="U2164" s="21" t="s">
        <v>150</v>
      </c>
      <c r="V2164" s="25" t="s">
        <v>761</v>
      </c>
      <c r="W2164" s="22">
        <v>1</v>
      </c>
      <c r="X2164" s="23"/>
    </row>
    <row r="2165" spans="1:24" s="1" customFormat="1" ht="108" customHeight="1" x14ac:dyDescent="0.3">
      <c r="A2165" s="11" t="s">
        <v>23</v>
      </c>
      <c r="B2165" s="11" t="s">
        <v>2030</v>
      </c>
      <c r="C2165" s="12" t="s">
        <v>2031</v>
      </c>
      <c r="D2165" s="13"/>
      <c r="E2165" s="43" t="str">
        <f>HYPERLINK("https://www.google.ru/search?q=A0637-0191&amp;newwindow=1&amp;tbm=isch","Еще фото")</f>
        <v>Еще фото</v>
      </c>
      <c r="F2165" s="14"/>
      <c r="G2165" s="11" t="s">
        <v>1534</v>
      </c>
      <c r="H2165" s="11" t="s">
        <v>27</v>
      </c>
      <c r="I2165" s="15" t="s">
        <v>2008</v>
      </c>
      <c r="J2165" s="15" t="s">
        <v>37</v>
      </c>
      <c r="K2165" s="16" t="s">
        <v>57</v>
      </c>
      <c r="L2165" s="15" t="s">
        <v>2032</v>
      </c>
      <c r="M2165" s="15"/>
      <c r="N2165" s="15" t="s">
        <v>87</v>
      </c>
      <c r="O2165" s="15"/>
      <c r="P2165" s="16" t="s">
        <v>32</v>
      </c>
      <c r="Q2165" s="17">
        <v>3799</v>
      </c>
      <c r="R2165" s="18">
        <v>47.35</v>
      </c>
      <c r="S2165" s="19">
        <v>2299.9884999999999</v>
      </c>
      <c r="T2165" s="20" t="s">
        <v>33</v>
      </c>
      <c r="U2165" s="21" t="s">
        <v>62</v>
      </c>
      <c r="V2165" s="22">
        <v>46</v>
      </c>
      <c r="W2165" s="22">
        <v>1</v>
      </c>
      <c r="X2165" s="23"/>
    </row>
    <row r="2166" spans="1:24" s="1" customFormat="1" ht="108" customHeight="1" x14ac:dyDescent="0.3">
      <c r="A2166" s="11" t="s">
        <v>23</v>
      </c>
      <c r="B2166" s="11" t="s">
        <v>2033</v>
      </c>
      <c r="C2166" s="12" t="s">
        <v>2034</v>
      </c>
      <c r="D2166" s="13"/>
      <c r="E2166" s="43" t="str">
        <f>HYPERLINK("https://www.google.ru/search?q=17369-2492&amp;newwindow=1&amp;tbm=isch","Еще фото")</f>
        <v>Еще фото</v>
      </c>
      <c r="F2166" s="14"/>
      <c r="G2166" s="11" t="s">
        <v>1534</v>
      </c>
      <c r="H2166" s="11" t="s">
        <v>27</v>
      </c>
      <c r="I2166" s="15" t="s">
        <v>2008</v>
      </c>
      <c r="J2166" s="15" t="s">
        <v>37</v>
      </c>
      <c r="K2166" s="16" t="s">
        <v>29</v>
      </c>
      <c r="L2166" s="15" t="s">
        <v>2035</v>
      </c>
      <c r="M2166" s="15"/>
      <c r="N2166" s="15" t="s">
        <v>31</v>
      </c>
      <c r="O2166" s="15"/>
      <c r="P2166" s="16" t="s">
        <v>32</v>
      </c>
      <c r="Q2166" s="17">
        <v>3599</v>
      </c>
      <c r="R2166" s="18">
        <v>47.21</v>
      </c>
      <c r="S2166" s="19">
        <v>2184.9884999999999</v>
      </c>
      <c r="T2166" s="20" t="s">
        <v>33</v>
      </c>
      <c r="U2166" s="21" t="s">
        <v>61</v>
      </c>
      <c r="V2166" s="22">
        <v>42</v>
      </c>
      <c r="W2166" s="22">
        <v>1</v>
      </c>
      <c r="X2166" s="23"/>
    </row>
    <row r="2167" spans="1:24" s="1" customFormat="1" ht="108" customHeight="1" x14ac:dyDescent="0.3">
      <c r="A2167" s="11" t="s">
        <v>23</v>
      </c>
      <c r="B2167" s="11" t="s">
        <v>2036</v>
      </c>
      <c r="C2167" s="12" t="s">
        <v>2037</v>
      </c>
      <c r="D2167" s="13"/>
      <c r="E2167" s="43" t="str">
        <f>HYPERLINK("https://www.google.ru/search?q=16143-2371&amp;newwindow=1&amp;tbm=isch","Еще фото")</f>
        <v>Еще фото</v>
      </c>
      <c r="F2167" s="14"/>
      <c r="G2167" s="11" t="s">
        <v>1534</v>
      </c>
      <c r="H2167" s="11" t="s">
        <v>27</v>
      </c>
      <c r="I2167" s="15" t="s">
        <v>2008</v>
      </c>
      <c r="J2167" s="15" t="s">
        <v>37</v>
      </c>
      <c r="K2167" s="16" t="s">
        <v>57</v>
      </c>
      <c r="L2167" s="15" t="s">
        <v>2038</v>
      </c>
      <c r="M2167" s="15"/>
      <c r="N2167" s="15" t="s">
        <v>87</v>
      </c>
      <c r="O2167" s="15"/>
      <c r="P2167" s="16" t="s">
        <v>32</v>
      </c>
      <c r="Q2167" s="17">
        <v>3399</v>
      </c>
      <c r="R2167" s="18">
        <v>47.04</v>
      </c>
      <c r="S2167" s="19">
        <v>2069.9884999999999</v>
      </c>
      <c r="T2167" s="20" t="s">
        <v>33</v>
      </c>
      <c r="U2167" s="21" t="s">
        <v>150</v>
      </c>
      <c r="V2167" s="25" t="s">
        <v>761</v>
      </c>
      <c r="W2167" s="22">
        <v>1</v>
      </c>
      <c r="X2167" s="23"/>
    </row>
    <row r="2168" spans="1:24" s="1" customFormat="1" ht="108" customHeight="1" x14ac:dyDescent="0.3">
      <c r="A2168" s="11" t="s">
        <v>23</v>
      </c>
      <c r="B2168" s="11" t="s">
        <v>2039</v>
      </c>
      <c r="C2168" s="12" t="s">
        <v>2040</v>
      </c>
      <c r="D2168" s="13"/>
      <c r="E2168" s="43" t="str">
        <f>HYPERLINK("https://www.google.ru/search?q=16143-2378&amp;newwindow=1&amp;tbm=isch","Еще фото")</f>
        <v>Еще фото</v>
      </c>
      <c r="F2168" s="14"/>
      <c r="G2168" s="11" t="s">
        <v>1534</v>
      </c>
      <c r="H2168" s="11" t="s">
        <v>27</v>
      </c>
      <c r="I2168" s="15" t="s">
        <v>2008</v>
      </c>
      <c r="J2168" s="15" t="s">
        <v>37</v>
      </c>
      <c r="K2168" s="16" t="s">
        <v>57</v>
      </c>
      <c r="L2168" s="15" t="s">
        <v>2038</v>
      </c>
      <c r="M2168" s="15"/>
      <c r="N2168" s="15" t="s">
        <v>87</v>
      </c>
      <c r="O2168" s="15"/>
      <c r="P2168" s="16" t="s">
        <v>32</v>
      </c>
      <c r="Q2168" s="17">
        <v>3399</v>
      </c>
      <c r="R2168" s="18">
        <v>47.04</v>
      </c>
      <c r="S2168" s="19">
        <v>2069.9884999999999</v>
      </c>
      <c r="T2168" s="20" t="s">
        <v>33</v>
      </c>
      <c r="U2168" s="21" t="s">
        <v>150</v>
      </c>
      <c r="V2168" s="25" t="s">
        <v>761</v>
      </c>
      <c r="W2168" s="22">
        <v>1</v>
      </c>
      <c r="X2168" s="23"/>
    </row>
    <row r="2169" spans="1:24" s="1" customFormat="1" ht="108" customHeight="1" x14ac:dyDescent="0.3">
      <c r="A2169" s="11" t="s">
        <v>23</v>
      </c>
      <c r="B2169" s="11" t="s">
        <v>2041</v>
      </c>
      <c r="C2169" s="12" t="s">
        <v>2042</v>
      </c>
      <c r="D2169" s="13"/>
      <c r="E2169" s="43" t="str">
        <f>HYPERLINK("https://www.google.ru/search?q=16143-2444&amp;newwindow=1&amp;tbm=isch","Еще фото")</f>
        <v>Еще фото</v>
      </c>
      <c r="F2169" s="14"/>
      <c r="G2169" s="11" t="s">
        <v>1534</v>
      </c>
      <c r="H2169" s="11" t="s">
        <v>27</v>
      </c>
      <c r="I2169" s="15" t="s">
        <v>2008</v>
      </c>
      <c r="J2169" s="15" t="s">
        <v>37</v>
      </c>
      <c r="K2169" s="16" t="s">
        <v>57</v>
      </c>
      <c r="L2169" s="15" t="s">
        <v>2038</v>
      </c>
      <c r="M2169" s="15"/>
      <c r="N2169" s="15" t="s">
        <v>31</v>
      </c>
      <c r="O2169" s="15"/>
      <c r="P2169" s="16" t="s">
        <v>32</v>
      </c>
      <c r="Q2169" s="17">
        <v>3399</v>
      </c>
      <c r="R2169" s="18">
        <v>47.04</v>
      </c>
      <c r="S2169" s="19">
        <v>2069.9884999999999</v>
      </c>
      <c r="T2169" s="20" t="s">
        <v>33</v>
      </c>
      <c r="U2169" s="21" t="s">
        <v>150</v>
      </c>
      <c r="V2169" s="25" t="s">
        <v>761</v>
      </c>
      <c r="W2169" s="22">
        <v>1</v>
      </c>
      <c r="X2169" s="23"/>
    </row>
    <row r="2170" spans="1:24" s="1" customFormat="1" ht="108" customHeight="1" x14ac:dyDescent="0.3">
      <c r="A2170" s="11" t="s">
        <v>23</v>
      </c>
      <c r="B2170" s="11" t="s">
        <v>2043</v>
      </c>
      <c r="C2170" s="12" t="s">
        <v>2044</v>
      </c>
      <c r="D2170" s="13"/>
      <c r="E2170" s="43" t="str">
        <f>HYPERLINK("https://www.google.ru/search?q=A5805-0061&amp;newwindow=1&amp;tbm=isch","Еще фото")</f>
        <v>Еще фото</v>
      </c>
      <c r="F2170" s="14"/>
      <c r="G2170" s="11" t="s">
        <v>1534</v>
      </c>
      <c r="H2170" s="11" t="s">
        <v>27</v>
      </c>
      <c r="I2170" s="15" t="s">
        <v>2008</v>
      </c>
      <c r="J2170" s="15" t="s">
        <v>37</v>
      </c>
      <c r="K2170" s="16" t="s">
        <v>57</v>
      </c>
      <c r="L2170" s="15" t="s">
        <v>2045</v>
      </c>
      <c r="M2170" s="15"/>
      <c r="N2170" s="15" t="s">
        <v>130</v>
      </c>
      <c r="O2170" s="15"/>
      <c r="P2170" s="16" t="s">
        <v>32</v>
      </c>
      <c r="Q2170" s="17">
        <v>3399</v>
      </c>
      <c r="R2170" s="18">
        <v>47.04</v>
      </c>
      <c r="S2170" s="19">
        <v>2069.9884999999999</v>
      </c>
      <c r="T2170" s="20" t="s">
        <v>33</v>
      </c>
      <c r="U2170" s="21" t="s">
        <v>150</v>
      </c>
      <c r="V2170" s="25" t="s">
        <v>761</v>
      </c>
      <c r="W2170" s="22">
        <v>1</v>
      </c>
      <c r="X2170" s="23"/>
    </row>
    <row r="2171" spans="1:24" s="1" customFormat="1" ht="108" customHeight="1" x14ac:dyDescent="0.3">
      <c r="A2171" s="11" t="s">
        <v>23</v>
      </c>
      <c r="B2171" s="11" t="s">
        <v>2046</v>
      </c>
      <c r="C2171" s="12" t="s">
        <v>2047</v>
      </c>
      <c r="D2171" s="13"/>
      <c r="E2171" s="43" t="str">
        <f>HYPERLINK("https://www.google.ru/search?q=A5805-0062&amp;newwindow=1&amp;tbm=isch","Еще фото")</f>
        <v>Еще фото</v>
      </c>
      <c r="F2171" s="14"/>
      <c r="G2171" s="11" t="s">
        <v>1534</v>
      </c>
      <c r="H2171" s="11" t="s">
        <v>27</v>
      </c>
      <c r="I2171" s="15" t="s">
        <v>2008</v>
      </c>
      <c r="J2171" s="15" t="s">
        <v>37</v>
      </c>
      <c r="K2171" s="16" t="s">
        <v>57</v>
      </c>
      <c r="L2171" s="15"/>
      <c r="M2171" s="15"/>
      <c r="N2171" s="15" t="s">
        <v>39</v>
      </c>
      <c r="O2171" s="15"/>
      <c r="P2171" s="16" t="s">
        <v>32</v>
      </c>
      <c r="Q2171" s="17">
        <v>3399</v>
      </c>
      <c r="R2171" s="18">
        <v>47.04</v>
      </c>
      <c r="S2171" s="19">
        <v>2069.9884999999999</v>
      </c>
      <c r="T2171" s="20" t="s">
        <v>33</v>
      </c>
      <c r="U2171" s="21" t="s">
        <v>150</v>
      </c>
      <c r="V2171" s="25" t="s">
        <v>761</v>
      </c>
      <c r="W2171" s="22">
        <v>1</v>
      </c>
      <c r="X2171" s="23"/>
    </row>
    <row r="2172" spans="1:24" s="1" customFormat="1" ht="108" customHeight="1" x14ac:dyDescent="0.3">
      <c r="A2172" s="11" t="s">
        <v>23</v>
      </c>
      <c r="B2172" s="11" t="s">
        <v>2048</v>
      </c>
      <c r="C2172" s="12" t="s">
        <v>2049</v>
      </c>
      <c r="D2172" s="13"/>
      <c r="E2172" s="43" t="str">
        <f>HYPERLINK("https://www.google.ru/search?q=A4422-0003&amp;newwindow=1&amp;tbm=isch","Еще фото")</f>
        <v>Еще фото</v>
      </c>
      <c r="F2172" s="14"/>
      <c r="G2172" s="11" t="s">
        <v>2050</v>
      </c>
      <c r="H2172" s="11" t="s">
        <v>27</v>
      </c>
      <c r="I2172" s="15" t="s">
        <v>2008</v>
      </c>
      <c r="J2172" s="15" t="s">
        <v>28</v>
      </c>
      <c r="K2172" s="16" t="s">
        <v>29</v>
      </c>
      <c r="L2172" s="15" t="s">
        <v>2051</v>
      </c>
      <c r="M2172" s="15"/>
      <c r="N2172" s="15" t="s">
        <v>99</v>
      </c>
      <c r="O2172" s="15"/>
      <c r="P2172" s="16" t="s">
        <v>2052</v>
      </c>
      <c r="Q2172" s="17">
        <v>4899</v>
      </c>
      <c r="R2172" s="18">
        <v>46.93</v>
      </c>
      <c r="S2172" s="19">
        <v>2989.9884999999995</v>
      </c>
      <c r="T2172" s="20" t="s">
        <v>33</v>
      </c>
      <c r="U2172" s="21" t="s">
        <v>61</v>
      </c>
      <c r="V2172" s="22">
        <v>42</v>
      </c>
      <c r="W2172" s="22">
        <v>1</v>
      </c>
      <c r="X2172" s="23"/>
    </row>
    <row r="2173" spans="1:24" s="1" customFormat="1" ht="108" customHeight="1" x14ac:dyDescent="0.3">
      <c r="A2173" s="11" t="s">
        <v>23</v>
      </c>
      <c r="B2173" s="11" t="s">
        <v>2053</v>
      </c>
      <c r="C2173" s="12" t="s">
        <v>2054</v>
      </c>
      <c r="D2173" s="13"/>
      <c r="E2173" s="43" t="str">
        <f>HYPERLINK("https://www.google.ru/search?q=A3523-0030&amp;newwindow=1&amp;tbm=isch","Еще фото")</f>
        <v>Еще фото</v>
      </c>
      <c r="F2173" s="14"/>
      <c r="G2173" s="11" t="s">
        <v>1534</v>
      </c>
      <c r="H2173" s="11" t="s">
        <v>27</v>
      </c>
      <c r="I2173" s="15" t="s">
        <v>2008</v>
      </c>
      <c r="J2173" s="15" t="s">
        <v>28</v>
      </c>
      <c r="K2173" s="16" t="s">
        <v>29</v>
      </c>
      <c r="L2173" s="15" t="s">
        <v>2055</v>
      </c>
      <c r="M2173" s="15"/>
      <c r="N2173" s="15" t="s">
        <v>1636</v>
      </c>
      <c r="O2173" s="15"/>
      <c r="P2173" s="16" t="s">
        <v>32</v>
      </c>
      <c r="Q2173" s="17">
        <v>2799</v>
      </c>
      <c r="R2173" s="18">
        <v>46.41</v>
      </c>
      <c r="S2173" s="19">
        <v>1724.9884999999999</v>
      </c>
      <c r="T2173" s="20" t="s">
        <v>33</v>
      </c>
      <c r="U2173" s="21" t="s">
        <v>34</v>
      </c>
      <c r="V2173" s="22">
        <v>48</v>
      </c>
      <c r="W2173" s="22">
        <v>1</v>
      </c>
      <c r="X2173" s="23"/>
    </row>
    <row r="2174" spans="1:24" s="1" customFormat="1" ht="108" customHeight="1" x14ac:dyDescent="0.3">
      <c r="A2174" s="11" t="s">
        <v>23</v>
      </c>
      <c r="B2174" s="11" t="s">
        <v>2010</v>
      </c>
      <c r="C2174" s="12" t="s">
        <v>2056</v>
      </c>
      <c r="D2174" s="13"/>
      <c r="E2174" s="43" t="str">
        <f>HYPERLINK("https://www.google.ru/search?q=16143-1075&amp;newwindow=1&amp;tbm=isch","Еще фото")</f>
        <v>Еще фото</v>
      </c>
      <c r="F2174" s="14"/>
      <c r="G2174" s="11" t="s">
        <v>1534</v>
      </c>
      <c r="H2174" s="11" t="s">
        <v>27</v>
      </c>
      <c r="I2174" s="15" t="s">
        <v>2008</v>
      </c>
      <c r="J2174" s="15" t="s">
        <v>37</v>
      </c>
      <c r="K2174" s="16" t="s">
        <v>57</v>
      </c>
      <c r="L2174" s="15" t="s">
        <v>2012</v>
      </c>
      <c r="M2174" s="15"/>
      <c r="N2174" s="15" t="s">
        <v>138</v>
      </c>
      <c r="O2174" s="15"/>
      <c r="P2174" s="16" t="s">
        <v>32</v>
      </c>
      <c r="Q2174" s="17">
        <v>4099</v>
      </c>
      <c r="R2174" s="18">
        <v>46.33</v>
      </c>
      <c r="S2174" s="19">
        <v>2529.9884999999995</v>
      </c>
      <c r="T2174" s="20" t="s">
        <v>33</v>
      </c>
      <c r="U2174" s="21" t="s">
        <v>62</v>
      </c>
      <c r="V2174" s="22">
        <v>46</v>
      </c>
      <c r="W2174" s="22">
        <v>3</v>
      </c>
      <c r="X2174" s="23"/>
    </row>
    <row r="2175" spans="1:24" s="1" customFormat="1" ht="108" customHeight="1" x14ac:dyDescent="0.3">
      <c r="A2175" s="11" t="s">
        <v>23</v>
      </c>
      <c r="B2175" s="11" t="s">
        <v>2057</v>
      </c>
      <c r="C2175" s="12" t="s">
        <v>2058</v>
      </c>
      <c r="D2175" s="13"/>
      <c r="E2175" s="43" t="str">
        <f>HYPERLINK("https://www.google.ru/search?q=17369-1818&amp;newwindow=1&amp;tbm=isch","Еще фото")</f>
        <v>Еще фото</v>
      </c>
      <c r="F2175" s="14"/>
      <c r="G2175" s="11" t="s">
        <v>1534</v>
      </c>
      <c r="H2175" s="11" t="s">
        <v>27</v>
      </c>
      <c r="I2175" s="15" t="s">
        <v>2008</v>
      </c>
      <c r="J2175" s="15" t="s">
        <v>37</v>
      </c>
      <c r="K2175" s="16" t="s">
        <v>29</v>
      </c>
      <c r="L2175" s="15" t="s">
        <v>2059</v>
      </c>
      <c r="M2175" s="15" t="s">
        <v>72</v>
      </c>
      <c r="N2175" s="15" t="s">
        <v>138</v>
      </c>
      <c r="O2175" s="15" t="s">
        <v>121</v>
      </c>
      <c r="P2175" s="16" t="s">
        <v>32</v>
      </c>
      <c r="Q2175" s="17">
        <v>3900</v>
      </c>
      <c r="R2175" s="18">
        <v>46.15</v>
      </c>
      <c r="S2175" s="19">
        <v>2414.9884999999995</v>
      </c>
      <c r="T2175" s="20" t="s">
        <v>33</v>
      </c>
      <c r="U2175" s="21" t="s">
        <v>61</v>
      </c>
      <c r="V2175" s="22">
        <v>42</v>
      </c>
      <c r="W2175" s="22">
        <v>1</v>
      </c>
      <c r="X2175" s="23"/>
    </row>
    <row r="2176" spans="1:24" s="1" customFormat="1" ht="108" customHeight="1" x14ac:dyDescent="0.3">
      <c r="A2176" s="11" t="s">
        <v>23</v>
      </c>
      <c r="B2176" s="11" t="s">
        <v>2060</v>
      </c>
      <c r="C2176" s="12" t="s">
        <v>2061</v>
      </c>
      <c r="D2176" s="13"/>
      <c r="E2176" s="43" t="str">
        <f>HYPERLINK("https://www.google.ru/search?q=001EK-0003&amp;newwindow=1&amp;tbm=isch","Еще фото")</f>
        <v>Еще фото</v>
      </c>
      <c r="F2176" s="14"/>
      <c r="G2176" s="11" t="s">
        <v>2062</v>
      </c>
      <c r="H2176" s="11" t="s">
        <v>27</v>
      </c>
      <c r="I2176" s="15" t="s">
        <v>2008</v>
      </c>
      <c r="J2176" s="15" t="s">
        <v>37</v>
      </c>
      <c r="K2176" s="16" t="s">
        <v>57</v>
      </c>
      <c r="L2176" s="15" t="s">
        <v>2063</v>
      </c>
      <c r="M2176" s="15"/>
      <c r="N2176" s="15" t="s">
        <v>130</v>
      </c>
      <c r="O2176" s="15"/>
      <c r="P2176" s="16" t="s">
        <v>2064</v>
      </c>
      <c r="Q2176" s="17">
        <v>7799</v>
      </c>
      <c r="R2176" s="18">
        <v>46.15</v>
      </c>
      <c r="S2176" s="19">
        <v>4829.9884999999995</v>
      </c>
      <c r="T2176" s="20" t="s">
        <v>33</v>
      </c>
      <c r="U2176" s="21" t="s">
        <v>62</v>
      </c>
      <c r="V2176" s="22">
        <v>46</v>
      </c>
      <c r="W2176" s="22">
        <v>2</v>
      </c>
      <c r="X2176" s="23"/>
    </row>
    <row r="2177" spans="1:24" s="1" customFormat="1" ht="108" customHeight="1" x14ac:dyDescent="0.3">
      <c r="A2177" s="11" t="s">
        <v>23</v>
      </c>
      <c r="B2177" s="11" t="s">
        <v>2065</v>
      </c>
      <c r="C2177" s="12" t="s">
        <v>2066</v>
      </c>
      <c r="D2177" s="13"/>
      <c r="E2177" s="43" t="str">
        <f>HYPERLINK("https://www.google.ru/search?q=67983I-0005&amp;newwindow=1&amp;tbm=isch","Еще фото")</f>
        <v>Еще фото</v>
      </c>
      <c r="F2177" s="14"/>
      <c r="G2177" s="11" t="s">
        <v>1534</v>
      </c>
      <c r="H2177" s="11" t="s">
        <v>27</v>
      </c>
      <c r="I2177" s="15" t="s">
        <v>2008</v>
      </c>
      <c r="J2177" s="15" t="s">
        <v>37</v>
      </c>
      <c r="K2177" s="16" t="s">
        <v>57</v>
      </c>
      <c r="L2177" s="15" t="s">
        <v>2021</v>
      </c>
      <c r="M2177" s="15"/>
      <c r="N2177" s="15" t="s">
        <v>31</v>
      </c>
      <c r="O2177" s="15"/>
      <c r="P2177" s="16" t="s">
        <v>2064</v>
      </c>
      <c r="Q2177" s="17">
        <v>6499</v>
      </c>
      <c r="R2177" s="18">
        <v>46.15</v>
      </c>
      <c r="S2177" s="19">
        <v>4024.9884999999995</v>
      </c>
      <c r="T2177" s="20" t="s">
        <v>75</v>
      </c>
      <c r="U2177" s="21" t="s">
        <v>62</v>
      </c>
      <c r="V2177" s="22">
        <v>46</v>
      </c>
      <c r="W2177" s="22">
        <v>1</v>
      </c>
      <c r="X2177" s="23"/>
    </row>
    <row r="2178" spans="1:24" s="1" customFormat="1" ht="108" customHeight="1" x14ac:dyDescent="0.3">
      <c r="A2178" s="11" t="s">
        <v>23</v>
      </c>
      <c r="B2178" s="11" t="s">
        <v>2067</v>
      </c>
      <c r="C2178" s="12" t="s">
        <v>2068</v>
      </c>
      <c r="D2178" s="13"/>
      <c r="E2178" s="43" t="str">
        <f>HYPERLINK("https://www.google.ru/search?q=79567-0006&amp;newwindow=1&amp;tbm=isch","Еще фото")</f>
        <v>Еще фото</v>
      </c>
      <c r="F2178" s="14"/>
      <c r="G2178" s="11" t="s">
        <v>1534</v>
      </c>
      <c r="H2178" s="11" t="s">
        <v>27</v>
      </c>
      <c r="I2178" s="15" t="s">
        <v>2008</v>
      </c>
      <c r="J2178" s="15" t="s">
        <v>37</v>
      </c>
      <c r="K2178" s="16" t="s">
        <v>29</v>
      </c>
      <c r="L2178" s="15" t="s">
        <v>2069</v>
      </c>
      <c r="M2178" s="15"/>
      <c r="N2178" s="15" t="s">
        <v>2070</v>
      </c>
      <c r="O2178" s="15"/>
      <c r="P2178" s="16" t="s">
        <v>32</v>
      </c>
      <c r="Q2178" s="17">
        <v>6499</v>
      </c>
      <c r="R2178" s="18">
        <v>46.15</v>
      </c>
      <c r="S2178" s="19">
        <v>4024.9884999999995</v>
      </c>
      <c r="T2178" s="20" t="s">
        <v>33</v>
      </c>
      <c r="U2178" s="21" t="s">
        <v>34</v>
      </c>
      <c r="V2178" s="22">
        <v>48</v>
      </c>
      <c r="W2178" s="22">
        <v>1</v>
      </c>
      <c r="X2178" s="23"/>
    </row>
    <row r="2179" spans="1:24" s="1" customFormat="1" ht="108" customHeight="1" x14ac:dyDescent="0.3">
      <c r="A2179" s="11" t="s">
        <v>23</v>
      </c>
      <c r="B2179" s="11" t="s">
        <v>2071</v>
      </c>
      <c r="C2179" s="12" t="s">
        <v>2072</v>
      </c>
      <c r="D2179" s="13"/>
      <c r="E2179" s="43" t="str">
        <f>HYPERLINK("https://www.google.ru/search?q=A6735-0000&amp;newwindow=1&amp;tbm=isch","Еще фото")</f>
        <v>Еще фото</v>
      </c>
      <c r="F2179" s="14"/>
      <c r="G2179" s="11" t="s">
        <v>2062</v>
      </c>
      <c r="H2179" s="11" t="s">
        <v>27</v>
      </c>
      <c r="I2179" s="15" t="s">
        <v>2008</v>
      </c>
      <c r="J2179" s="15" t="s">
        <v>37</v>
      </c>
      <c r="K2179" s="16" t="s">
        <v>57</v>
      </c>
      <c r="L2179" s="15"/>
      <c r="M2179" s="15"/>
      <c r="N2179" s="15" t="s">
        <v>31</v>
      </c>
      <c r="O2179" s="15"/>
      <c r="P2179" s="16" t="s">
        <v>32</v>
      </c>
      <c r="Q2179" s="17">
        <v>6499</v>
      </c>
      <c r="R2179" s="18">
        <v>46.15</v>
      </c>
      <c r="S2179" s="19">
        <v>4024.9884999999995</v>
      </c>
      <c r="T2179" s="20" t="s">
        <v>33</v>
      </c>
      <c r="U2179" s="21" t="s">
        <v>1494</v>
      </c>
      <c r="V2179" s="22">
        <v>54</v>
      </c>
      <c r="W2179" s="22">
        <v>2</v>
      </c>
      <c r="X2179" s="23"/>
    </row>
    <row r="2180" spans="1:24" s="1" customFormat="1" ht="108" customHeight="1" x14ac:dyDescent="0.3">
      <c r="A2180" s="11" t="s">
        <v>23</v>
      </c>
      <c r="B2180" s="11" t="s">
        <v>2041</v>
      </c>
      <c r="C2180" s="12" t="s">
        <v>2073</v>
      </c>
      <c r="D2180" s="13"/>
      <c r="E2180" s="43" t="str">
        <f>HYPERLINK("https://www.google.ru/search?q=16143-1321&amp;newwindow=1&amp;tbm=isch","Еще фото")</f>
        <v>Еще фото</v>
      </c>
      <c r="F2180" s="14"/>
      <c r="G2180" s="11" t="s">
        <v>1534</v>
      </c>
      <c r="H2180" s="11" t="s">
        <v>27</v>
      </c>
      <c r="I2180" s="15" t="s">
        <v>2008</v>
      </c>
      <c r="J2180" s="15" t="s">
        <v>37</v>
      </c>
      <c r="K2180" s="16" t="s">
        <v>57</v>
      </c>
      <c r="L2180" s="15" t="s">
        <v>2012</v>
      </c>
      <c r="M2180" s="15"/>
      <c r="N2180" s="15" t="s">
        <v>31</v>
      </c>
      <c r="O2180" s="15"/>
      <c r="P2180" s="16" t="s">
        <v>32</v>
      </c>
      <c r="Q2180" s="17">
        <v>3899</v>
      </c>
      <c r="R2180" s="18">
        <v>46.14</v>
      </c>
      <c r="S2180" s="19">
        <v>2414.9884999999995</v>
      </c>
      <c r="T2180" s="20" t="s">
        <v>75</v>
      </c>
      <c r="U2180" s="21" t="s">
        <v>62</v>
      </c>
      <c r="V2180" s="22">
        <v>46</v>
      </c>
      <c r="W2180" s="22">
        <v>4</v>
      </c>
      <c r="X2180" s="23"/>
    </row>
    <row r="2181" spans="1:24" s="1" customFormat="1" ht="108" customHeight="1" x14ac:dyDescent="0.3">
      <c r="A2181" s="11" t="s">
        <v>23</v>
      </c>
      <c r="B2181" s="11" t="s">
        <v>2074</v>
      </c>
      <c r="C2181" s="12" t="s">
        <v>2075</v>
      </c>
      <c r="D2181" s="13"/>
      <c r="E2181" s="43" t="str">
        <f>HYPERLINK("https://www.google.ru/search?q=A4842-0081&amp;newwindow=1&amp;tbm=isch","Еще фото")</f>
        <v>Еще фото</v>
      </c>
      <c r="F2181" s="14"/>
      <c r="G2181" s="11" t="s">
        <v>2062</v>
      </c>
      <c r="H2181" s="11" t="s">
        <v>27</v>
      </c>
      <c r="I2181" s="15" t="s">
        <v>2008</v>
      </c>
      <c r="J2181" s="15" t="s">
        <v>37</v>
      </c>
      <c r="K2181" s="16" t="s">
        <v>57</v>
      </c>
      <c r="L2181" s="15" t="s">
        <v>2076</v>
      </c>
      <c r="M2181" s="15"/>
      <c r="N2181" s="15" t="s">
        <v>31</v>
      </c>
      <c r="O2181" s="15"/>
      <c r="P2181" s="16" t="s">
        <v>32</v>
      </c>
      <c r="Q2181" s="17">
        <v>7599</v>
      </c>
      <c r="R2181" s="18">
        <v>46.05</v>
      </c>
      <c r="S2181" s="19">
        <v>4714.9884999999995</v>
      </c>
      <c r="T2181" s="20" t="s">
        <v>33</v>
      </c>
      <c r="U2181" s="21" t="s">
        <v>150</v>
      </c>
      <c r="V2181" s="25" t="s">
        <v>761</v>
      </c>
      <c r="W2181" s="22">
        <v>1</v>
      </c>
      <c r="X2181" s="23"/>
    </row>
    <row r="2182" spans="1:24" s="1" customFormat="1" ht="108" customHeight="1" x14ac:dyDescent="0.3">
      <c r="A2182" s="11" t="s">
        <v>23</v>
      </c>
      <c r="B2182" s="11" t="s">
        <v>2077</v>
      </c>
      <c r="C2182" s="12" t="s">
        <v>2078</v>
      </c>
      <c r="D2182" s="13"/>
      <c r="E2182" s="43" t="str">
        <f>HYPERLINK("https://www.google.ru/search?q=A7355-0005&amp;newwindow=1&amp;tbm=isch","Еще фото")</f>
        <v>Еще фото</v>
      </c>
      <c r="F2182" s="14"/>
      <c r="G2182" s="11" t="s">
        <v>1534</v>
      </c>
      <c r="H2182" s="11" t="s">
        <v>27</v>
      </c>
      <c r="I2182" s="15" t="s">
        <v>2008</v>
      </c>
      <c r="J2182" s="15" t="s">
        <v>37</v>
      </c>
      <c r="K2182" s="16" t="s">
        <v>29</v>
      </c>
      <c r="L2182" s="15" t="s">
        <v>2079</v>
      </c>
      <c r="M2182" s="15"/>
      <c r="N2182" s="15" t="s">
        <v>73</v>
      </c>
      <c r="O2182" s="15"/>
      <c r="P2182" s="16" t="s">
        <v>32</v>
      </c>
      <c r="Q2182" s="17">
        <v>6299</v>
      </c>
      <c r="R2182" s="18">
        <v>46.02</v>
      </c>
      <c r="S2182" s="19">
        <v>3909.9884999999995</v>
      </c>
      <c r="T2182" s="20" t="s">
        <v>33</v>
      </c>
      <c r="U2182" s="21" t="s">
        <v>34</v>
      </c>
      <c r="V2182" s="22">
        <v>48</v>
      </c>
      <c r="W2182" s="22">
        <v>1</v>
      </c>
      <c r="X2182" s="23"/>
    </row>
    <row r="2183" spans="1:24" s="1" customFormat="1" ht="108" customHeight="1" x14ac:dyDescent="0.3">
      <c r="A2183" s="11" t="s">
        <v>23</v>
      </c>
      <c r="B2183" s="11" t="s">
        <v>2080</v>
      </c>
      <c r="C2183" s="12" t="s">
        <v>2081</v>
      </c>
      <c r="D2183" s="13"/>
      <c r="E2183" s="43" t="str">
        <f>HYPERLINK("https://www.google.ru/search?q=17369-1835&amp;newwindow=1&amp;tbm=isch","Еще фото")</f>
        <v>Еще фото</v>
      </c>
      <c r="F2183" s="14"/>
      <c r="G2183" s="11" t="s">
        <v>1534</v>
      </c>
      <c r="H2183" s="11" t="s">
        <v>27</v>
      </c>
      <c r="I2183" s="15" t="s">
        <v>2008</v>
      </c>
      <c r="J2183" s="15" t="s">
        <v>28</v>
      </c>
      <c r="K2183" s="16" t="s">
        <v>29</v>
      </c>
      <c r="L2183" s="15" t="s">
        <v>2082</v>
      </c>
      <c r="M2183" s="15" t="s">
        <v>72</v>
      </c>
      <c r="N2183" s="15" t="s">
        <v>2083</v>
      </c>
      <c r="O2183" s="15" t="s">
        <v>121</v>
      </c>
      <c r="P2183" s="16" t="s">
        <v>32</v>
      </c>
      <c r="Q2183" s="17">
        <v>3700</v>
      </c>
      <c r="R2183" s="18">
        <v>45.95</v>
      </c>
      <c r="S2183" s="19">
        <v>2299.9884999999999</v>
      </c>
      <c r="T2183" s="20" t="s">
        <v>33</v>
      </c>
      <c r="U2183" s="21" t="s">
        <v>61</v>
      </c>
      <c r="V2183" s="22">
        <v>42</v>
      </c>
      <c r="W2183" s="22">
        <v>2</v>
      </c>
      <c r="X2183" s="23"/>
    </row>
    <row r="2184" spans="1:24" s="1" customFormat="1" ht="108" customHeight="1" x14ac:dyDescent="0.3">
      <c r="A2184" s="11" t="s">
        <v>23</v>
      </c>
      <c r="B2184" s="11" t="s">
        <v>2084</v>
      </c>
      <c r="C2184" s="12" t="s">
        <v>2085</v>
      </c>
      <c r="D2184" s="13"/>
      <c r="E2184" s="43" t="str">
        <f>HYPERLINK("https://www.google.ru/search?q=17369-2941&amp;newwindow=1&amp;tbm=isch","Еще фото")</f>
        <v>Еще фото</v>
      </c>
      <c r="F2184" s="14"/>
      <c r="G2184" s="11" t="s">
        <v>1534</v>
      </c>
      <c r="H2184" s="11" t="s">
        <v>27</v>
      </c>
      <c r="I2184" s="15" t="s">
        <v>2008</v>
      </c>
      <c r="J2184" s="15" t="s">
        <v>28</v>
      </c>
      <c r="K2184" s="16" t="s">
        <v>29</v>
      </c>
      <c r="L2184" s="15" t="s">
        <v>2086</v>
      </c>
      <c r="M2184" s="15"/>
      <c r="N2184" s="15" t="s">
        <v>31</v>
      </c>
      <c r="O2184" s="15"/>
      <c r="P2184" s="16" t="s">
        <v>32</v>
      </c>
      <c r="Q2184" s="17">
        <v>5899</v>
      </c>
      <c r="R2184" s="18">
        <v>45.75</v>
      </c>
      <c r="S2184" s="19">
        <v>3679.9884999999995</v>
      </c>
      <c r="T2184" s="20" t="s">
        <v>33</v>
      </c>
      <c r="U2184" s="21" t="s">
        <v>61</v>
      </c>
      <c r="V2184" s="22">
        <v>42</v>
      </c>
      <c r="W2184" s="22">
        <v>6</v>
      </c>
      <c r="X2184" s="23"/>
    </row>
    <row r="2185" spans="1:24" s="1" customFormat="1" ht="108" customHeight="1" x14ac:dyDescent="0.3">
      <c r="A2185" s="11" t="s">
        <v>23</v>
      </c>
      <c r="B2185" s="11" t="s">
        <v>2087</v>
      </c>
      <c r="C2185" s="12" t="s">
        <v>2088</v>
      </c>
      <c r="D2185" s="13"/>
      <c r="E2185" s="43" t="str">
        <f>HYPERLINK("https://www.google.ru/search?q=16143-0392&amp;newwindow=1&amp;tbm=isch","Еще фото")</f>
        <v>Еще фото</v>
      </c>
      <c r="F2185" s="14"/>
      <c r="G2185" s="11" t="s">
        <v>1534</v>
      </c>
      <c r="H2185" s="11" t="s">
        <v>27</v>
      </c>
      <c r="I2185" s="15" t="s">
        <v>2008</v>
      </c>
      <c r="J2185" s="15" t="s">
        <v>28</v>
      </c>
      <c r="K2185" s="16" t="s">
        <v>57</v>
      </c>
      <c r="L2185" s="15" t="s">
        <v>2021</v>
      </c>
      <c r="M2185" s="15" t="s">
        <v>72</v>
      </c>
      <c r="N2185" s="15" t="s">
        <v>87</v>
      </c>
      <c r="O2185" s="15" t="s">
        <v>121</v>
      </c>
      <c r="P2185" s="16" t="s">
        <v>32</v>
      </c>
      <c r="Q2185" s="17">
        <v>4599</v>
      </c>
      <c r="R2185" s="18">
        <v>45.64</v>
      </c>
      <c r="S2185" s="19">
        <v>2874.9884999999995</v>
      </c>
      <c r="T2185" s="20" t="s">
        <v>75</v>
      </c>
      <c r="U2185" s="21" t="s">
        <v>61</v>
      </c>
      <c r="V2185" s="22">
        <v>44</v>
      </c>
      <c r="W2185" s="22">
        <v>1</v>
      </c>
      <c r="X2185" s="23"/>
    </row>
    <row r="2186" spans="1:24" s="1" customFormat="1" ht="52.05" customHeight="1" x14ac:dyDescent="0.3">
      <c r="A2186" s="11" t="s">
        <v>23</v>
      </c>
      <c r="B2186" s="11" t="s">
        <v>2089</v>
      </c>
      <c r="C2186" s="12" t="s">
        <v>2090</v>
      </c>
      <c r="D2186" s="63"/>
      <c r="E2186" s="43" t="str">
        <f>HYPERLINK("https://www.google.ru/search?q=A2226-0140&amp;newwindow=1&amp;tbm=isch","Еще фото")</f>
        <v>Еще фото</v>
      </c>
      <c r="F2186" s="14"/>
      <c r="G2186" s="11" t="s">
        <v>1534</v>
      </c>
      <c r="H2186" s="11" t="s">
        <v>27</v>
      </c>
      <c r="I2186" s="15" t="s">
        <v>2008</v>
      </c>
      <c r="J2186" s="15" t="s">
        <v>28</v>
      </c>
      <c r="K2186" s="16" t="s">
        <v>29</v>
      </c>
      <c r="L2186" s="60"/>
      <c r="M2186" s="15"/>
      <c r="N2186" s="15" t="s">
        <v>31</v>
      </c>
      <c r="O2186" s="15"/>
      <c r="P2186" s="16" t="s">
        <v>32</v>
      </c>
      <c r="Q2186" s="17">
        <v>4599</v>
      </c>
      <c r="R2186" s="18">
        <v>45.64</v>
      </c>
      <c r="S2186" s="19">
        <v>2874.9884999999995</v>
      </c>
      <c r="T2186" s="20" t="s">
        <v>33</v>
      </c>
      <c r="U2186" s="21" t="s">
        <v>1366</v>
      </c>
      <c r="V2186" s="22">
        <v>40</v>
      </c>
      <c r="W2186" s="22">
        <v>1</v>
      </c>
      <c r="X2186" s="23"/>
    </row>
    <row r="2187" spans="1:24" s="1" customFormat="1" ht="61.05" customHeight="1" x14ac:dyDescent="0.3">
      <c r="A2187" s="24" t="s">
        <v>23</v>
      </c>
      <c r="B2187" s="24" t="s">
        <v>2089</v>
      </c>
      <c r="C2187" s="12" t="s">
        <v>2090</v>
      </c>
      <c r="D2187" s="64"/>
      <c r="E2187" s="43" t="str">
        <f>HYPERLINK("https://www.google.ru/search?q=A2226-0140&amp;newwindow=1&amp;tbm=isch","Еще фото")</f>
        <v>Еще фото</v>
      </c>
      <c r="F2187" s="14"/>
      <c r="G2187" s="24" t="s">
        <v>1534</v>
      </c>
      <c r="H2187" s="24" t="s">
        <v>27</v>
      </c>
      <c r="I2187" s="24" t="s">
        <v>2008</v>
      </c>
      <c r="J2187" s="15" t="s">
        <v>28</v>
      </c>
      <c r="K2187" s="16" t="s">
        <v>29</v>
      </c>
      <c r="L2187" s="62"/>
      <c r="M2187" s="15"/>
      <c r="N2187" s="15" t="s">
        <v>31</v>
      </c>
      <c r="O2187" s="15"/>
      <c r="P2187" s="16" t="s">
        <v>32</v>
      </c>
      <c r="Q2187" s="17">
        <v>4599</v>
      </c>
      <c r="R2187" s="18">
        <v>45.64</v>
      </c>
      <c r="S2187" s="19">
        <v>2874.9884999999995</v>
      </c>
      <c r="T2187" s="20" t="s">
        <v>33</v>
      </c>
      <c r="U2187" s="21" t="s">
        <v>61</v>
      </c>
      <c r="V2187" s="22">
        <v>42</v>
      </c>
      <c r="W2187" s="22">
        <v>1</v>
      </c>
      <c r="X2187" s="23"/>
    </row>
    <row r="2188" spans="1:24" s="1" customFormat="1" ht="108" customHeight="1" x14ac:dyDescent="0.3">
      <c r="A2188" s="11" t="s">
        <v>23</v>
      </c>
      <c r="B2188" s="11" t="s">
        <v>2091</v>
      </c>
      <c r="C2188" s="12" t="s">
        <v>2092</v>
      </c>
      <c r="D2188" s="13"/>
      <c r="E2188" s="43" t="str">
        <f>HYPERLINK("https://www.google.ru/search?q=005FM-0008&amp;newwindow=1&amp;tbm=isch","Еще фото")</f>
        <v>Еще фото</v>
      </c>
      <c r="F2188" s="14"/>
      <c r="G2188" s="11" t="s">
        <v>2062</v>
      </c>
      <c r="H2188" s="11" t="s">
        <v>27</v>
      </c>
      <c r="I2188" s="15" t="s">
        <v>2008</v>
      </c>
      <c r="J2188" s="15" t="s">
        <v>37</v>
      </c>
      <c r="K2188" s="16" t="s">
        <v>57</v>
      </c>
      <c r="L2188" s="15"/>
      <c r="M2188" s="15"/>
      <c r="N2188" s="15" t="s">
        <v>130</v>
      </c>
      <c r="O2188" s="15"/>
      <c r="P2188" s="16" t="s">
        <v>32</v>
      </c>
      <c r="Q2188" s="17">
        <v>5499</v>
      </c>
      <c r="R2188" s="18">
        <v>45.44</v>
      </c>
      <c r="S2188" s="19">
        <v>3449.9884999999995</v>
      </c>
      <c r="T2188" s="20" t="s">
        <v>33</v>
      </c>
      <c r="U2188" s="21" t="s">
        <v>150</v>
      </c>
      <c r="V2188" s="25" t="s">
        <v>761</v>
      </c>
      <c r="W2188" s="22">
        <v>1</v>
      </c>
      <c r="X2188" s="23"/>
    </row>
    <row r="2189" spans="1:24" s="1" customFormat="1" ht="108" customHeight="1" x14ac:dyDescent="0.3">
      <c r="A2189" s="11" t="s">
        <v>23</v>
      </c>
      <c r="B2189" s="11" t="s">
        <v>2093</v>
      </c>
      <c r="C2189" s="12" t="s">
        <v>2094</v>
      </c>
      <c r="D2189" s="13"/>
      <c r="E2189" s="43" t="str">
        <f>HYPERLINK("https://www.google.ru/search?q=57960-0024&amp;newwindow=1&amp;tbm=isch","Еще фото")</f>
        <v>Еще фото</v>
      </c>
      <c r="F2189" s="14"/>
      <c r="G2189" s="11" t="s">
        <v>2095</v>
      </c>
      <c r="H2189" s="11" t="s">
        <v>27</v>
      </c>
      <c r="I2189" s="15" t="s">
        <v>2008</v>
      </c>
      <c r="J2189" s="15" t="s">
        <v>37</v>
      </c>
      <c r="K2189" s="16" t="s">
        <v>57</v>
      </c>
      <c r="L2189" s="15" t="s">
        <v>2096</v>
      </c>
      <c r="M2189" s="15"/>
      <c r="N2189" s="15" t="s">
        <v>31</v>
      </c>
      <c r="O2189" s="15"/>
      <c r="P2189" s="16" t="s">
        <v>32</v>
      </c>
      <c r="Q2189" s="17">
        <v>5499</v>
      </c>
      <c r="R2189" s="18">
        <v>45.44</v>
      </c>
      <c r="S2189" s="19">
        <v>3449.9884999999995</v>
      </c>
      <c r="T2189" s="20" t="s">
        <v>33</v>
      </c>
      <c r="U2189" s="21" t="s">
        <v>61</v>
      </c>
      <c r="V2189" s="22">
        <v>44</v>
      </c>
      <c r="W2189" s="22">
        <v>5</v>
      </c>
      <c r="X2189" s="23"/>
    </row>
    <row r="2190" spans="1:24" s="1" customFormat="1" ht="108" customHeight="1" x14ac:dyDescent="0.3">
      <c r="A2190" s="11" t="s">
        <v>23</v>
      </c>
      <c r="B2190" s="11" t="s">
        <v>2097</v>
      </c>
      <c r="C2190" s="12" t="s">
        <v>2098</v>
      </c>
      <c r="D2190" s="13"/>
      <c r="E2190" s="43" t="str">
        <f>HYPERLINK("https://www.google.ru/search?q=39185-0163&amp;newwindow=1&amp;tbm=isch","Еще фото")</f>
        <v>Еще фото</v>
      </c>
      <c r="F2190" s="14"/>
      <c r="G2190" s="11" t="s">
        <v>1534</v>
      </c>
      <c r="H2190" s="11" t="s">
        <v>27</v>
      </c>
      <c r="I2190" s="15" t="s">
        <v>2008</v>
      </c>
      <c r="J2190" s="15" t="s">
        <v>28</v>
      </c>
      <c r="K2190" s="16" t="s">
        <v>29</v>
      </c>
      <c r="L2190" s="15" t="s">
        <v>2099</v>
      </c>
      <c r="M2190" s="15"/>
      <c r="N2190" s="15" t="s">
        <v>87</v>
      </c>
      <c r="O2190" s="15"/>
      <c r="P2190" s="16" t="s">
        <v>32</v>
      </c>
      <c r="Q2190" s="17">
        <v>5299</v>
      </c>
      <c r="R2190" s="18">
        <v>45.27</v>
      </c>
      <c r="S2190" s="19">
        <v>3334.9884999999995</v>
      </c>
      <c r="T2190" s="20" t="s">
        <v>33</v>
      </c>
      <c r="U2190" s="21" t="s">
        <v>61</v>
      </c>
      <c r="V2190" s="22">
        <v>42</v>
      </c>
      <c r="W2190" s="22">
        <v>1</v>
      </c>
      <c r="X2190" s="23"/>
    </row>
    <row r="2191" spans="1:24" s="1" customFormat="1" ht="108" customHeight="1" x14ac:dyDescent="0.3">
      <c r="A2191" s="11" t="s">
        <v>23</v>
      </c>
      <c r="B2191" s="11" t="s">
        <v>2100</v>
      </c>
      <c r="C2191" s="12" t="s">
        <v>2101</v>
      </c>
      <c r="D2191" s="13"/>
      <c r="E2191" s="43" t="str">
        <f>HYPERLINK("https://www.google.ru/search?q=17369-2445&amp;newwindow=1&amp;tbm=isch","Еще фото")</f>
        <v>Еще фото</v>
      </c>
      <c r="F2191" s="14"/>
      <c r="G2191" s="11" t="s">
        <v>1534</v>
      </c>
      <c r="H2191" s="11" t="s">
        <v>27</v>
      </c>
      <c r="I2191" s="15" t="s">
        <v>2008</v>
      </c>
      <c r="J2191" s="15" t="s">
        <v>37</v>
      </c>
      <c r="K2191" s="16" t="s">
        <v>29</v>
      </c>
      <c r="L2191" s="15" t="s">
        <v>2018</v>
      </c>
      <c r="M2191" s="15"/>
      <c r="N2191" s="15" t="s">
        <v>73</v>
      </c>
      <c r="O2191" s="15"/>
      <c r="P2191" s="16" t="s">
        <v>32</v>
      </c>
      <c r="Q2191" s="17">
        <v>4199</v>
      </c>
      <c r="R2191" s="18">
        <v>45.23</v>
      </c>
      <c r="S2191" s="19">
        <v>2644.9884999999995</v>
      </c>
      <c r="T2191" s="20" t="s">
        <v>33</v>
      </c>
      <c r="U2191" s="21" t="s">
        <v>61</v>
      </c>
      <c r="V2191" s="22">
        <v>42</v>
      </c>
      <c r="W2191" s="22">
        <v>1</v>
      </c>
      <c r="X2191" s="23"/>
    </row>
    <row r="2192" spans="1:24" s="1" customFormat="1" ht="108" customHeight="1" x14ac:dyDescent="0.3">
      <c r="A2192" s="11" t="s">
        <v>23</v>
      </c>
      <c r="B2192" s="11" t="s">
        <v>2102</v>
      </c>
      <c r="C2192" s="12" t="s">
        <v>2103</v>
      </c>
      <c r="D2192" s="13"/>
      <c r="E2192" s="43" t="str">
        <f>HYPERLINK("https://www.google.ru/search?q=000KK-0000&amp;newwindow=1&amp;tbm=isch","Еще фото")</f>
        <v>Еще фото</v>
      </c>
      <c r="F2192" s="14"/>
      <c r="G2192" s="11" t="s">
        <v>1534</v>
      </c>
      <c r="H2192" s="11" t="s">
        <v>27</v>
      </c>
      <c r="I2192" s="15" t="s">
        <v>2008</v>
      </c>
      <c r="J2192" s="15" t="s">
        <v>28</v>
      </c>
      <c r="K2192" s="16" t="s">
        <v>29</v>
      </c>
      <c r="L2192" s="15"/>
      <c r="M2192" s="15"/>
      <c r="N2192" s="15" t="s">
        <v>31</v>
      </c>
      <c r="O2192" s="15"/>
      <c r="P2192" s="16" t="s">
        <v>32</v>
      </c>
      <c r="Q2192" s="17">
        <v>4399</v>
      </c>
      <c r="R2192" s="18">
        <v>45</v>
      </c>
      <c r="S2192" s="19">
        <v>2782.3674999999994</v>
      </c>
      <c r="T2192" s="20" t="s">
        <v>33</v>
      </c>
      <c r="U2192" s="21" t="s">
        <v>64</v>
      </c>
      <c r="V2192" s="22">
        <v>46</v>
      </c>
      <c r="W2192" s="22">
        <v>1</v>
      </c>
      <c r="X2192" s="23"/>
    </row>
    <row r="2193" spans="1:24" s="1" customFormat="1" ht="108" customHeight="1" x14ac:dyDescent="0.3">
      <c r="A2193" s="11" t="s">
        <v>23</v>
      </c>
      <c r="B2193" s="11" t="s">
        <v>2104</v>
      </c>
      <c r="C2193" s="12" t="s">
        <v>2105</v>
      </c>
      <c r="D2193" s="13"/>
      <c r="E2193" s="43" t="str">
        <f>HYPERLINK("https://www.google.ru/search?q=000KL-0000&amp;newwindow=1&amp;tbm=isch","Еще фото")</f>
        <v>Еще фото</v>
      </c>
      <c r="F2193" s="14"/>
      <c r="G2193" s="11" t="s">
        <v>2050</v>
      </c>
      <c r="H2193" s="11" t="s">
        <v>27</v>
      </c>
      <c r="I2193" s="15" t="s">
        <v>2008</v>
      </c>
      <c r="J2193" s="15" t="s">
        <v>28</v>
      </c>
      <c r="K2193" s="16" t="s">
        <v>29</v>
      </c>
      <c r="L2193" s="15" t="s">
        <v>2106</v>
      </c>
      <c r="M2193" s="15"/>
      <c r="N2193" s="15" t="s">
        <v>31</v>
      </c>
      <c r="O2193" s="15"/>
      <c r="P2193" s="16" t="s">
        <v>32</v>
      </c>
      <c r="Q2193" s="17">
        <v>5899</v>
      </c>
      <c r="R2193" s="18">
        <v>45</v>
      </c>
      <c r="S2193" s="19">
        <v>3731.1174999999994</v>
      </c>
      <c r="T2193" s="20" t="s">
        <v>33</v>
      </c>
      <c r="U2193" s="21" t="s">
        <v>61</v>
      </c>
      <c r="V2193" s="22">
        <v>42</v>
      </c>
      <c r="W2193" s="22">
        <v>1</v>
      </c>
      <c r="X2193" s="23"/>
    </row>
    <row r="2194" spans="1:24" s="1" customFormat="1" ht="52.05" customHeight="1" x14ac:dyDescent="0.3">
      <c r="A2194" s="11" t="s">
        <v>23</v>
      </c>
      <c r="B2194" s="11" t="s">
        <v>2104</v>
      </c>
      <c r="C2194" s="12" t="s">
        <v>2107</v>
      </c>
      <c r="D2194" s="63"/>
      <c r="E2194" s="43" t="str">
        <f>HYPERLINK("https://www.google.ru/search?q=000KL-0001&amp;newwindow=1&amp;tbm=isch","Еще фото")</f>
        <v>Еще фото</v>
      </c>
      <c r="F2194" s="14"/>
      <c r="G2194" s="11" t="s">
        <v>2050</v>
      </c>
      <c r="H2194" s="11" t="s">
        <v>27</v>
      </c>
      <c r="I2194" s="15" t="s">
        <v>2008</v>
      </c>
      <c r="J2194" s="15" t="s">
        <v>28</v>
      </c>
      <c r="K2194" s="16" t="s">
        <v>29</v>
      </c>
      <c r="L2194" s="60" t="s">
        <v>2106</v>
      </c>
      <c r="M2194" s="15"/>
      <c r="N2194" s="15" t="s">
        <v>39</v>
      </c>
      <c r="O2194" s="15"/>
      <c r="P2194" s="16" t="s">
        <v>32</v>
      </c>
      <c r="Q2194" s="17">
        <v>5899</v>
      </c>
      <c r="R2194" s="18">
        <v>45</v>
      </c>
      <c r="S2194" s="19">
        <v>3731.1174999999994</v>
      </c>
      <c r="T2194" s="20" t="s">
        <v>33</v>
      </c>
      <c r="U2194" s="21" t="s">
        <v>62</v>
      </c>
      <c r="V2194" s="22">
        <v>44</v>
      </c>
      <c r="W2194" s="22">
        <v>1</v>
      </c>
      <c r="X2194" s="23"/>
    </row>
    <row r="2195" spans="1:24" s="1" customFormat="1" ht="61.05" customHeight="1" x14ac:dyDescent="0.3">
      <c r="A2195" s="24" t="s">
        <v>23</v>
      </c>
      <c r="B2195" s="24" t="s">
        <v>2104</v>
      </c>
      <c r="C2195" s="12" t="s">
        <v>2107</v>
      </c>
      <c r="D2195" s="64"/>
      <c r="E2195" s="43" t="str">
        <f>HYPERLINK("https://www.google.ru/search?q=000KL-0001&amp;newwindow=1&amp;tbm=isch","Еще фото")</f>
        <v>Еще фото</v>
      </c>
      <c r="F2195" s="14"/>
      <c r="G2195" s="24" t="s">
        <v>2050</v>
      </c>
      <c r="H2195" s="24" t="s">
        <v>27</v>
      </c>
      <c r="I2195" s="24" t="s">
        <v>2008</v>
      </c>
      <c r="J2195" s="15" t="s">
        <v>28</v>
      </c>
      <c r="K2195" s="16" t="s">
        <v>29</v>
      </c>
      <c r="L2195" s="62"/>
      <c r="M2195" s="15"/>
      <c r="N2195" s="15" t="s">
        <v>39</v>
      </c>
      <c r="O2195" s="15"/>
      <c r="P2195" s="16" t="s">
        <v>32</v>
      </c>
      <c r="Q2195" s="17">
        <v>5899</v>
      </c>
      <c r="R2195" s="18">
        <v>45</v>
      </c>
      <c r="S2195" s="19">
        <v>3731.1174999999994</v>
      </c>
      <c r="T2195" s="20" t="s">
        <v>33</v>
      </c>
      <c r="U2195" s="21" t="s">
        <v>64</v>
      </c>
      <c r="V2195" s="22">
        <v>46</v>
      </c>
      <c r="W2195" s="22">
        <v>1</v>
      </c>
      <c r="X2195" s="23"/>
    </row>
    <row r="2196" spans="1:24" s="1" customFormat="1" ht="26" customHeight="1" x14ac:dyDescent="0.3">
      <c r="A2196" s="11" t="s">
        <v>23</v>
      </c>
      <c r="B2196" s="11" t="s">
        <v>2108</v>
      </c>
      <c r="C2196" s="12" t="s">
        <v>2109</v>
      </c>
      <c r="D2196" s="57"/>
      <c r="E2196" s="43" t="str">
        <f>HYPERLINK("https://www.google.ru/search?q=0012D-0001&amp;newwindow=1&amp;tbm=isch","Еще фото")</f>
        <v>Еще фото</v>
      </c>
      <c r="F2196" s="14" t="s">
        <v>182</v>
      </c>
      <c r="G2196" s="11" t="s">
        <v>2110</v>
      </c>
      <c r="H2196" s="11" t="s">
        <v>27</v>
      </c>
      <c r="I2196" s="15" t="s">
        <v>2008</v>
      </c>
      <c r="J2196" s="15" t="s">
        <v>37</v>
      </c>
      <c r="K2196" s="16" t="s">
        <v>57</v>
      </c>
      <c r="L2196" s="60"/>
      <c r="M2196" s="15"/>
      <c r="N2196" s="15" t="s">
        <v>130</v>
      </c>
      <c r="O2196" s="15"/>
      <c r="P2196" s="16" t="s">
        <v>172</v>
      </c>
      <c r="Q2196" s="17">
        <v>8999</v>
      </c>
      <c r="R2196" s="18">
        <v>45</v>
      </c>
      <c r="S2196" s="19">
        <v>5691.8674999999994</v>
      </c>
      <c r="T2196" s="20" t="s">
        <v>33</v>
      </c>
      <c r="U2196" s="21" t="s">
        <v>62</v>
      </c>
      <c r="V2196" s="22">
        <v>46</v>
      </c>
      <c r="W2196" s="22">
        <v>3</v>
      </c>
      <c r="X2196" s="23"/>
    </row>
    <row r="2197" spans="1:24" s="1" customFormat="1" ht="26" customHeight="1" x14ac:dyDescent="0.3">
      <c r="A2197" s="24" t="s">
        <v>23</v>
      </c>
      <c r="B2197" s="24" t="s">
        <v>2108</v>
      </c>
      <c r="C2197" s="12" t="s">
        <v>2109</v>
      </c>
      <c r="D2197" s="58"/>
      <c r="E2197" s="43" t="str">
        <f>HYPERLINK("https://www.google.ru/search?q=0012D-0001&amp;newwindow=1&amp;tbm=isch","Еще фото")</f>
        <v>Еще фото</v>
      </c>
      <c r="F2197" s="14" t="s">
        <v>182</v>
      </c>
      <c r="G2197" s="24" t="s">
        <v>2110</v>
      </c>
      <c r="H2197" s="24" t="s">
        <v>27</v>
      </c>
      <c r="I2197" s="24" t="s">
        <v>2008</v>
      </c>
      <c r="J2197" s="15" t="s">
        <v>37</v>
      </c>
      <c r="K2197" s="16" t="s">
        <v>57</v>
      </c>
      <c r="L2197" s="61"/>
      <c r="M2197" s="15"/>
      <c r="N2197" s="15" t="s">
        <v>130</v>
      </c>
      <c r="O2197" s="15"/>
      <c r="P2197" s="16" t="s">
        <v>172</v>
      </c>
      <c r="Q2197" s="17">
        <v>8999</v>
      </c>
      <c r="R2197" s="18">
        <v>45</v>
      </c>
      <c r="S2197" s="19">
        <v>5691.8674999999994</v>
      </c>
      <c r="T2197" s="20" t="s">
        <v>33</v>
      </c>
      <c r="U2197" s="21" t="s">
        <v>64</v>
      </c>
      <c r="V2197" s="22">
        <v>48</v>
      </c>
      <c r="W2197" s="22">
        <v>11</v>
      </c>
      <c r="X2197" s="23"/>
    </row>
    <row r="2198" spans="1:24" s="1" customFormat="1" ht="26" customHeight="1" x14ac:dyDescent="0.3">
      <c r="A2198" s="24" t="s">
        <v>23</v>
      </c>
      <c r="B2198" s="24" t="s">
        <v>2108</v>
      </c>
      <c r="C2198" s="12" t="s">
        <v>2109</v>
      </c>
      <c r="D2198" s="58"/>
      <c r="E2198" s="43" t="str">
        <f>HYPERLINK("https://www.google.ru/search?q=0012D-0001&amp;newwindow=1&amp;tbm=isch","Еще фото")</f>
        <v>Еще фото</v>
      </c>
      <c r="F2198" s="14" t="s">
        <v>182</v>
      </c>
      <c r="G2198" s="24" t="s">
        <v>2110</v>
      </c>
      <c r="H2198" s="24" t="s">
        <v>27</v>
      </c>
      <c r="I2198" s="24" t="s">
        <v>2008</v>
      </c>
      <c r="J2198" s="15" t="s">
        <v>37</v>
      </c>
      <c r="K2198" s="16" t="s">
        <v>57</v>
      </c>
      <c r="L2198" s="61"/>
      <c r="M2198" s="15"/>
      <c r="N2198" s="15" t="s">
        <v>130</v>
      </c>
      <c r="O2198" s="15"/>
      <c r="P2198" s="16" t="s">
        <v>172</v>
      </c>
      <c r="Q2198" s="17">
        <v>8999</v>
      </c>
      <c r="R2198" s="18">
        <v>45</v>
      </c>
      <c r="S2198" s="19">
        <v>5691.8674999999994</v>
      </c>
      <c r="T2198" s="20" t="s">
        <v>33</v>
      </c>
      <c r="U2198" s="21" t="s">
        <v>34</v>
      </c>
      <c r="V2198" s="25" t="s">
        <v>90</v>
      </c>
      <c r="W2198" s="22">
        <v>6</v>
      </c>
      <c r="X2198" s="23"/>
    </row>
    <row r="2199" spans="1:24" s="1" customFormat="1" ht="26" customHeight="1" x14ac:dyDescent="0.3">
      <c r="A2199" s="24" t="s">
        <v>23</v>
      </c>
      <c r="B2199" s="24" t="s">
        <v>2108</v>
      </c>
      <c r="C2199" s="12" t="s">
        <v>2109</v>
      </c>
      <c r="D2199" s="59"/>
      <c r="E2199" s="43" t="str">
        <f>HYPERLINK("https://www.google.ru/search?q=0012D-0001&amp;newwindow=1&amp;tbm=isch","Еще фото")</f>
        <v>Еще фото</v>
      </c>
      <c r="F2199" s="14" t="s">
        <v>182</v>
      </c>
      <c r="G2199" s="24" t="s">
        <v>2110</v>
      </c>
      <c r="H2199" s="24" t="s">
        <v>27</v>
      </c>
      <c r="I2199" s="24" t="s">
        <v>2008</v>
      </c>
      <c r="J2199" s="15" t="s">
        <v>37</v>
      </c>
      <c r="K2199" s="16" t="s">
        <v>57</v>
      </c>
      <c r="L2199" s="62"/>
      <c r="M2199" s="15"/>
      <c r="N2199" s="15" t="s">
        <v>130</v>
      </c>
      <c r="O2199" s="15"/>
      <c r="P2199" s="16" t="s">
        <v>172</v>
      </c>
      <c r="Q2199" s="17">
        <v>8999</v>
      </c>
      <c r="R2199" s="18">
        <v>45</v>
      </c>
      <c r="S2199" s="19">
        <v>5691.8674999999994</v>
      </c>
      <c r="T2199" s="20" t="s">
        <v>33</v>
      </c>
      <c r="U2199" s="21" t="s">
        <v>150</v>
      </c>
      <c r="V2199" s="25" t="s">
        <v>761</v>
      </c>
      <c r="W2199" s="22">
        <v>2</v>
      </c>
      <c r="X2199" s="23"/>
    </row>
    <row r="2200" spans="1:24" s="1" customFormat="1" ht="108" customHeight="1" x14ac:dyDescent="0.3">
      <c r="A2200" s="11" t="s">
        <v>23</v>
      </c>
      <c r="B2200" s="11" t="s">
        <v>2111</v>
      </c>
      <c r="C2200" s="12" t="s">
        <v>2112</v>
      </c>
      <c r="D2200" s="13"/>
      <c r="E2200" s="43" t="str">
        <f>HYPERLINK("https://www.google.ru/search?q=001EF-0002&amp;newwindow=1&amp;tbm=isch","Еще фото")</f>
        <v>Еще фото</v>
      </c>
      <c r="F2200" s="14"/>
      <c r="G2200" s="11" t="s">
        <v>2062</v>
      </c>
      <c r="H2200" s="11" t="s">
        <v>27</v>
      </c>
      <c r="I2200" s="15" t="s">
        <v>2008</v>
      </c>
      <c r="J2200" s="15" t="s">
        <v>37</v>
      </c>
      <c r="K2200" s="16" t="s">
        <v>57</v>
      </c>
      <c r="L2200" s="15" t="s">
        <v>2113</v>
      </c>
      <c r="M2200" s="15"/>
      <c r="N2200" s="15" t="s">
        <v>83</v>
      </c>
      <c r="O2200" s="15"/>
      <c r="P2200" s="16" t="s">
        <v>32</v>
      </c>
      <c r="Q2200" s="17">
        <v>10499</v>
      </c>
      <c r="R2200" s="18">
        <v>45</v>
      </c>
      <c r="S2200" s="19">
        <v>6640.6174999999994</v>
      </c>
      <c r="T2200" s="20" t="s">
        <v>33</v>
      </c>
      <c r="U2200" s="21" t="s">
        <v>34</v>
      </c>
      <c r="V2200" s="25" t="s">
        <v>90</v>
      </c>
      <c r="W2200" s="22">
        <v>1</v>
      </c>
      <c r="X2200" s="23"/>
    </row>
    <row r="2201" spans="1:24" s="1" customFormat="1" ht="26" customHeight="1" x14ac:dyDescent="0.3">
      <c r="A2201" s="11" t="s">
        <v>23</v>
      </c>
      <c r="B2201" s="11" t="s">
        <v>2114</v>
      </c>
      <c r="C2201" s="12" t="s">
        <v>2115</v>
      </c>
      <c r="D2201" s="57"/>
      <c r="E2201" s="43" t="str">
        <f>HYPERLINK("https://www.google.ru/search?q=001J3-0006&amp;newwindow=1&amp;tbm=isch","Еще фото")</f>
        <v>Еще фото</v>
      </c>
      <c r="F2201" s="14"/>
      <c r="G2201" s="11" t="s">
        <v>1534</v>
      </c>
      <c r="H2201" s="11" t="s">
        <v>27</v>
      </c>
      <c r="I2201" s="15" t="s">
        <v>2008</v>
      </c>
      <c r="J2201" s="15" t="s">
        <v>28</v>
      </c>
      <c r="K2201" s="16" t="s">
        <v>29</v>
      </c>
      <c r="L2201" s="60" t="s">
        <v>2116</v>
      </c>
      <c r="M2201" s="15"/>
      <c r="N2201" s="15" t="s">
        <v>31</v>
      </c>
      <c r="O2201" s="15"/>
      <c r="P2201" s="16" t="s">
        <v>172</v>
      </c>
      <c r="Q2201" s="17">
        <v>2599</v>
      </c>
      <c r="R2201" s="18">
        <v>45</v>
      </c>
      <c r="S2201" s="19">
        <v>1643.8674999999998</v>
      </c>
      <c r="T2201" s="20" t="s">
        <v>33</v>
      </c>
      <c r="U2201" s="21" t="s">
        <v>62</v>
      </c>
      <c r="V2201" s="22">
        <v>44</v>
      </c>
      <c r="W2201" s="22">
        <v>10</v>
      </c>
      <c r="X2201" s="23"/>
    </row>
    <row r="2202" spans="1:24" s="1" customFormat="1" ht="26" customHeight="1" x14ac:dyDescent="0.3">
      <c r="A2202" s="24" t="s">
        <v>23</v>
      </c>
      <c r="B2202" s="24" t="s">
        <v>2114</v>
      </c>
      <c r="C2202" s="12" t="s">
        <v>2115</v>
      </c>
      <c r="D2202" s="58"/>
      <c r="E2202" s="43" t="str">
        <f>HYPERLINK("https://www.google.ru/search?q=001J3-0006&amp;newwindow=1&amp;tbm=isch","Еще фото")</f>
        <v>Еще фото</v>
      </c>
      <c r="F2202" s="14"/>
      <c r="G2202" s="24" t="s">
        <v>1534</v>
      </c>
      <c r="H2202" s="24" t="s">
        <v>27</v>
      </c>
      <c r="I2202" s="24" t="s">
        <v>2008</v>
      </c>
      <c r="J2202" s="15" t="s">
        <v>28</v>
      </c>
      <c r="K2202" s="16" t="s">
        <v>29</v>
      </c>
      <c r="L2202" s="61"/>
      <c r="M2202" s="15"/>
      <c r="N2202" s="15" t="s">
        <v>31</v>
      </c>
      <c r="O2202" s="15"/>
      <c r="P2202" s="16" t="s">
        <v>172</v>
      </c>
      <c r="Q2202" s="17">
        <v>2599</v>
      </c>
      <c r="R2202" s="18">
        <v>45</v>
      </c>
      <c r="S2202" s="19">
        <v>1643.8674999999998</v>
      </c>
      <c r="T2202" s="20" t="s">
        <v>33</v>
      </c>
      <c r="U2202" s="21" t="s">
        <v>64</v>
      </c>
      <c r="V2202" s="22">
        <v>46</v>
      </c>
      <c r="W2202" s="22">
        <v>9</v>
      </c>
      <c r="X2202" s="23"/>
    </row>
    <row r="2203" spans="1:24" s="1" customFormat="1" ht="26" customHeight="1" x14ac:dyDescent="0.3">
      <c r="A2203" s="24" t="s">
        <v>23</v>
      </c>
      <c r="B2203" s="24" t="s">
        <v>2114</v>
      </c>
      <c r="C2203" s="12" t="s">
        <v>2115</v>
      </c>
      <c r="D2203" s="58"/>
      <c r="E2203" s="43" t="str">
        <f>HYPERLINK("https://www.google.ru/search?q=001J3-0006&amp;newwindow=1&amp;tbm=isch","Еще фото")</f>
        <v>Еще фото</v>
      </c>
      <c r="F2203" s="14"/>
      <c r="G2203" s="24" t="s">
        <v>1534</v>
      </c>
      <c r="H2203" s="24" t="s">
        <v>27</v>
      </c>
      <c r="I2203" s="24" t="s">
        <v>2008</v>
      </c>
      <c r="J2203" s="15" t="s">
        <v>28</v>
      </c>
      <c r="K2203" s="16" t="s">
        <v>29</v>
      </c>
      <c r="L2203" s="61"/>
      <c r="M2203" s="15"/>
      <c r="N2203" s="15" t="s">
        <v>31</v>
      </c>
      <c r="O2203" s="15"/>
      <c r="P2203" s="16" t="s">
        <v>172</v>
      </c>
      <c r="Q2203" s="17">
        <v>2599</v>
      </c>
      <c r="R2203" s="18">
        <v>45</v>
      </c>
      <c r="S2203" s="19">
        <v>1643.8674999999998</v>
      </c>
      <c r="T2203" s="20" t="s">
        <v>33</v>
      </c>
      <c r="U2203" s="21" t="s">
        <v>34</v>
      </c>
      <c r="V2203" s="22">
        <v>48</v>
      </c>
      <c r="W2203" s="22">
        <v>19</v>
      </c>
      <c r="X2203" s="23"/>
    </row>
    <row r="2204" spans="1:24" s="1" customFormat="1" ht="26" customHeight="1" x14ac:dyDescent="0.3">
      <c r="A2204" s="24" t="s">
        <v>23</v>
      </c>
      <c r="B2204" s="24" t="s">
        <v>2114</v>
      </c>
      <c r="C2204" s="12" t="s">
        <v>2115</v>
      </c>
      <c r="D2204" s="59"/>
      <c r="E2204" s="43" t="str">
        <f>HYPERLINK("https://www.google.ru/search?q=001J3-0006&amp;newwindow=1&amp;tbm=isch","Еще фото")</f>
        <v>Еще фото</v>
      </c>
      <c r="F2204" s="14"/>
      <c r="G2204" s="24" t="s">
        <v>1534</v>
      </c>
      <c r="H2204" s="24" t="s">
        <v>27</v>
      </c>
      <c r="I2204" s="24" t="s">
        <v>2008</v>
      </c>
      <c r="J2204" s="15" t="s">
        <v>28</v>
      </c>
      <c r="K2204" s="16" t="s">
        <v>29</v>
      </c>
      <c r="L2204" s="62"/>
      <c r="M2204" s="15"/>
      <c r="N2204" s="15" t="s">
        <v>31</v>
      </c>
      <c r="O2204" s="15"/>
      <c r="P2204" s="16" t="s">
        <v>172</v>
      </c>
      <c r="Q2204" s="17">
        <v>2599</v>
      </c>
      <c r="R2204" s="18">
        <v>45</v>
      </c>
      <c r="S2204" s="19">
        <v>1643.8674999999998</v>
      </c>
      <c r="T2204" s="20" t="s">
        <v>33</v>
      </c>
      <c r="U2204" s="21" t="s">
        <v>150</v>
      </c>
      <c r="V2204" s="25" t="s">
        <v>90</v>
      </c>
      <c r="W2204" s="22">
        <v>10</v>
      </c>
      <c r="X2204" s="23"/>
    </row>
    <row r="2205" spans="1:24" s="1" customFormat="1" ht="108" customHeight="1" x14ac:dyDescent="0.3">
      <c r="A2205" s="11" t="s">
        <v>23</v>
      </c>
      <c r="B2205" s="11" t="s">
        <v>2117</v>
      </c>
      <c r="C2205" s="12" t="s">
        <v>2118</v>
      </c>
      <c r="D2205" s="13"/>
      <c r="E2205" s="43" t="str">
        <f>HYPERLINK("https://www.google.ru/search?q=001J3-0034&amp;newwindow=1&amp;tbm=isch","Еще фото")</f>
        <v>Еще фото</v>
      </c>
      <c r="F2205" s="14"/>
      <c r="G2205" s="11" t="s">
        <v>1534</v>
      </c>
      <c r="H2205" s="11" t="s">
        <v>27</v>
      </c>
      <c r="I2205" s="15" t="s">
        <v>2008</v>
      </c>
      <c r="J2205" s="15" t="s">
        <v>37</v>
      </c>
      <c r="K2205" s="16" t="s">
        <v>29</v>
      </c>
      <c r="L2205" s="15" t="s">
        <v>2116</v>
      </c>
      <c r="M2205" s="15"/>
      <c r="N2205" s="15" t="s">
        <v>83</v>
      </c>
      <c r="O2205" s="15"/>
      <c r="P2205" s="16" t="s">
        <v>2119</v>
      </c>
      <c r="Q2205" s="17">
        <v>2799</v>
      </c>
      <c r="R2205" s="18">
        <v>45</v>
      </c>
      <c r="S2205" s="19">
        <v>1770.3674999999998</v>
      </c>
      <c r="T2205" s="20" t="s">
        <v>33</v>
      </c>
      <c r="U2205" s="21" t="s">
        <v>34</v>
      </c>
      <c r="V2205" s="22">
        <v>48</v>
      </c>
      <c r="W2205" s="22">
        <v>1</v>
      </c>
      <c r="X2205" s="23"/>
    </row>
    <row r="2206" spans="1:24" s="1" customFormat="1" ht="52.05" customHeight="1" x14ac:dyDescent="0.3">
      <c r="A2206" s="11" t="s">
        <v>23</v>
      </c>
      <c r="B2206" s="11" t="s">
        <v>2120</v>
      </c>
      <c r="C2206" s="12" t="s">
        <v>2121</v>
      </c>
      <c r="D2206" s="63"/>
      <c r="E2206" s="43" t="str">
        <f>HYPERLINK("https://www.google.ru/search?q=001J3-0044&amp;newwindow=1&amp;tbm=isch","Еще фото")</f>
        <v>Еще фото</v>
      </c>
      <c r="F2206" s="14"/>
      <c r="G2206" s="11" t="s">
        <v>1534</v>
      </c>
      <c r="H2206" s="11" t="s">
        <v>27</v>
      </c>
      <c r="I2206" s="15" t="s">
        <v>2008</v>
      </c>
      <c r="J2206" s="15" t="s">
        <v>37</v>
      </c>
      <c r="K2206" s="16" t="s">
        <v>29</v>
      </c>
      <c r="L2206" s="60" t="s">
        <v>2116</v>
      </c>
      <c r="M2206" s="15"/>
      <c r="N2206" s="15" t="s">
        <v>73</v>
      </c>
      <c r="O2206" s="15"/>
      <c r="P2206" s="16" t="s">
        <v>2119</v>
      </c>
      <c r="Q2206" s="17">
        <v>2799</v>
      </c>
      <c r="R2206" s="18">
        <v>45</v>
      </c>
      <c r="S2206" s="19">
        <v>1770.3674999999998</v>
      </c>
      <c r="T2206" s="20" t="s">
        <v>33</v>
      </c>
      <c r="U2206" s="21" t="s">
        <v>61</v>
      </c>
      <c r="V2206" s="22">
        <v>42</v>
      </c>
      <c r="W2206" s="22">
        <v>1</v>
      </c>
      <c r="X2206" s="23"/>
    </row>
    <row r="2207" spans="1:24" s="1" customFormat="1" ht="61.05" customHeight="1" x14ac:dyDescent="0.3">
      <c r="A2207" s="24" t="s">
        <v>23</v>
      </c>
      <c r="B2207" s="24" t="s">
        <v>2120</v>
      </c>
      <c r="C2207" s="12" t="s">
        <v>2121</v>
      </c>
      <c r="D2207" s="64"/>
      <c r="E2207" s="43" t="str">
        <f>HYPERLINK("https://www.google.ru/search?q=001J3-0044&amp;newwindow=1&amp;tbm=isch","Еще фото")</f>
        <v>Еще фото</v>
      </c>
      <c r="F2207" s="14"/>
      <c r="G2207" s="24" t="s">
        <v>1534</v>
      </c>
      <c r="H2207" s="24" t="s">
        <v>27</v>
      </c>
      <c r="I2207" s="24" t="s">
        <v>2008</v>
      </c>
      <c r="J2207" s="15" t="s">
        <v>37</v>
      </c>
      <c r="K2207" s="16" t="s">
        <v>29</v>
      </c>
      <c r="L2207" s="62"/>
      <c r="M2207" s="15"/>
      <c r="N2207" s="15" t="s">
        <v>73</v>
      </c>
      <c r="O2207" s="15"/>
      <c r="P2207" s="16" t="s">
        <v>2119</v>
      </c>
      <c r="Q2207" s="17">
        <v>2799</v>
      </c>
      <c r="R2207" s="18">
        <v>45</v>
      </c>
      <c r="S2207" s="19">
        <v>1770.3674999999998</v>
      </c>
      <c r="T2207" s="20" t="s">
        <v>33</v>
      </c>
      <c r="U2207" s="21" t="s">
        <v>64</v>
      </c>
      <c r="V2207" s="22">
        <v>46</v>
      </c>
      <c r="W2207" s="22">
        <v>2</v>
      </c>
      <c r="X2207" s="23"/>
    </row>
    <row r="2208" spans="1:24" s="1" customFormat="1" ht="108" customHeight="1" x14ac:dyDescent="0.3">
      <c r="A2208" s="11" t="s">
        <v>23</v>
      </c>
      <c r="B2208" s="11" t="s">
        <v>2122</v>
      </c>
      <c r="C2208" s="12" t="s">
        <v>2123</v>
      </c>
      <c r="D2208" s="13"/>
      <c r="E2208" s="43" t="str">
        <f>HYPERLINK("https://www.google.ru/search?q=001J4-0004&amp;newwindow=1&amp;tbm=isch","Еще фото")</f>
        <v>Еще фото</v>
      </c>
      <c r="F2208" s="14" t="s">
        <v>182</v>
      </c>
      <c r="G2208" s="11" t="s">
        <v>2050</v>
      </c>
      <c r="H2208" s="11" t="s">
        <v>27</v>
      </c>
      <c r="I2208" s="15" t="s">
        <v>2008</v>
      </c>
      <c r="J2208" s="15" t="s">
        <v>37</v>
      </c>
      <c r="K2208" s="16" t="s">
        <v>29</v>
      </c>
      <c r="L2208" s="15" t="s">
        <v>2124</v>
      </c>
      <c r="M2208" s="15"/>
      <c r="N2208" s="15" t="s">
        <v>39</v>
      </c>
      <c r="O2208" s="15"/>
      <c r="P2208" s="16" t="s">
        <v>2125</v>
      </c>
      <c r="Q2208" s="17">
        <v>5199</v>
      </c>
      <c r="R2208" s="18">
        <v>45</v>
      </c>
      <c r="S2208" s="19">
        <v>3288.3674999999994</v>
      </c>
      <c r="T2208" s="20" t="s">
        <v>33</v>
      </c>
      <c r="U2208" s="21" t="s">
        <v>62</v>
      </c>
      <c r="V2208" s="22">
        <v>44</v>
      </c>
      <c r="W2208" s="22">
        <v>1</v>
      </c>
      <c r="X2208" s="23"/>
    </row>
    <row r="2209" spans="1:24" s="1" customFormat="1" ht="26" customHeight="1" x14ac:dyDescent="0.3">
      <c r="A2209" s="11" t="s">
        <v>23</v>
      </c>
      <c r="B2209" s="11" t="s">
        <v>2122</v>
      </c>
      <c r="C2209" s="12" t="s">
        <v>2126</v>
      </c>
      <c r="D2209" s="57"/>
      <c r="E2209" s="43" t="str">
        <f>HYPERLINK("https://www.google.ru/search?q=001J4-0043&amp;newwindow=1&amp;tbm=isch","Еще фото")</f>
        <v>Еще фото</v>
      </c>
      <c r="F2209" s="14"/>
      <c r="G2209" s="11" t="s">
        <v>2050</v>
      </c>
      <c r="H2209" s="11" t="s">
        <v>27</v>
      </c>
      <c r="I2209" s="15" t="s">
        <v>2008</v>
      </c>
      <c r="J2209" s="15" t="s">
        <v>37</v>
      </c>
      <c r="K2209" s="16" t="s">
        <v>29</v>
      </c>
      <c r="L2209" s="60"/>
      <c r="M2209" s="15"/>
      <c r="N2209" s="15" t="s">
        <v>99</v>
      </c>
      <c r="O2209" s="15"/>
      <c r="P2209" s="16" t="s">
        <v>2125</v>
      </c>
      <c r="Q2209" s="17">
        <v>6099</v>
      </c>
      <c r="R2209" s="18">
        <v>45</v>
      </c>
      <c r="S2209" s="19">
        <v>3857.6174999999994</v>
      </c>
      <c r="T2209" s="20" t="s">
        <v>33</v>
      </c>
      <c r="U2209" s="21" t="s">
        <v>61</v>
      </c>
      <c r="V2209" s="22">
        <v>42</v>
      </c>
      <c r="W2209" s="22">
        <v>2</v>
      </c>
      <c r="X2209" s="23"/>
    </row>
    <row r="2210" spans="1:24" s="1" customFormat="1" ht="26" customHeight="1" x14ac:dyDescent="0.3">
      <c r="A2210" s="24" t="s">
        <v>23</v>
      </c>
      <c r="B2210" s="24" t="s">
        <v>2122</v>
      </c>
      <c r="C2210" s="12" t="s">
        <v>2126</v>
      </c>
      <c r="D2210" s="58"/>
      <c r="E2210" s="43" t="str">
        <f>HYPERLINK("https://www.google.ru/search?q=001J4-0043&amp;newwindow=1&amp;tbm=isch","Еще фото")</f>
        <v>Еще фото</v>
      </c>
      <c r="F2210" s="14"/>
      <c r="G2210" s="24" t="s">
        <v>2050</v>
      </c>
      <c r="H2210" s="24" t="s">
        <v>27</v>
      </c>
      <c r="I2210" s="24" t="s">
        <v>2008</v>
      </c>
      <c r="J2210" s="15" t="s">
        <v>37</v>
      </c>
      <c r="K2210" s="16" t="s">
        <v>29</v>
      </c>
      <c r="L2210" s="61"/>
      <c r="M2210" s="15"/>
      <c r="N2210" s="15" t="s">
        <v>99</v>
      </c>
      <c r="O2210" s="15"/>
      <c r="P2210" s="16" t="s">
        <v>2125</v>
      </c>
      <c r="Q2210" s="17">
        <v>6099</v>
      </c>
      <c r="R2210" s="18">
        <v>45</v>
      </c>
      <c r="S2210" s="19">
        <v>3857.6174999999994</v>
      </c>
      <c r="T2210" s="20" t="s">
        <v>33</v>
      </c>
      <c r="U2210" s="21" t="s">
        <v>62</v>
      </c>
      <c r="V2210" s="22">
        <v>44</v>
      </c>
      <c r="W2210" s="22">
        <v>4</v>
      </c>
      <c r="X2210" s="23"/>
    </row>
    <row r="2211" spans="1:24" s="1" customFormat="1" ht="26" customHeight="1" x14ac:dyDescent="0.3">
      <c r="A2211" s="24" t="s">
        <v>23</v>
      </c>
      <c r="B2211" s="24" t="s">
        <v>2122</v>
      </c>
      <c r="C2211" s="12" t="s">
        <v>2126</v>
      </c>
      <c r="D2211" s="58"/>
      <c r="E2211" s="43" t="str">
        <f>HYPERLINK("https://www.google.ru/search?q=001J4-0043&amp;newwindow=1&amp;tbm=isch","Еще фото")</f>
        <v>Еще фото</v>
      </c>
      <c r="F2211" s="14"/>
      <c r="G2211" s="24" t="s">
        <v>2050</v>
      </c>
      <c r="H2211" s="24" t="s">
        <v>27</v>
      </c>
      <c r="I2211" s="24" t="s">
        <v>2008</v>
      </c>
      <c r="J2211" s="15" t="s">
        <v>37</v>
      </c>
      <c r="K2211" s="16" t="s">
        <v>29</v>
      </c>
      <c r="L2211" s="61"/>
      <c r="M2211" s="15"/>
      <c r="N2211" s="15" t="s">
        <v>99</v>
      </c>
      <c r="O2211" s="15"/>
      <c r="P2211" s="16" t="s">
        <v>2125</v>
      </c>
      <c r="Q2211" s="17">
        <v>6099</v>
      </c>
      <c r="R2211" s="18">
        <v>45</v>
      </c>
      <c r="S2211" s="19">
        <v>3857.6174999999994</v>
      </c>
      <c r="T2211" s="20" t="s">
        <v>33</v>
      </c>
      <c r="U2211" s="21" t="s">
        <v>64</v>
      </c>
      <c r="V2211" s="22">
        <v>46</v>
      </c>
      <c r="W2211" s="22">
        <v>3</v>
      </c>
      <c r="X2211" s="23"/>
    </row>
    <row r="2212" spans="1:24" s="1" customFormat="1" ht="26" customHeight="1" x14ac:dyDescent="0.3">
      <c r="A2212" s="24" t="s">
        <v>23</v>
      </c>
      <c r="B2212" s="24" t="s">
        <v>2122</v>
      </c>
      <c r="C2212" s="12" t="s">
        <v>2126</v>
      </c>
      <c r="D2212" s="59"/>
      <c r="E2212" s="43" t="str">
        <f>HYPERLINK("https://www.google.ru/search?q=001J4-0043&amp;newwindow=1&amp;tbm=isch","Еще фото")</f>
        <v>Еще фото</v>
      </c>
      <c r="F2212" s="14"/>
      <c r="G2212" s="24" t="s">
        <v>2050</v>
      </c>
      <c r="H2212" s="24" t="s">
        <v>27</v>
      </c>
      <c r="I2212" s="24" t="s">
        <v>2008</v>
      </c>
      <c r="J2212" s="15" t="s">
        <v>37</v>
      </c>
      <c r="K2212" s="16" t="s">
        <v>29</v>
      </c>
      <c r="L2212" s="62"/>
      <c r="M2212" s="15"/>
      <c r="N2212" s="15" t="s">
        <v>99</v>
      </c>
      <c r="O2212" s="15"/>
      <c r="P2212" s="16" t="s">
        <v>2125</v>
      </c>
      <c r="Q2212" s="17">
        <v>6099</v>
      </c>
      <c r="R2212" s="18">
        <v>45</v>
      </c>
      <c r="S2212" s="19">
        <v>3857.6174999999994</v>
      </c>
      <c r="T2212" s="20" t="s">
        <v>33</v>
      </c>
      <c r="U2212" s="21" t="s">
        <v>34</v>
      </c>
      <c r="V2212" s="22">
        <v>48</v>
      </c>
      <c r="W2212" s="22">
        <v>2</v>
      </c>
      <c r="X2212" s="23"/>
    </row>
    <row r="2213" spans="1:24" s="1" customFormat="1" ht="35" customHeight="1" x14ac:dyDescent="0.3">
      <c r="A2213" s="11" t="s">
        <v>23</v>
      </c>
      <c r="B2213" s="11" t="s">
        <v>2122</v>
      </c>
      <c r="C2213" s="12" t="s">
        <v>2127</v>
      </c>
      <c r="D2213" s="57"/>
      <c r="E2213" s="43" t="str">
        <f>HYPERLINK("https://www.google.ru/search?q=001J4-0044&amp;newwindow=1&amp;tbm=isch","Еще фото")</f>
        <v>Еще фото</v>
      </c>
      <c r="F2213" s="14"/>
      <c r="G2213" s="11" t="s">
        <v>2050</v>
      </c>
      <c r="H2213" s="11" t="s">
        <v>27</v>
      </c>
      <c r="I2213" s="15" t="s">
        <v>2008</v>
      </c>
      <c r="J2213" s="15" t="s">
        <v>37</v>
      </c>
      <c r="K2213" s="16" t="s">
        <v>29</v>
      </c>
      <c r="L2213" s="60"/>
      <c r="M2213" s="15"/>
      <c r="N2213" s="15" t="s">
        <v>288</v>
      </c>
      <c r="O2213" s="15"/>
      <c r="P2213" s="16" t="s">
        <v>2125</v>
      </c>
      <c r="Q2213" s="17">
        <v>6099</v>
      </c>
      <c r="R2213" s="18">
        <v>45</v>
      </c>
      <c r="S2213" s="19">
        <v>3857.6174999999994</v>
      </c>
      <c r="T2213" s="20" t="s">
        <v>33</v>
      </c>
      <c r="U2213" s="21" t="s">
        <v>61</v>
      </c>
      <c r="V2213" s="22">
        <v>42</v>
      </c>
      <c r="W2213" s="22">
        <v>1</v>
      </c>
      <c r="X2213" s="23"/>
    </row>
    <row r="2214" spans="1:24" s="1" customFormat="1" ht="35" customHeight="1" x14ac:dyDescent="0.3">
      <c r="A2214" s="24" t="s">
        <v>23</v>
      </c>
      <c r="B2214" s="24" t="s">
        <v>2122</v>
      </c>
      <c r="C2214" s="12" t="s">
        <v>2127</v>
      </c>
      <c r="D2214" s="58"/>
      <c r="E2214" s="43" t="str">
        <f>HYPERLINK("https://www.google.ru/search?q=001J4-0044&amp;newwindow=1&amp;tbm=isch","Еще фото")</f>
        <v>Еще фото</v>
      </c>
      <c r="F2214" s="14"/>
      <c r="G2214" s="24" t="s">
        <v>2050</v>
      </c>
      <c r="H2214" s="24" t="s">
        <v>27</v>
      </c>
      <c r="I2214" s="24" t="s">
        <v>2008</v>
      </c>
      <c r="J2214" s="15" t="s">
        <v>37</v>
      </c>
      <c r="K2214" s="16" t="s">
        <v>29</v>
      </c>
      <c r="L2214" s="61"/>
      <c r="M2214" s="15"/>
      <c r="N2214" s="15" t="s">
        <v>288</v>
      </c>
      <c r="O2214" s="15"/>
      <c r="P2214" s="16" t="s">
        <v>2125</v>
      </c>
      <c r="Q2214" s="17">
        <v>6099</v>
      </c>
      <c r="R2214" s="18">
        <v>45</v>
      </c>
      <c r="S2214" s="19">
        <v>3857.6174999999994</v>
      </c>
      <c r="T2214" s="20" t="s">
        <v>33</v>
      </c>
      <c r="U2214" s="21" t="s">
        <v>62</v>
      </c>
      <c r="V2214" s="22">
        <v>44</v>
      </c>
      <c r="W2214" s="22">
        <v>2</v>
      </c>
      <c r="X2214" s="23"/>
    </row>
    <row r="2215" spans="1:24" s="1" customFormat="1" ht="37.049999999999997" customHeight="1" x14ac:dyDescent="0.3">
      <c r="A2215" s="24" t="s">
        <v>23</v>
      </c>
      <c r="B2215" s="24" t="s">
        <v>2122</v>
      </c>
      <c r="C2215" s="12" t="s">
        <v>2127</v>
      </c>
      <c r="D2215" s="59"/>
      <c r="E2215" s="43" t="str">
        <f>HYPERLINK("https://www.google.ru/search?q=001J4-0044&amp;newwindow=1&amp;tbm=isch","Еще фото")</f>
        <v>Еще фото</v>
      </c>
      <c r="F2215" s="14"/>
      <c r="G2215" s="24" t="s">
        <v>2050</v>
      </c>
      <c r="H2215" s="24" t="s">
        <v>27</v>
      </c>
      <c r="I2215" s="24" t="s">
        <v>2008</v>
      </c>
      <c r="J2215" s="15" t="s">
        <v>37</v>
      </c>
      <c r="K2215" s="16" t="s">
        <v>29</v>
      </c>
      <c r="L2215" s="62"/>
      <c r="M2215" s="15"/>
      <c r="N2215" s="15" t="s">
        <v>288</v>
      </c>
      <c r="O2215" s="15"/>
      <c r="P2215" s="16" t="s">
        <v>2125</v>
      </c>
      <c r="Q2215" s="17">
        <v>6099</v>
      </c>
      <c r="R2215" s="18">
        <v>45</v>
      </c>
      <c r="S2215" s="19">
        <v>3857.6174999999994</v>
      </c>
      <c r="T2215" s="20" t="s">
        <v>33</v>
      </c>
      <c r="U2215" s="21" t="s">
        <v>64</v>
      </c>
      <c r="V2215" s="22">
        <v>46</v>
      </c>
      <c r="W2215" s="22">
        <v>2</v>
      </c>
      <c r="X2215" s="23"/>
    </row>
    <row r="2216" spans="1:24" s="1" customFormat="1" ht="108" customHeight="1" x14ac:dyDescent="0.3">
      <c r="A2216" s="11" t="s">
        <v>23</v>
      </c>
      <c r="B2216" s="11" t="s">
        <v>2128</v>
      </c>
      <c r="C2216" s="12" t="s">
        <v>2129</v>
      </c>
      <c r="D2216" s="13"/>
      <c r="E2216" s="43" t="str">
        <f>HYPERLINK("https://www.google.ru/search?q=0049F-0015&amp;newwindow=1&amp;tbm=isch","Еще фото")</f>
        <v>Еще фото</v>
      </c>
      <c r="F2216" s="14"/>
      <c r="G2216" s="11" t="s">
        <v>1534</v>
      </c>
      <c r="H2216" s="11" t="s">
        <v>27</v>
      </c>
      <c r="I2216" s="15" t="s">
        <v>2008</v>
      </c>
      <c r="J2216" s="15" t="s">
        <v>37</v>
      </c>
      <c r="K2216" s="16" t="s">
        <v>57</v>
      </c>
      <c r="L2216" s="15"/>
      <c r="M2216" s="15"/>
      <c r="N2216" s="15" t="s">
        <v>87</v>
      </c>
      <c r="O2216" s="15"/>
      <c r="P2216" s="16" t="s">
        <v>32</v>
      </c>
      <c r="Q2216" s="17">
        <v>3399</v>
      </c>
      <c r="R2216" s="18">
        <v>45</v>
      </c>
      <c r="S2216" s="19">
        <v>2149.8674999999998</v>
      </c>
      <c r="T2216" s="20" t="s">
        <v>33</v>
      </c>
      <c r="U2216" s="21" t="s">
        <v>34</v>
      </c>
      <c r="V2216" s="25" t="s">
        <v>90</v>
      </c>
      <c r="W2216" s="22">
        <v>2</v>
      </c>
      <c r="X2216" s="23"/>
    </row>
    <row r="2217" spans="1:24" s="1" customFormat="1" ht="108" customHeight="1" x14ac:dyDescent="0.3">
      <c r="A2217" s="11" t="s">
        <v>23</v>
      </c>
      <c r="B2217" s="11" t="s">
        <v>2130</v>
      </c>
      <c r="C2217" s="12" t="s">
        <v>2131</v>
      </c>
      <c r="D2217" s="13"/>
      <c r="E2217" s="43" t="str">
        <f>HYPERLINK("https://www.google.ru/search?q=0049F-0020&amp;newwindow=1&amp;tbm=isch","Еще фото")</f>
        <v>Еще фото</v>
      </c>
      <c r="F2217" s="14"/>
      <c r="G2217" s="11" t="s">
        <v>1534</v>
      </c>
      <c r="H2217" s="11" t="s">
        <v>27</v>
      </c>
      <c r="I2217" s="15" t="s">
        <v>2008</v>
      </c>
      <c r="J2217" s="15" t="s">
        <v>37</v>
      </c>
      <c r="K2217" s="16" t="s">
        <v>57</v>
      </c>
      <c r="L2217" s="15" t="s">
        <v>2132</v>
      </c>
      <c r="M2217" s="15"/>
      <c r="N2217" s="15" t="s">
        <v>87</v>
      </c>
      <c r="O2217" s="15"/>
      <c r="P2217" s="16" t="s">
        <v>32</v>
      </c>
      <c r="Q2217" s="17">
        <v>3999</v>
      </c>
      <c r="R2217" s="18">
        <v>45</v>
      </c>
      <c r="S2217" s="19">
        <v>2529.3674999999994</v>
      </c>
      <c r="T2217" s="20" t="s">
        <v>33</v>
      </c>
      <c r="U2217" s="21" t="s">
        <v>150</v>
      </c>
      <c r="V2217" s="25" t="s">
        <v>761</v>
      </c>
      <c r="W2217" s="22">
        <v>1</v>
      </c>
      <c r="X2217" s="23"/>
    </row>
    <row r="2218" spans="1:24" s="1" customFormat="1" ht="52.05" customHeight="1" x14ac:dyDescent="0.3">
      <c r="A2218" s="11" t="s">
        <v>23</v>
      </c>
      <c r="B2218" s="11" t="s">
        <v>2028</v>
      </c>
      <c r="C2218" s="12" t="s">
        <v>2133</v>
      </c>
      <c r="D2218" s="63"/>
      <c r="E2218" s="43" t="str">
        <f>HYPERLINK("https://www.google.ru/search?q=004H0-0019&amp;newwindow=1&amp;tbm=isch","Еще фото")</f>
        <v>Еще фото</v>
      </c>
      <c r="F2218" s="14"/>
      <c r="G2218" s="11" t="s">
        <v>1534</v>
      </c>
      <c r="H2218" s="11" t="s">
        <v>27</v>
      </c>
      <c r="I2218" s="15" t="s">
        <v>2008</v>
      </c>
      <c r="J2218" s="15" t="s">
        <v>37</v>
      </c>
      <c r="K2218" s="16" t="s">
        <v>57</v>
      </c>
      <c r="L2218" s="60"/>
      <c r="M2218" s="15"/>
      <c r="N2218" s="15" t="s">
        <v>39</v>
      </c>
      <c r="O2218" s="15"/>
      <c r="P2218" s="16" t="s">
        <v>32</v>
      </c>
      <c r="Q2218" s="17">
        <v>3399</v>
      </c>
      <c r="R2218" s="18">
        <v>45</v>
      </c>
      <c r="S2218" s="19">
        <v>2149.8674999999998</v>
      </c>
      <c r="T2218" s="20" t="s">
        <v>33</v>
      </c>
      <c r="U2218" s="21" t="s">
        <v>64</v>
      </c>
      <c r="V2218" s="22">
        <v>48</v>
      </c>
      <c r="W2218" s="22">
        <v>1</v>
      </c>
      <c r="X2218" s="23"/>
    </row>
    <row r="2219" spans="1:24" s="1" customFormat="1" ht="61.05" customHeight="1" x14ac:dyDescent="0.3">
      <c r="A2219" s="24" t="s">
        <v>23</v>
      </c>
      <c r="B2219" s="24" t="s">
        <v>2028</v>
      </c>
      <c r="C2219" s="12" t="s">
        <v>2133</v>
      </c>
      <c r="D2219" s="64"/>
      <c r="E2219" s="43" t="str">
        <f>HYPERLINK("https://www.google.ru/search?q=004H0-0019&amp;newwindow=1&amp;tbm=isch","Еще фото")</f>
        <v>Еще фото</v>
      </c>
      <c r="F2219" s="14"/>
      <c r="G2219" s="24" t="s">
        <v>1534</v>
      </c>
      <c r="H2219" s="24" t="s">
        <v>27</v>
      </c>
      <c r="I2219" s="24" t="s">
        <v>2008</v>
      </c>
      <c r="J2219" s="15" t="s">
        <v>37</v>
      </c>
      <c r="K2219" s="16" t="s">
        <v>57</v>
      </c>
      <c r="L2219" s="62"/>
      <c r="M2219" s="15"/>
      <c r="N2219" s="15" t="s">
        <v>39</v>
      </c>
      <c r="O2219" s="15"/>
      <c r="P2219" s="16" t="s">
        <v>32</v>
      </c>
      <c r="Q2219" s="17">
        <v>3399</v>
      </c>
      <c r="R2219" s="18">
        <v>45</v>
      </c>
      <c r="S2219" s="19">
        <v>2149.8674999999998</v>
      </c>
      <c r="T2219" s="20" t="s">
        <v>33</v>
      </c>
      <c r="U2219" s="21" t="s">
        <v>150</v>
      </c>
      <c r="V2219" s="25" t="s">
        <v>761</v>
      </c>
      <c r="W2219" s="22">
        <v>1</v>
      </c>
      <c r="X2219" s="23"/>
    </row>
    <row r="2220" spans="1:24" s="1" customFormat="1" ht="52.05" customHeight="1" x14ac:dyDescent="0.3">
      <c r="A2220" s="11" t="s">
        <v>23</v>
      </c>
      <c r="B2220" s="11" t="s">
        <v>2134</v>
      </c>
      <c r="C2220" s="12" t="s">
        <v>2135</v>
      </c>
      <c r="D2220" s="63"/>
      <c r="E2220" s="43" t="str">
        <f>HYPERLINK("https://www.google.ru/search?q=004H0-0020&amp;newwindow=1&amp;tbm=isch","Еще фото")</f>
        <v>Еще фото</v>
      </c>
      <c r="F2220" s="14"/>
      <c r="G2220" s="11" t="s">
        <v>1534</v>
      </c>
      <c r="H2220" s="11" t="s">
        <v>27</v>
      </c>
      <c r="I2220" s="15" t="s">
        <v>2008</v>
      </c>
      <c r="J2220" s="15" t="s">
        <v>37</v>
      </c>
      <c r="K2220" s="16" t="s">
        <v>57</v>
      </c>
      <c r="L2220" s="60" t="s">
        <v>2136</v>
      </c>
      <c r="M2220" s="15"/>
      <c r="N2220" s="15" t="s">
        <v>31</v>
      </c>
      <c r="O2220" s="15"/>
      <c r="P2220" s="16" t="s">
        <v>32</v>
      </c>
      <c r="Q2220" s="17">
        <v>3399</v>
      </c>
      <c r="R2220" s="18">
        <v>45</v>
      </c>
      <c r="S2220" s="19">
        <v>2149.8674999999998</v>
      </c>
      <c r="T2220" s="20" t="s">
        <v>33</v>
      </c>
      <c r="U2220" s="21" t="s">
        <v>34</v>
      </c>
      <c r="V2220" s="25" t="s">
        <v>90</v>
      </c>
      <c r="W2220" s="22">
        <v>1</v>
      </c>
      <c r="X2220" s="23"/>
    </row>
    <row r="2221" spans="1:24" s="1" customFormat="1" ht="61.05" customHeight="1" x14ac:dyDescent="0.3">
      <c r="A2221" s="24" t="s">
        <v>23</v>
      </c>
      <c r="B2221" s="24" t="s">
        <v>2134</v>
      </c>
      <c r="C2221" s="12" t="s">
        <v>2135</v>
      </c>
      <c r="D2221" s="64"/>
      <c r="E2221" s="43" t="str">
        <f>HYPERLINK("https://www.google.ru/search?q=004H0-0020&amp;newwindow=1&amp;tbm=isch","Еще фото")</f>
        <v>Еще фото</v>
      </c>
      <c r="F2221" s="14"/>
      <c r="G2221" s="24" t="s">
        <v>1534</v>
      </c>
      <c r="H2221" s="24" t="s">
        <v>27</v>
      </c>
      <c r="I2221" s="24" t="s">
        <v>2008</v>
      </c>
      <c r="J2221" s="15" t="s">
        <v>37</v>
      </c>
      <c r="K2221" s="16" t="s">
        <v>57</v>
      </c>
      <c r="L2221" s="62"/>
      <c r="M2221" s="15"/>
      <c r="N2221" s="15" t="s">
        <v>31</v>
      </c>
      <c r="O2221" s="15"/>
      <c r="P2221" s="16" t="s">
        <v>32</v>
      </c>
      <c r="Q2221" s="17">
        <v>3399</v>
      </c>
      <c r="R2221" s="18">
        <v>45</v>
      </c>
      <c r="S2221" s="19">
        <v>2149.8674999999998</v>
      </c>
      <c r="T2221" s="20" t="s">
        <v>33</v>
      </c>
      <c r="U2221" s="21" t="s">
        <v>150</v>
      </c>
      <c r="V2221" s="25" t="s">
        <v>761</v>
      </c>
      <c r="W2221" s="22">
        <v>1</v>
      </c>
      <c r="X2221" s="23"/>
    </row>
    <row r="2222" spans="1:24" s="1" customFormat="1" ht="108" customHeight="1" x14ac:dyDescent="0.3">
      <c r="A2222" s="11" t="s">
        <v>23</v>
      </c>
      <c r="B2222" s="11" t="s">
        <v>2137</v>
      </c>
      <c r="C2222" s="12" t="s">
        <v>2138</v>
      </c>
      <c r="D2222" s="13"/>
      <c r="E2222" s="43" t="str">
        <f>HYPERLINK("https://www.google.ru/search?q=005FM-0001&amp;newwindow=1&amp;tbm=isch","Еще фото")</f>
        <v>Еще фото</v>
      </c>
      <c r="F2222" s="14"/>
      <c r="G2222" s="11" t="s">
        <v>2062</v>
      </c>
      <c r="H2222" s="11" t="s">
        <v>27</v>
      </c>
      <c r="I2222" s="15" t="s">
        <v>2008</v>
      </c>
      <c r="J2222" s="15" t="s">
        <v>37</v>
      </c>
      <c r="K2222" s="16" t="s">
        <v>57</v>
      </c>
      <c r="L2222" s="15" t="s">
        <v>2139</v>
      </c>
      <c r="M2222" s="15"/>
      <c r="N2222" s="15" t="s">
        <v>87</v>
      </c>
      <c r="O2222" s="15"/>
      <c r="P2222" s="16" t="s">
        <v>32</v>
      </c>
      <c r="Q2222" s="17">
        <v>7999</v>
      </c>
      <c r="R2222" s="18">
        <v>45</v>
      </c>
      <c r="S2222" s="19">
        <v>5059.3674999999994</v>
      </c>
      <c r="T2222" s="20" t="s">
        <v>33</v>
      </c>
      <c r="U2222" s="21" t="s">
        <v>64</v>
      </c>
      <c r="V2222" s="22">
        <v>48</v>
      </c>
      <c r="W2222" s="22">
        <v>11</v>
      </c>
      <c r="X2222" s="23"/>
    </row>
    <row r="2223" spans="1:24" s="1" customFormat="1" ht="35" customHeight="1" x14ac:dyDescent="0.3">
      <c r="A2223" s="11" t="s">
        <v>23</v>
      </c>
      <c r="B2223" s="11" t="s">
        <v>2091</v>
      </c>
      <c r="C2223" s="12" t="s">
        <v>2140</v>
      </c>
      <c r="D2223" s="57"/>
      <c r="E2223" s="43" t="str">
        <f>HYPERLINK("https://www.google.ru/search?q=005FM-0003&amp;newwindow=1&amp;tbm=isch","Еще фото")</f>
        <v>Еще фото</v>
      </c>
      <c r="F2223" s="14" t="s">
        <v>182</v>
      </c>
      <c r="G2223" s="11" t="s">
        <v>2062</v>
      </c>
      <c r="H2223" s="11" t="s">
        <v>27</v>
      </c>
      <c r="I2223" s="15" t="s">
        <v>2008</v>
      </c>
      <c r="J2223" s="15" t="s">
        <v>37</v>
      </c>
      <c r="K2223" s="16" t="s">
        <v>57</v>
      </c>
      <c r="L2223" s="60" t="s">
        <v>2139</v>
      </c>
      <c r="M2223" s="15"/>
      <c r="N2223" s="15" t="s">
        <v>130</v>
      </c>
      <c r="O2223" s="15"/>
      <c r="P2223" s="16" t="s">
        <v>172</v>
      </c>
      <c r="Q2223" s="17">
        <v>7999</v>
      </c>
      <c r="R2223" s="18">
        <v>45</v>
      </c>
      <c r="S2223" s="19">
        <v>5059.3674999999994</v>
      </c>
      <c r="T2223" s="20" t="s">
        <v>33</v>
      </c>
      <c r="U2223" s="21" t="s">
        <v>62</v>
      </c>
      <c r="V2223" s="22">
        <v>46</v>
      </c>
      <c r="W2223" s="22">
        <v>13</v>
      </c>
      <c r="X2223" s="23"/>
    </row>
    <row r="2224" spans="1:24" s="1" customFormat="1" ht="35" customHeight="1" x14ac:dyDescent="0.3">
      <c r="A2224" s="24" t="s">
        <v>23</v>
      </c>
      <c r="B2224" s="24" t="s">
        <v>2091</v>
      </c>
      <c r="C2224" s="12" t="s">
        <v>2140</v>
      </c>
      <c r="D2224" s="58"/>
      <c r="E2224" s="43" t="str">
        <f>HYPERLINK("https://www.google.ru/search?q=005FM-0003&amp;newwindow=1&amp;tbm=isch","Еще фото")</f>
        <v>Еще фото</v>
      </c>
      <c r="F2224" s="14" t="s">
        <v>182</v>
      </c>
      <c r="G2224" s="24" t="s">
        <v>2062</v>
      </c>
      <c r="H2224" s="24" t="s">
        <v>27</v>
      </c>
      <c r="I2224" s="24" t="s">
        <v>2008</v>
      </c>
      <c r="J2224" s="15" t="s">
        <v>37</v>
      </c>
      <c r="K2224" s="16" t="s">
        <v>57</v>
      </c>
      <c r="L2224" s="61"/>
      <c r="M2224" s="15"/>
      <c r="N2224" s="15" t="s">
        <v>130</v>
      </c>
      <c r="O2224" s="15"/>
      <c r="P2224" s="16" t="s">
        <v>172</v>
      </c>
      <c r="Q2224" s="17">
        <v>7999</v>
      </c>
      <c r="R2224" s="18">
        <v>45</v>
      </c>
      <c r="S2224" s="19">
        <v>5059.3674999999994</v>
      </c>
      <c r="T2224" s="20" t="s">
        <v>33</v>
      </c>
      <c r="U2224" s="21" t="s">
        <v>64</v>
      </c>
      <c r="V2224" s="22">
        <v>48</v>
      </c>
      <c r="W2224" s="22">
        <v>3</v>
      </c>
      <c r="X2224" s="23"/>
    </row>
    <row r="2225" spans="1:24" s="1" customFormat="1" ht="37.049999999999997" customHeight="1" x14ac:dyDescent="0.3">
      <c r="A2225" s="24" t="s">
        <v>23</v>
      </c>
      <c r="B2225" s="24" t="s">
        <v>2091</v>
      </c>
      <c r="C2225" s="12" t="s">
        <v>2140</v>
      </c>
      <c r="D2225" s="59"/>
      <c r="E2225" s="43" t="str">
        <f>HYPERLINK("https://www.google.ru/search?q=005FM-0003&amp;newwindow=1&amp;tbm=isch","Еще фото")</f>
        <v>Еще фото</v>
      </c>
      <c r="F2225" s="14" t="s">
        <v>182</v>
      </c>
      <c r="G2225" s="24" t="s">
        <v>2062</v>
      </c>
      <c r="H2225" s="24" t="s">
        <v>27</v>
      </c>
      <c r="I2225" s="24" t="s">
        <v>2008</v>
      </c>
      <c r="J2225" s="15" t="s">
        <v>37</v>
      </c>
      <c r="K2225" s="16" t="s">
        <v>57</v>
      </c>
      <c r="L2225" s="62"/>
      <c r="M2225" s="15"/>
      <c r="N2225" s="15" t="s">
        <v>130</v>
      </c>
      <c r="O2225" s="15"/>
      <c r="P2225" s="16" t="s">
        <v>172</v>
      </c>
      <c r="Q2225" s="17">
        <v>7999</v>
      </c>
      <c r="R2225" s="18">
        <v>45</v>
      </c>
      <c r="S2225" s="19">
        <v>5059.3674999999994</v>
      </c>
      <c r="T2225" s="20" t="s">
        <v>33</v>
      </c>
      <c r="U2225" s="21" t="s">
        <v>34</v>
      </c>
      <c r="V2225" s="25" t="s">
        <v>90</v>
      </c>
      <c r="W2225" s="22">
        <v>10</v>
      </c>
      <c r="X2225" s="23"/>
    </row>
    <row r="2226" spans="1:24" s="1" customFormat="1" ht="108" customHeight="1" x14ac:dyDescent="0.3">
      <c r="A2226" s="11" t="s">
        <v>23</v>
      </c>
      <c r="B2226" s="11" t="s">
        <v>2141</v>
      </c>
      <c r="C2226" s="12" t="s">
        <v>2142</v>
      </c>
      <c r="D2226" s="13"/>
      <c r="E2226" s="43" t="str">
        <f>HYPERLINK("https://www.google.ru/search?q=005FM-0007&amp;newwindow=1&amp;tbm=isch","Еще фото")</f>
        <v>Еще фото</v>
      </c>
      <c r="F2226" s="14"/>
      <c r="G2226" s="11" t="s">
        <v>2062</v>
      </c>
      <c r="H2226" s="11" t="s">
        <v>27</v>
      </c>
      <c r="I2226" s="15" t="s">
        <v>2008</v>
      </c>
      <c r="J2226" s="15" t="s">
        <v>37</v>
      </c>
      <c r="K2226" s="16" t="s">
        <v>57</v>
      </c>
      <c r="L2226" s="15"/>
      <c r="M2226" s="15"/>
      <c r="N2226" s="15" t="s">
        <v>83</v>
      </c>
      <c r="O2226" s="15"/>
      <c r="P2226" s="16" t="s">
        <v>32</v>
      </c>
      <c r="Q2226" s="17">
        <v>5499</v>
      </c>
      <c r="R2226" s="18">
        <v>45</v>
      </c>
      <c r="S2226" s="19">
        <v>3478.1174999999994</v>
      </c>
      <c r="T2226" s="20" t="s">
        <v>33</v>
      </c>
      <c r="U2226" s="21" t="s">
        <v>34</v>
      </c>
      <c r="V2226" s="25" t="s">
        <v>90</v>
      </c>
      <c r="W2226" s="22">
        <v>1</v>
      </c>
      <c r="X2226" s="23"/>
    </row>
    <row r="2227" spans="1:24" s="1" customFormat="1" ht="108" customHeight="1" x14ac:dyDescent="0.3">
      <c r="A2227" s="11" t="s">
        <v>23</v>
      </c>
      <c r="B2227" s="11" t="s">
        <v>2143</v>
      </c>
      <c r="C2227" s="12" t="s">
        <v>2144</v>
      </c>
      <c r="D2227" s="13"/>
      <c r="E2227" s="43" t="str">
        <f>HYPERLINK("https://www.google.ru/search?q=005FM-0032&amp;newwindow=1&amp;tbm=isch","Еще фото")</f>
        <v>Еще фото</v>
      </c>
      <c r="F2227" s="14"/>
      <c r="G2227" s="11" t="s">
        <v>2062</v>
      </c>
      <c r="H2227" s="11" t="s">
        <v>27</v>
      </c>
      <c r="I2227" s="15" t="s">
        <v>2008</v>
      </c>
      <c r="J2227" s="15" t="s">
        <v>37</v>
      </c>
      <c r="K2227" s="16" t="s">
        <v>57</v>
      </c>
      <c r="L2227" s="15" t="s">
        <v>2139</v>
      </c>
      <c r="M2227" s="15"/>
      <c r="N2227" s="15" t="s">
        <v>288</v>
      </c>
      <c r="O2227" s="15"/>
      <c r="P2227" s="16" t="s">
        <v>32</v>
      </c>
      <c r="Q2227" s="17">
        <v>6599</v>
      </c>
      <c r="R2227" s="18">
        <v>45</v>
      </c>
      <c r="S2227" s="19">
        <v>4173.8674999999994</v>
      </c>
      <c r="T2227" s="20" t="s">
        <v>33</v>
      </c>
      <c r="U2227" s="21" t="s">
        <v>61</v>
      </c>
      <c r="V2227" s="22">
        <v>44</v>
      </c>
      <c r="W2227" s="22">
        <v>8</v>
      </c>
      <c r="X2227" s="23"/>
    </row>
    <row r="2228" spans="1:24" s="1" customFormat="1" ht="52.05" customHeight="1" x14ac:dyDescent="0.3">
      <c r="A2228" s="11" t="s">
        <v>23</v>
      </c>
      <c r="B2228" s="11" t="s">
        <v>2145</v>
      </c>
      <c r="C2228" s="12" t="s">
        <v>2146</v>
      </c>
      <c r="D2228" s="63"/>
      <c r="E2228" s="43" t="str">
        <f>HYPERLINK("https://www.google.ru/search?q=005GX-0000&amp;newwindow=1&amp;tbm=isch","Еще фото")</f>
        <v>Еще фото</v>
      </c>
      <c r="F2228" s="14" t="s">
        <v>182</v>
      </c>
      <c r="G2228" s="11" t="s">
        <v>1534</v>
      </c>
      <c r="H2228" s="11" t="s">
        <v>27</v>
      </c>
      <c r="I2228" s="15" t="s">
        <v>2008</v>
      </c>
      <c r="J2228" s="15" t="s">
        <v>37</v>
      </c>
      <c r="K2228" s="16" t="s">
        <v>57</v>
      </c>
      <c r="L2228" s="60" t="s">
        <v>2147</v>
      </c>
      <c r="M2228" s="15"/>
      <c r="N2228" s="15" t="s">
        <v>31</v>
      </c>
      <c r="O2228" s="15"/>
      <c r="P2228" s="16" t="s">
        <v>32</v>
      </c>
      <c r="Q2228" s="17">
        <v>5399</v>
      </c>
      <c r="R2228" s="18">
        <v>45</v>
      </c>
      <c r="S2228" s="19">
        <v>3414.8674999999994</v>
      </c>
      <c r="T2228" s="20" t="s">
        <v>33</v>
      </c>
      <c r="U2228" s="21" t="s">
        <v>62</v>
      </c>
      <c r="V2228" s="22">
        <v>46</v>
      </c>
      <c r="W2228" s="22">
        <v>1</v>
      </c>
      <c r="X2228" s="23"/>
    </row>
    <row r="2229" spans="1:24" s="1" customFormat="1" ht="61.05" customHeight="1" x14ac:dyDescent="0.3">
      <c r="A2229" s="24" t="s">
        <v>23</v>
      </c>
      <c r="B2229" s="24" t="s">
        <v>2145</v>
      </c>
      <c r="C2229" s="12" t="s">
        <v>2146</v>
      </c>
      <c r="D2229" s="64"/>
      <c r="E2229" s="43" t="str">
        <f>HYPERLINK("https://www.google.ru/search?q=005GX-0000&amp;newwindow=1&amp;tbm=isch","Еще фото")</f>
        <v>Еще фото</v>
      </c>
      <c r="F2229" s="14" t="s">
        <v>182</v>
      </c>
      <c r="G2229" s="24" t="s">
        <v>1534</v>
      </c>
      <c r="H2229" s="24" t="s">
        <v>27</v>
      </c>
      <c r="I2229" s="24" t="s">
        <v>2008</v>
      </c>
      <c r="J2229" s="15" t="s">
        <v>37</v>
      </c>
      <c r="K2229" s="16" t="s">
        <v>57</v>
      </c>
      <c r="L2229" s="62"/>
      <c r="M2229" s="15"/>
      <c r="N2229" s="15" t="s">
        <v>31</v>
      </c>
      <c r="O2229" s="15"/>
      <c r="P2229" s="16" t="s">
        <v>32</v>
      </c>
      <c r="Q2229" s="17">
        <v>5399</v>
      </c>
      <c r="R2229" s="18">
        <v>45</v>
      </c>
      <c r="S2229" s="19">
        <v>3414.8674999999994</v>
      </c>
      <c r="T2229" s="20" t="s">
        <v>33</v>
      </c>
      <c r="U2229" s="21" t="s">
        <v>64</v>
      </c>
      <c r="V2229" s="22">
        <v>48</v>
      </c>
      <c r="W2229" s="22">
        <v>4</v>
      </c>
      <c r="X2229" s="23"/>
    </row>
    <row r="2230" spans="1:24" s="1" customFormat="1" ht="26" customHeight="1" x14ac:dyDescent="0.3">
      <c r="A2230" s="11" t="s">
        <v>23</v>
      </c>
      <c r="B2230" s="11" t="s">
        <v>2148</v>
      </c>
      <c r="C2230" s="12" t="s">
        <v>2149</v>
      </c>
      <c r="D2230" s="57"/>
      <c r="E2230" s="43" t="str">
        <f>HYPERLINK("https://www.google.ru/search?q=005GX-0021&amp;newwindow=1&amp;tbm=isch","Еще фото")</f>
        <v>Еще фото</v>
      </c>
      <c r="F2230" s="14"/>
      <c r="G2230" s="11" t="s">
        <v>1534</v>
      </c>
      <c r="H2230" s="11" t="s">
        <v>27</v>
      </c>
      <c r="I2230" s="15" t="s">
        <v>2008</v>
      </c>
      <c r="J2230" s="15" t="s">
        <v>37</v>
      </c>
      <c r="K2230" s="16" t="s">
        <v>57</v>
      </c>
      <c r="L2230" s="60"/>
      <c r="M2230" s="15"/>
      <c r="N2230" s="15" t="s">
        <v>99</v>
      </c>
      <c r="O2230" s="15"/>
      <c r="P2230" s="16" t="s">
        <v>172</v>
      </c>
      <c r="Q2230" s="17">
        <v>4899</v>
      </c>
      <c r="R2230" s="18">
        <v>45</v>
      </c>
      <c r="S2230" s="19">
        <v>3098.6174999999994</v>
      </c>
      <c r="T2230" s="20" t="s">
        <v>33</v>
      </c>
      <c r="U2230" s="21" t="s">
        <v>62</v>
      </c>
      <c r="V2230" s="22">
        <v>46</v>
      </c>
      <c r="W2230" s="22">
        <v>6</v>
      </c>
      <c r="X2230" s="23"/>
    </row>
    <row r="2231" spans="1:24" s="1" customFormat="1" ht="26" customHeight="1" x14ac:dyDescent="0.3">
      <c r="A2231" s="24" t="s">
        <v>23</v>
      </c>
      <c r="B2231" s="24" t="s">
        <v>2148</v>
      </c>
      <c r="C2231" s="12" t="s">
        <v>2149</v>
      </c>
      <c r="D2231" s="58"/>
      <c r="E2231" s="43" t="str">
        <f>HYPERLINK("https://www.google.ru/search?q=005GX-0021&amp;newwindow=1&amp;tbm=isch","Еще фото")</f>
        <v>Еще фото</v>
      </c>
      <c r="F2231" s="14"/>
      <c r="G2231" s="24" t="s">
        <v>1534</v>
      </c>
      <c r="H2231" s="24" t="s">
        <v>27</v>
      </c>
      <c r="I2231" s="24" t="s">
        <v>2008</v>
      </c>
      <c r="J2231" s="15" t="s">
        <v>37</v>
      </c>
      <c r="K2231" s="16" t="s">
        <v>57</v>
      </c>
      <c r="L2231" s="61"/>
      <c r="M2231" s="15"/>
      <c r="N2231" s="15" t="s">
        <v>99</v>
      </c>
      <c r="O2231" s="15"/>
      <c r="P2231" s="16" t="s">
        <v>172</v>
      </c>
      <c r="Q2231" s="17">
        <v>4899</v>
      </c>
      <c r="R2231" s="18">
        <v>45</v>
      </c>
      <c r="S2231" s="19">
        <v>3098.6174999999994</v>
      </c>
      <c r="T2231" s="20" t="s">
        <v>33</v>
      </c>
      <c r="U2231" s="21" t="s">
        <v>64</v>
      </c>
      <c r="V2231" s="22">
        <v>48</v>
      </c>
      <c r="W2231" s="22">
        <v>15</v>
      </c>
      <c r="X2231" s="23"/>
    </row>
    <row r="2232" spans="1:24" s="1" customFormat="1" ht="26" customHeight="1" x14ac:dyDescent="0.3">
      <c r="A2232" s="24" t="s">
        <v>23</v>
      </c>
      <c r="B2232" s="24" t="s">
        <v>2148</v>
      </c>
      <c r="C2232" s="12" t="s">
        <v>2149</v>
      </c>
      <c r="D2232" s="58"/>
      <c r="E2232" s="43" t="str">
        <f>HYPERLINK("https://www.google.ru/search?q=005GX-0021&amp;newwindow=1&amp;tbm=isch","Еще фото")</f>
        <v>Еще фото</v>
      </c>
      <c r="F2232" s="14"/>
      <c r="G2232" s="24" t="s">
        <v>1534</v>
      </c>
      <c r="H2232" s="24" t="s">
        <v>27</v>
      </c>
      <c r="I2232" s="24" t="s">
        <v>2008</v>
      </c>
      <c r="J2232" s="15" t="s">
        <v>37</v>
      </c>
      <c r="K2232" s="16" t="s">
        <v>57</v>
      </c>
      <c r="L2232" s="61"/>
      <c r="M2232" s="15"/>
      <c r="N2232" s="15" t="s">
        <v>99</v>
      </c>
      <c r="O2232" s="15"/>
      <c r="P2232" s="16" t="s">
        <v>172</v>
      </c>
      <c r="Q2232" s="17">
        <v>4899</v>
      </c>
      <c r="R2232" s="18">
        <v>45</v>
      </c>
      <c r="S2232" s="19">
        <v>3098.6174999999994</v>
      </c>
      <c r="T2232" s="20" t="s">
        <v>33</v>
      </c>
      <c r="U2232" s="21" t="s">
        <v>34</v>
      </c>
      <c r="V2232" s="25" t="s">
        <v>90</v>
      </c>
      <c r="W2232" s="22">
        <v>10</v>
      </c>
      <c r="X2232" s="23"/>
    </row>
    <row r="2233" spans="1:24" s="1" customFormat="1" ht="26" customHeight="1" x14ac:dyDescent="0.3">
      <c r="A2233" s="24" t="s">
        <v>23</v>
      </c>
      <c r="B2233" s="24" t="s">
        <v>2148</v>
      </c>
      <c r="C2233" s="12" t="s">
        <v>2149</v>
      </c>
      <c r="D2233" s="59"/>
      <c r="E2233" s="43" t="str">
        <f>HYPERLINK("https://www.google.ru/search?q=005GX-0021&amp;newwindow=1&amp;tbm=isch","Еще фото")</f>
        <v>Еще фото</v>
      </c>
      <c r="F2233" s="14"/>
      <c r="G2233" s="24" t="s">
        <v>1534</v>
      </c>
      <c r="H2233" s="24" t="s">
        <v>27</v>
      </c>
      <c r="I2233" s="24" t="s">
        <v>2008</v>
      </c>
      <c r="J2233" s="15" t="s">
        <v>37</v>
      </c>
      <c r="K2233" s="16" t="s">
        <v>57</v>
      </c>
      <c r="L2233" s="62"/>
      <c r="M2233" s="15"/>
      <c r="N2233" s="15" t="s">
        <v>99</v>
      </c>
      <c r="O2233" s="15"/>
      <c r="P2233" s="16" t="s">
        <v>172</v>
      </c>
      <c r="Q2233" s="17">
        <v>4899</v>
      </c>
      <c r="R2233" s="18">
        <v>45</v>
      </c>
      <c r="S2233" s="19">
        <v>3098.6174999999994</v>
      </c>
      <c r="T2233" s="20" t="s">
        <v>33</v>
      </c>
      <c r="U2233" s="21" t="s">
        <v>150</v>
      </c>
      <c r="V2233" s="25" t="s">
        <v>761</v>
      </c>
      <c r="W2233" s="22">
        <v>3</v>
      </c>
      <c r="X2233" s="23"/>
    </row>
    <row r="2234" spans="1:24" s="1" customFormat="1" ht="52.05" customHeight="1" x14ac:dyDescent="0.3">
      <c r="A2234" s="11" t="s">
        <v>23</v>
      </c>
      <c r="B2234" s="11" t="s">
        <v>2150</v>
      </c>
      <c r="C2234" s="12" t="s">
        <v>2151</v>
      </c>
      <c r="D2234" s="63"/>
      <c r="E2234" s="43" t="str">
        <f>HYPERLINK("https://www.google.ru/search?q=005GZ-0001&amp;newwindow=1&amp;tbm=isch","Еще фото")</f>
        <v>Еще фото</v>
      </c>
      <c r="F2234" s="14"/>
      <c r="G2234" s="11" t="s">
        <v>1534</v>
      </c>
      <c r="H2234" s="11" t="s">
        <v>27</v>
      </c>
      <c r="I2234" s="15" t="s">
        <v>2008</v>
      </c>
      <c r="J2234" s="15" t="s">
        <v>37</v>
      </c>
      <c r="K2234" s="16" t="s">
        <v>57</v>
      </c>
      <c r="L2234" s="60" t="s">
        <v>2152</v>
      </c>
      <c r="M2234" s="15"/>
      <c r="N2234" s="15" t="s">
        <v>31</v>
      </c>
      <c r="O2234" s="15"/>
      <c r="P2234" s="16" t="s">
        <v>32</v>
      </c>
      <c r="Q2234" s="17">
        <v>3399</v>
      </c>
      <c r="R2234" s="18">
        <v>45</v>
      </c>
      <c r="S2234" s="19">
        <v>2149.8674999999998</v>
      </c>
      <c r="T2234" s="20" t="s">
        <v>33</v>
      </c>
      <c r="U2234" s="21" t="s">
        <v>34</v>
      </c>
      <c r="V2234" s="25" t="s">
        <v>90</v>
      </c>
      <c r="W2234" s="22">
        <v>3</v>
      </c>
      <c r="X2234" s="23"/>
    </row>
    <row r="2235" spans="1:24" s="1" customFormat="1" ht="61.05" customHeight="1" x14ac:dyDescent="0.3">
      <c r="A2235" s="24" t="s">
        <v>23</v>
      </c>
      <c r="B2235" s="24" t="s">
        <v>2150</v>
      </c>
      <c r="C2235" s="12" t="s">
        <v>2151</v>
      </c>
      <c r="D2235" s="64"/>
      <c r="E2235" s="43" t="str">
        <f>HYPERLINK("https://www.google.ru/search?q=005GZ-0001&amp;newwindow=1&amp;tbm=isch","Еще фото")</f>
        <v>Еще фото</v>
      </c>
      <c r="F2235" s="14"/>
      <c r="G2235" s="24" t="s">
        <v>1534</v>
      </c>
      <c r="H2235" s="24" t="s">
        <v>27</v>
      </c>
      <c r="I2235" s="24" t="s">
        <v>2008</v>
      </c>
      <c r="J2235" s="15" t="s">
        <v>37</v>
      </c>
      <c r="K2235" s="16" t="s">
        <v>57</v>
      </c>
      <c r="L2235" s="62"/>
      <c r="M2235" s="15"/>
      <c r="N2235" s="15" t="s">
        <v>31</v>
      </c>
      <c r="O2235" s="15"/>
      <c r="P2235" s="16" t="s">
        <v>32</v>
      </c>
      <c r="Q2235" s="17">
        <v>3399</v>
      </c>
      <c r="R2235" s="18">
        <v>45</v>
      </c>
      <c r="S2235" s="19">
        <v>2149.8674999999998</v>
      </c>
      <c r="T2235" s="20" t="s">
        <v>33</v>
      </c>
      <c r="U2235" s="21" t="s">
        <v>150</v>
      </c>
      <c r="V2235" s="25" t="s">
        <v>761</v>
      </c>
      <c r="W2235" s="22">
        <v>1</v>
      </c>
      <c r="X2235" s="23"/>
    </row>
    <row r="2236" spans="1:24" s="1" customFormat="1" ht="52.05" customHeight="1" x14ac:dyDescent="0.3">
      <c r="A2236" s="11" t="s">
        <v>23</v>
      </c>
      <c r="B2236" s="11" t="s">
        <v>2153</v>
      </c>
      <c r="C2236" s="12" t="s">
        <v>2154</v>
      </c>
      <c r="D2236" s="63"/>
      <c r="E2236" s="43" t="str">
        <f>HYPERLINK("https://www.google.ru/search?q=005GZ-0002&amp;newwindow=1&amp;tbm=isch","Еще фото")</f>
        <v>Еще фото</v>
      </c>
      <c r="F2236" s="14"/>
      <c r="G2236" s="11" t="s">
        <v>1534</v>
      </c>
      <c r="H2236" s="11" t="s">
        <v>27</v>
      </c>
      <c r="I2236" s="15" t="s">
        <v>2008</v>
      </c>
      <c r="J2236" s="15" t="s">
        <v>37</v>
      </c>
      <c r="K2236" s="16" t="s">
        <v>57</v>
      </c>
      <c r="L2236" s="60" t="s">
        <v>2152</v>
      </c>
      <c r="M2236" s="15"/>
      <c r="N2236" s="15" t="s">
        <v>130</v>
      </c>
      <c r="O2236" s="15"/>
      <c r="P2236" s="16" t="s">
        <v>32</v>
      </c>
      <c r="Q2236" s="17">
        <v>3399</v>
      </c>
      <c r="R2236" s="18">
        <v>45</v>
      </c>
      <c r="S2236" s="19">
        <v>2149.8674999999998</v>
      </c>
      <c r="T2236" s="20" t="s">
        <v>33</v>
      </c>
      <c r="U2236" s="21" t="s">
        <v>34</v>
      </c>
      <c r="V2236" s="25" t="s">
        <v>90</v>
      </c>
      <c r="W2236" s="22">
        <v>1</v>
      </c>
      <c r="X2236" s="23"/>
    </row>
    <row r="2237" spans="1:24" s="1" customFormat="1" ht="61.05" customHeight="1" x14ac:dyDescent="0.3">
      <c r="A2237" s="24" t="s">
        <v>23</v>
      </c>
      <c r="B2237" s="24" t="s">
        <v>2153</v>
      </c>
      <c r="C2237" s="12" t="s">
        <v>2154</v>
      </c>
      <c r="D2237" s="64"/>
      <c r="E2237" s="43" t="str">
        <f>HYPERLINK("https://www.google.ru/search?q=005GZ-0002&amp;newwindow=1&amp;tbm=isch","Еще фото")</f>
        <v>Еще фото</v>
      </c>
      <c r="F2237" s="14"/>
      <c r="G2237" s="24" t="s">
        <v>1534</v>
      </c>
      <c r="H2237" s="24" t="s">
        <v>27</v>
      </c>
      <c r="I2237" s="24" t="s">
        <v>2008</v>
      </c>
      <c r="J2237" s="15" t="s">
        <v>37</v>
      </c>
      <c r="K2237" s="16" t="s">
        <v>57</v>
      </c>
      <c r="L2237" s="62"/>
      <c r="M2237" s="15"/>
      <c r="N2237" s="15" t="s">
        <v>130</v>
      </c>
      <c r="O2237" s="15"/>
      <c r="P2237" s="16" t="s">
        <v>32</v>
      </c>
      <c r="Q2237" s="17">
        <v>3399</v>
      </c>
      <c r="R2237" s="18">
        <v>45</v>
      </c>
      <c r="S2237" s="19">
        <v>2149.8674999999998</v>
      </c>
      <c r="T2237" s="20" t="s">
        <v>33</v>
      </c>
      <c r="U2237" s="21" t="s">
        <v>150</v>
      </c>
      <c r="V2237" s="25" t="s">
        <v>761</v>
      </c>
      <c r="W2237" s="22">
        <v>1</v>
      </c>
      <c r="X2237" s="23"/>
    </row>
    <row r="2238" spans="1:24" s="1" customFormat="1" ht="108" customHeight="1" x14ac:dyDescent="0.3">
      <c r="A2238" s="11" t="s">
        <v>23</v>
      </c>
      <c r="B2238" s="11" t="s">
        <v>2155</v>
      </c>
      <c r="C2238" s="12" t="s">
        <v>2156</v>
      </c>
      <c r="D2238" s="13"/>
      <c r="E2238" s="43" t="str">
        <f>HYPERLINK("https://www.google.ru/search?q=005GZ-0011&amp;newwindow=1&amp;tbm=isch","Еще фото")</f>
        <v>Еще фото</v>
      </c>
      <c r="F2238" s="14"/>
      <c r="G2238" s="11" t="s">
        <v>1534</v>
      </c>
      <c r="H2238" s="11" t="s">
        <v>27</v>
      </c>
      <c r="I2238" s="15" t="s">
        <v>2008</v>
      </c>
      <c r="J2238" s="15" t="s">
        <v>37</v>
      </c>
      <c r="K2238" s="16" t="s">
        <v>57</v>
      </c>
      <c r="L2238" s="15" t="s">
        <v>2152</v>
      </c>
      <c r="M2238" s="15"/>
      <c r="N2238" s="15" t="s">
        <v>87</v>
      </c>
      <c r="O2238" s="15"/>
      <c r="P2238" s="16" t="s">
        <v>32</v>
      </c>
      <c r="Q2238" s="17">
        <v>3399</v>
      </c>
      <c r="R2238" s="18">
        <v>45</v>
      </c>
      <c r="S2238" s="19">
        <v>2149.8674999999998</v>
      </c>
      <c r="T2238" s="20" t="s">
        <v>33</v>
      </c>
      <c r="U2238" s="21" t="s">
        <v>34</v>
      </c>
      <c r="V2238" s="25" t="s">
        <v>90</v>
      </c>
      <c r="W2238" s="22">
        <v>1</v>
      </c>
      <c r="X2238" s="23"/>
    </row>
    <row r="2239" spans="1:24" s="1" customFormat="1" ht="52.05" customHeight="1" x14ac:dyDescent="0.3">
      <c r="A2239" s="11" t="s">
        <v>23</v>
      </c>
      <c r="B2239" s="11" t="s">
        <v>2157</v>
      </c>
      <c r="C2239" s="12" t="s">
        <v>2158</v>
      </c>
      <c r="D2239" s="63"/>
      <c r="E2239" s="43" t="str">
        <f>HYPERLINK("https://www.google.ru/search?q=005HV-0003&amp;newwindow=1&amp;tbm=isch","Еще фото")</f>
        <v>Еще фото</v>
      </c>
      <c r="F2239" s="14"/>
      <c r="G2239" s="11" t="s">
        <v>1534</v>
      </c>
      <c r="H2239" s="11" t="s">
        <v>27</v>
      </c>
      <c r="I2239" s="15" t="s">
        <v>2008</v>
      </c>
      <c r="J2239" s="15" t="s">
        <v>37</v>
      </c>
      <c r="K2239" s="16" t="s">
        <v>57</v>
      </c>
      <c r="L2239" s="60" t="s">
        <v>2159</v>
      </c>
      <c r="M2239" s="15"/>
      <c r="N2239" s="15" t="s">
        <v>130</v>
      </c>
      <c r="O2239" s="15"/>
      <c r="P2239" s="16" t="s">
        <v>32</v>
      </c>
      <c r="Q2239" s="17">
        <v>6999</v>
      </c>
      <c r="R2239" s="18">
        <v>45</v>
      </c>
      <c r="S2239" s="19">
        <v>4426.8674999999994</v>
      </c>
      <c r="T2239" s="20" t="s">
        <v>33</v>
      </c>
      <c r="U2239" s="21" t="s">
        <v>64</v>
      </c>
      <c r="V2239" s="22">
        <v>48</v>
      </c>
      <c r="W2239" s="22">
        <v>3</v>
      </c>
      <c r="X2239" s="23"/>
    </row>
    <row r="2240" spans="1:24" s="1" customFormat="1" ht="61.05" customHeight="1" x14ac:dyDescent="0.3">
      <c r="A2240" s="24" t="s">
        <v>23</v>
      </c>
      <c r="B2240" s="24" t="s">
        <v>2157</v>
      </c>
      <c r="C2240" s="12" t="s">
        <v>2158</v>
      </c>
      <c r="D2240" s="64"/>
      <c r="E2240" s="43" t="str">
        <f>HYPERLINK("https://www.google.ru/search?q=005HV-0003&amp;newwindow=1&amp;tbm=isch","Еще фото")</f>
        <v>Еще фото</v>
      </c>
      <c r="F2240" s="14"/>
      <c r="G2240" s="24" t="s">
        <v>1534</v>
      </c>
      <c r="H2240" s="24" t="s">
        <v>27</v>
      </c>
      <c r="I2240" s="24" t="s">
        <v>2008</v>
      </c>
      <c r="J2240" s="15" t="s">
        <v>37</v>
      </c>
      <c r="K2240" s="16" t="s">
        <v>57</v>
      </c>
      <c r="L2240" s="62"/>
      <c r="M2240" s="15"/>
      <c r="N2240" s="15" t="s">
        <v>130</v>
      </c>
      <c r="O2240" s="15"/>
      <c r="P2240" s="16" t="s">
        <v>32</v>
      </c>
      <c r="Q2240" s="17">
        <v>6999</v>
      </c>
      <c r="R2240" s="18">
        <v>45</v>
      </c>
      <c r="S2240" s="19">
        <v>4426.8674999999994</v>
      </c>
      <c r="T2240" s="20" t="s">
        <v>33</v>
      </c>
      <c r="U2240" s="21" t="s">
        <v>34</v>
      </c>
      <c r="V2240" s="25" t="s">
        <v>90</v>
      </c>
      <c r="W2240" s="22">
        <v>4</v>
      </c>
      <c r="X2240" s="23"/>
    </row>
    <row r="2241" spans="1:24" s="1" customFormat="1" ht="52.05" customHeight="1" x14ac:dyDescent="0.3">
      <c r="A2241" s="11" t="s">
        <v>23</v>
      </c>
      <c r="B2241" s="11" t="s">
        <v>2160</v>
      </c>
      <c r="C2241" s="12" t="s">
        <v>2161</v>
      </c>
      <c r="D2241" s="63"/>
      <c r="E2241" s="43" t="str">
        <f>HYPERLINK("https://www.google.ru/search?q=005IN-0000&amp;newwindow=1&amp;tbm=isch","Еще фото")</f>
        <v>Еще фото</v>
      </c>
      <c r="F2241" s="14"/>
      <c r="G2241" s="11" t="s">
        <v>2095</v>
      </c>
      <c r="H2241" s="11" t="s">
        <v>27</v>
      </c>
      <c r="I2241" s="15" t="s">
        <v>2008</v>
      </c>
      <c r="J2241" s="15" t="s">
        <v>37</v>
      </c>
      <c r="K2241" s="16" t="s">
        <v>29</v>
      </c>
      <c r="L2241" s="60" t="s">
        <v>2162</v>
      </c>
      <c r="M2241" s="15"/>
      <c r="N2241" s="15" t="s">
        <v>31</v>
      </c>
      <c r="O2241" s="15"/>
      <c r="P2241" s="16" t="s">
        <v>1516</v>
      </c>
      <c r="Q2241" s="17">
        <v>2799</v>
      </c>
      <c r="R2241" s="18">
        <v>45</v>
      </c>
      <c r="S2241" s="19">
        <v>1770.3674999999998</v>
      </c>
      <c r="T2241" s="20" t="s">
        <v>33</v>
      </c>
      <c r="U2241" s="21" t="s">
        <v>62</v>
      </c>
      <c r="V2241" s="22">
        <v>44</v>
      </c>
      <c r="W2241" s="22">
        <v>1</v>
      </c>
      <c r="X2241" s="23"/>
    </row>
    <row r="2242" spans="1:24" s="1" customFormat="1" ht="61.05" customHeight="1" x14ac:dyDescent="0.3">
      <c r="A2242" s="24" t="s">
        <v>23</v>
      </c>
      <c r="B2242" s="24" t="s">
        <v>2160</v>
      </c>
      <c r="C2242" s="12" t="s">
        <v>2161</v>
      </c>
      <c r="D2242" s="64"/>
      <c r="E2242" s="43" t="str">
        <f>HYPERLINK("https://www.google.ru/search?q=005IN-0000&amp;newwindow=1&amp;tbm=isch","Еще фото")</f>
        <v>Еще фото</v>
      </c>
      <c r="F2242" s="14"/>
      <c r="G2242" s="24" t="s">
        <v>2095</v>
      </c>
      <c r="H2242" s="24" t="s">
        <v>27</v>
      </c>
      <c r="I2242" s="24" t="s">
        <v>2008</v>
      </c>
      <c r="J2242" s="15" t="s">
        <v>37</v>
      </c>
      <c r="K2242" s="16" t="s">
        <v>29</v>
      </c>
      <c r="L2242" s="62"/>
      <c r="M2242" s="15"/>
      <c r="N2242" s="15" t="s">
        <v>31</v>
      </c>
      <c r="O2242" s="15"/>
      <c r="P2242" s="16" t="s">
        <v>1516</v>
      </c>
      <c r="Q2242" s="17">
        <v>2799</v>
      </c>
      <c r="R2242" s="18">
        <v>45</v>
      </c>
      <c r="S2242" s="19">
        <v>1770.3674999999998</v>
      </c>
      <c r="T2242" s="20" t="s">
        <v>33</v>
      </c>
      <c r="U2242" s="21" t="s">
        <v>34</v>
      </c>
      <c r="V2242" s="22">
        <v>48</v>
      </c>
      <c r="W2242" s="22">
        <v>1</v>
      </c>
      <c r="X2242" s="23"/>
    </row>
    <row r="2243" spans="1:24" s="1" customFormat="1" ht="52.05" customHeight="1" x14ac:dyDescent="0.3">
      <c r="A2243" s="11" t="s">
        <v>23</v>
      </c>
      <c r="B2243" s="11" t="s">
        <v>2163</v>
      </c>
      <c r="C2243" s="12" t="s">
        <v>2164</v>
      </c>
      <c r="D2243" s="63"/>
      <c r="E2243" s="43" t="str">
        <f>HYPERLINK("https://www.google.ru/search?q=005IN-0001&amp;newwindow=1&amp;tbm=isch","Еще фото")</f>
        <v>Еще фото</v>
      </c>
      <c r="F2243" s="14"/>
      <c r="G2243" s="11" t="s">
        <v>2095</v>
      </c>
      <c r="H2243" s="11" t="s">
        <v>27</v>
      </c>
      <c r="I2243" s="15" t="s">
        <v>2008</v>
      </c>
      <c r="J2243" s="15" t="s">
        <v>37</v>
      </c>
      <c r="K2243" s="16" t="s">
        <v>29</v>
      </c>
      <c r="L2243" s="60" t="s">
        <v>2162</v>
      </c>
      <c r="M2243" s="15"/>
      <c r="N2243" s="15" t="s">
        <v>39</v>
      </c>
      <c r="O2243" s="15"/>
      <c r="P2243" s="16" t="s">
        <v>1516</v>
      </c>
      <c r="Q2243" s="17">
        <v>2799</v>
      </c>
      <c r="R2243" s="18">
        <v>45</v>
      </c>
      <c r="S2243" s="19">
        <v>1770.3674999999998</v>
      </c>
      <c r="T2243" s="20" t="s">
        <v>33</v>
      </c>
      <c r="U2243" s="21" t="s">
        <v>62</v>
      </c>
      <c r="V2243" s="22">
        <v>44</v>
      </c>
      <c r="W2243" s="22">
        <v>1</v>
      </c>
      <c r="X2243" s="23"/>
    </row>
    <row r="2244" spans="1:24" s="1" customFormat="1" ht="61.05" customHeight="1" x14ac:dyDescent="0.3">
      <c r="A2244" s="24" t="s">
        <v>23</v>
      </c>
      <c r="B2244" s="24" t="s">
        <v>2163</v>
      </c>
      <c r="C2244" s="12" t="s">
        <v>2164</v>
      </c>
      <c r="D2244" s="64"/>
      <c r="E2244" s="43" t="str">
        <f>HYPERLINK("https://www.google.ru/search?q=005IN-0001&amp;newwindow=1&amp;tbm=isch","Еще фото")</f>
        <v>Еще фото</v>
      </c>
      <c r="F2244" s="14"/>
      <c r="G2244" s="24" t="s">
        <v>2095</v>
      </c>
      <c r="H2244" s="24" t="s">
        <v>27</v>
      </c>
      <c r="I2244" s="24" t="s">
        <v>2008</v>
      </c>
      <c r="J2244" s="15" t="s">
        <v>37</v>
      </c>
      <c r="K2244" s="16" t="s">
        <v>29</v>
      </c>
      <c r="L2244" s="62"/>
      <c r="M2244" s="15"/>
      <c r="N2244" s="15" t="s">
        <v>39</v>
      </c>
      <c r="O2244" s="15"/>
      <c r="P2244" s="16" t="s">
        <v>1516</v>
      </c>
      <c r="Q2244" s="17">
        <v>2799</v>
      </c>
      <c r="R2244" s="18">
        <v>45</v>
      </c>
      <c r="S2244" s="19">
        <v>1770.3674999999998</v>
      </c>
      <c r="T2244" s="20" t="s">
        <v>33</v>
      </c>
      <c r="U2244" s="21" t="s">
        <v>34</v>
      </c>
      <c r="V2244" s="22">
        <v>48</v>
      </c>
      <c r="W2244" s="22">
        <v>1</v>
      </c>
      <c r="X2244" s="23"/>
    </row>
    <row r="2245" spans="1:24" s="1" customFormat="1" ht="35" customHeight="1" x14ac:dyDescent="0.3">
      <c r="A2245" s="11" t="s">
        <v>23</v>
      </c>
      <c r="B2245" s="11" t="s">
        <v>2165</v>
      </c>
      <c r="C2245" s="12" t="s">
        <v>2166</v>
      </c>
      <c r="D2245" s="57"/>
      <c r="E2245" s="43" t="str">
        <f>HYPERLINK("https://www.google.ru/search?q=005IX-0008&amp;newwindow=1&amp;tbm=isch","Еще фото")</f>
        <v>Еще фото</v>
      </c>
      <c r="F2245" s="14"/>
      <c r="G2245" s="11" t="s">
        <v>1534</v>
      </c>
      <c r="H2245" s="11" t="s">
        <v>27</v>
      </c>
      <c r="I2245" s="15" t="s">
        <v>2008</v>
      </c>
      <c r="J2245" s="15" t="s">
        <v>37</v>
      </c>
      <c r="K2245" s="16" t="s">
        <v>29</v>
      </c>
      <c r="L2245" s="60" t="s">
        <v>2167</v>
      </c>
      <c r="M2245" s="15"/>
      <c r="N2245" s="15" t="s">
        <v>87</v>
      </c>
      <c r="O2245" s="15"/>
      <c r="P2245" s="16" t="s">
        <v>32</v>
      </c>
      <c r="Q2245" s="17">
        <v>5799</v>
      </c>
      <c r="R2245" s="18">
        <v>45</v>
      </c>
      <c r="S2245" s="19">
        <v>3667.8674999999994</v>
      </c>
      <c r="T2245" s="20" t="s">
        <v>33</v>
      </c>
      <c r="U2245" s="21" t="s">
        <v>62</v>
      </c>
      <c r="V2245" s="22">
        <v>44</v>
      </c>
      <c r="W2245" s="22">
        <v>2</v>
      </c>
      <c r="X2245" s="23"/>
    </row>
    <row r="2246" spans="1:24" s="1" customFormat="1" ht="35" customHeight="1" x14ac:dyDescent="0.3">
      <c r="A2246" s="24" t="s">
        <v>23</v>
      </c>
      <c r="B2246" s="24" t="s">
        <v>2165</v>
      </c>
      <c r="C2246" s="12" t="s">
        <v>2166</v>
      </c>
      <c r="D2246" s="58"/>
      <c r="E2246" s="43" t="str">
        <f>HYPERLINK("https://www.google.ru/search?q=005IX-0008&amp;newwindow=1&amp;tbm=isch","Еще фото")</f>
        <v>Еще фото</v>
      </c>
      <c r="F2246" s="14"/>
      <c r="G2246" s="24" t="s">
        <v>1534</v>
      </c>
      <c r="H2246" s="24" t="s">
        <v>27</v>
      </c>
      <c r="I2246" s="24" t="s">
        <v>2008</v>
      </c>
      <c r="J2246" s="15" t="s">
        <v>37</v>
      </c>
      <c r="K2246" s="16" t="s">
        <v>29</v>
      </c>
      <c r="L2246" s="61"/>
      <c r="M2246" s="15"/>
      <c r="N2246" s="15" t="s">
        <v>87</v>
      </c>
      <c r="O2246" s="15"/>
      <c r="P2246" s="16" t="s">
        <v>32</v>
      </c>
      <c r="Q2246" s="17">
        <v>5799</v>
      </c>
      <c r="R2246" s="18">
        <v>45</v>
      </c>
      <c r="S2246" s="19">
        <v>3667.8674999999994</v>
      </c>
      <c r="T2246" s="20" t="s">
        <v>33</v>
      </c>
      <c r="U2246" s="21" t="s">
        <v>64</v>
      </c>
      <c r="V2246" s="22">
        <v>46</v>
      </c>
      <c r="W2246" s="22">
        <v>3</v>
      </c>
      <c r="X2246" s="23"/>
    </row>
    <row r="2247" spans="1:24" s="1" customFormat="1" ht="37.049999999999997" customHeight="1" x14ac:dyDescent="0.3">
      <c r="A2247" s="24" t="s">
        <v>23</v>
      </c>
      <c r="B2247" s="24" t="s">
        <v>2165</v>
      </c>
      <c r="C2247" s="12" t="s">
        <v>2166</v>
      </c>
      <c r="D2247" s="59"/>
      <c r="E2247" s="43" t="str">
        <f>HYPERLINK("https://www.google.ru/search?q=005IX-0008&amp;newwindow=1&amp;tbm=isch","Еще фото")</f>
        <v>Еще фото</v>
      </c>
      <c r="F2247" s="14"/>
      <c r="G2247" s="24" t="s">
        <v>1534</v>
      </c>
      <c r="H2247" s="24" t="s">
        <v>27</v>
      </c>
      <c r="I2247" s="24" t="s">
        <v>2008</v>
      </c>
      <c r="J2247" s="15" t="s">
        <v>37</v>
      </c>
      <c r="K2247" s="16" t="s">
        <v>29</v>
      </c>
      <c r="L2247" s="62"/>
      <c r="M2247" s="15"/>
      <c r="N2247" s="15" t="s">
        <v>87</v>
      </c>
      <c r="O2247" s="15"/>
      <c r="P2247" s="16" t="s">
        <v>32</v>
      </c>
      <c r="Q2247" s="17">
        <v>5799</v>
      </c>
      <c r="R2247" s="18">
        <v>45</v>
      </c>
      <c r="S2247" s="19">
        <v>3667.8674999999994</v>
      </c>
      <c r="T2247" s="20" t="s">
        <v>33</v>
      </c>
      <c r="U2247" s="21" t="s">
        <v>34</v>
      </c>
      <c r="V2247" s="22">
        <v>48</v>
      </c>
      <c r="W2247" s="22">
        <v>4</v>
      </c>
      <c r="X2247" s="23"/>
    </row>
    <row r="2248" spans="1:24" s="1" customFormat="1" ht="26" customHeight="1" x14ac:dyDescent="0.3">
      <c r="A2248" s="11" t="s">
        <v>23</v>
      </c>
      <c r="B2248" s="11" t="s">
        <v>2168</v>
      </c>
      <c r="C2248" s="12" t="s">
        <v>2169</v>
      </c>
      <c r="D2248" s="57"/>
      <c r="E2248" s="43" t="str">
        <f>HYPERLINK("https://www.google.ru/search?q=005J2-0016&amp;newwindow=1&amp;tbm=isch","Еще фото")</f>
        <v>Еще фото</v>
      </c>
      <c r="F2248" s="14"/>
      <c r="G2248" s="11" t="s">
        <v>1534</v>
      </c>
      <c r="H2248" s="11" t="s">
        <v>27</v>
      </c>
      <c r="I2248" s="15" t="s">
        <v>2008</v>
      </c>
      <c r="J2248" s="15" t="s">
        <v>37</v>
      </c>
      <c r="K2248" s="16" t="s">
        <v>29</v>
      </c>
      <c r="L2248" s="60"/>
      <c r="M2248" s="15"/>
      <c r="N2248" s="15" t="s">
        <v>31</v>
      </c>
      <c r="O2248" s="15"/>
      <c r="P2248" s="16" t="s">
        <v>172</v>
      </c>
      <c r="Q2248" s="17">
        <v>4999</v>
      </c>
      <c r="R2248" s="18">
        <v>45</v>
      </c>
      <c r="S2248" s="19">
        <v>3161.8674999999994</v>
      </c>
      <c r="T2248" s="20" t="s">
        <v>33</v>
      </c>
      <c r="U2248" s="21" t="s">
        <v>62</v>
      </c>
      <c r="V2248" s="22">
        <v>44</v>
      </c>
      <c r="W2248" s="22">
        <v>10</v>
      </c>
      <c r="X2248" s="23"/>
    </row>
    <row r="2249" spans="1:24" s="1" customFormat="1" ht="26" customHeight="1" x14ac:dyDescent="0.3">
      <c r="A2249" s="24" t="s">
        <v>23</v>
      </c>
      <c r="B2249" s="24" t="s">
        <v>2168</v>
      </c>
      <c r="C2249" s="12" t="s">
        <v>2169</v>
      </c>
      <c r="D2249" s="58"/>
      <c r="E2249" s="43" t="str">
        <f>HYPERLINK("https://www.google.ru/search?q=005J2-0016&amp;newwindow=1&amp;tbm=isch","Еще фото")</f>
        <v>Еще фото</v>
      </c>
      <c r="F2249" s="14"/>
      <c r="G2249" s="24" t="s">
        <v>1534</v>
      </c>
      <c r="H2249" s="24" t="s">
        <v>27</v>
      </c>
      <c r="I2249" s="24" t="s">
        <v>2008</v>
      </c>
      <c r="J2249" s="15" t="s">
        <v>37</v>
      </c>
      <c r="K2249" s="16" t="s">
        <v>29</v>
      </c>
      <c r="L2249" s="61"/>
      <c r="M2249" s="15"/>
      <c r="N2249" s="15" t="s">
        <v>31</v>
      </c>
      <c r="O2249" s="15"/>
      <c r="P2249" s="16" t="s">
        <v>172</v>
      </c>
      <c r="Q2249" s="17">
        <v>4999</v>
      </c>
      <c r="R2249" s="18">
        <v>45</v>
      </c>
      <c r="S2249" s="19">
        <v>3161.8674999999994</v>
      </c>
      <c r="T2249" s="20" t="s">
        <v>33</v>
      </c>
      <c r="U2249" s="21" t="s">
        <v>64</v>
      </c>
      <c r="V2249" s="22">
        <v>46</v>
      </c>
      <c r="W2249" s="22">
        <v>20</v>
      </c>
      <c r="X2249" s="23"/>
    </row>
    <row r="2250" spans="1:24" s="1" customFormat="1" ht="26" customHeight="1" x14ac:dyDescent="0.3">
      <c r="A2250" s="24" t="s">
        <v>23</v>
      </c>
      <c r="B2250" s="24" t="s">
        <v>2168</v>
      </c>
      <c r="C2250" s="12" t="s">
        <v>2169</v>
      </c>
      <c r="D2250" s="58"/>
      <c r="E2250" s="43" t="str">
        <f>HYPERLINK("https://www.google.ru/search?q=005J2-0016&amp;newwindow=1&amp;tbm=isch","Еще фото")</f>
        <v>Еще фото</v>
      </c>
      <c r="F2250" s="14"/>
      <c r="G2250" s="24" t="s">
        <v>1534</v>
      </c>
      <c r="H2250" s="24" t="s">
        <v>27</v>
      </c>
      <c r="I2250" s="24" t="s">
        <v>2008</v>
      </c>
      <c r="J2250" s="15" t="s">
        <v>37</v>
      </c>
      <c r="K2250" s="16" t="s">
        <v>29</v>
      </c>
      <c r="L2250" s="61"/>
      <c r="M2250" s="15"/>
      <c r="N2250" s="15" t="s">
        <v>31</v>
      </c>
      <c r="O2250" s="15"/>
      <c r="P2250" s="16" t="s">
        <v>172</v>
      </c>
      <c r="Q2250" s="17">
        <v>4999</v>
      </c>
      <c r="R2250" s="18">
        <v>45</v>
      </c>
      <c r="S2250" s="19">
        <v>3161.8674999999994</v>
      </c>
      <c r="T2250" s="20" t="s">
        <v>33</v>
      </c>
      <c r="U2250" s="21" t="s">
        <v>34</v>
      </c>
      <c r="V2250" s="22">
        <v>48</v>
      </c>
      <c r="W2250" s="22">
        <v>20</v>
      </c>
      <c r="X2250" s="23"/>
    </row>
    <row r="2251" spans="1:24" s="1" customFormat="1" ht="26" customHeight="1" x14ac:dyDescent="0.3">
      <c r="A2251" s="24" t="s">
        <v>23</v>
      </c>
      <c r="B2251" s="24" t="s">
        <v>2168</v>
      </c>
      <c r="C2251" s="12" t="s">
        <v>2169</v>
      </c>
      <c r="D2251" s="59"/>
      <c r="E2251" s="43" t="str">
        <f>HYPERLINK("https://www.google.ru/search?q=005J2-0016&amp;newwindow=1&amp;tbm=isch","Еще фото")</f>
        <v>Еще фото</v>
      </c>
      <c r="F2251" s="14"/>
      <c r="G2251" s="24" t="s">
        <v>1534</v>
      </c>
      <c r="H2251" s="24" t="s">
        <v>27</v>
      </c>
      <c r="I2251" s="24" t="s">
        <v>2008</v>
      </c>
      <c r="J2251" s="15" t="s">
        <v>37</v>
      </c>
      <c r="K2251" s="16" t="s">
        <v>29</v>
      </c>
      <c r="L2251" s="62"/>
      <c r="M2251" s="15"/>
      <c r="N2251" s="15" t="s">
        <v>31</v>
      </c>
      <c r="O2251" s="15"/>
      <c r="P2251" s="16" t="s">
        <v>172</v>
      </c>
      <c r="Q2251" s="17">
        <v>4999</v>
      </c>
      <c r="R2251" s="18">
        <v>45</v>
      </c>
      <c r="S2251" s="19">
        <v>3161.8674999999994</v>
      </c>
      <c r="T2251" s="20" t="s">
        <v>33</v>
      </c>
      <c r="U2251" s="21" t="s">
        <v>150</v>
      </c>
      <c r="V2251" s="25" t="s">
        <v>90</v>
      </c>
      <c r="W2251" s="22">
        <v>10</v>
      </c>
      <c r="X2251" s="23"/>
    </row>
    <row r="2252" spans="1:24" s="1" customFormat="1" ht="26" customHeight="1" x14ac:dyDescent="0.3">
      <c r="A2252" s="11" t="s">
        <v>23</v>
      </c>
      <c r="B2252" s="11" t="s">
        <v>2170</v>
      </c>
      <c r="C2252" s="12" t="s">
        <v>2171</v>
      </c>
      <c r="D2252" s="57"/>
      <c r="E2252" s="43" t="str">
        <f>HYPERLINK("https://www.google.ru/search?q=005J2-0017&amp;newwindow=1&amp;tbm=isch","Еще фото")</f>
        <v>Еще фото</v>
      </c>
      <c r="F2252" s="14"/>
      <c r="G2252" s="11" t="s">
        <v>1534</v>
      </c>
      <c r="H2252" s="11" t="s">
        <v>27</v>
      </c>
      <c r="I2252" s="15" t="s">
        <v>2008</v>
      </c>
      <c r="J2252" s="15" t="s">
        <v>37</v>
      </c>
      <c r="K2252" s="16" t="s">
        <v>29</v>
      </c>
      <c r="L2252" s="60" t="s">
        <v>2172</v>
      </c>
      <c r="M2252" s="15"/>
      <c r="N2252" s="15" t="s">
        <v>130</v>
      </c>
      <c r="O2252" s="15"/>
      <c r="P2252" s="16" t="s">
        <v>172</v>
      </c>
      <c r="Q2252" s="17">
        <v>5099</v>
      </c>
      <c r="R2252" s="18">
        <v>45</v>
      </c>
      <c r="S2252" s="19">
        <v>3225.1174999999994</v>
      </c>
      <c r="T2252" s="20" t="s">
        <v>33</v>
      </c>
      <c r="U2252" s="21" t="s">
        <v>61</v>
      </c>
      <c r="V2252" s="22">
        <v>42</v>
      </c>
      <c r="W2252" s="22">
        <v>10</v>
      </c>
      <c r="X2252" s="23"/>
    </row>
    <row r="2253" spans="1:24" s="1" customFormat="1" ht="26" customHeight="1" x14ac:dyDescent="0.3">
      <c r="A2253" s="24" t="s">
        <v>23</v>
      </c>
      <c r="B2253" s="24" t="s">
        <v>2170</v>
      </c>
      <c r="C2253" s="12" t="s">
        <v>2171</v>
      </c>
      <c r="D2253" s="58"/>
      <c r="E2253" s="43" t="str">
        <f>HYPERLINK("https://www.google.ru/search?q=005J2-0017&amp;newwindow=1&amp;tbm=isch","Еще фото")</f>
        <v>Еще фото</v>
      </c>
      <c r="F2253" s="14"/>
      <c r="G2253" s="24" t="s">
        <v>1534</v>
      </c>
      <c r="H2253" s="24" t="s">
        <v>27</v>
      </c>
      <c r="I2253" s="24" t="s">
        <v>2008</v>
      </c>
      <c r="J2253" s="15" t="s">
        <v>37</v>
      </c>
      <c r="K2253" s="16" t="s">
        <v>29</v>
      </c>
      <c r="L2253" s="61"/>
      <c r="M2253" s="15"/>
      <c r="N2253" s="15" t="s">
        <v>130</v>
      </c>
      <c r="O2253" s="15"/>
      <c r="P2253" s="16" t="s">
        <v>172</v>
      </c>
      <c r="Q2253" s="17">
        <v>5099</v>
      </c>
      <c r="R2253" s="18">
        <v>45</v>
      </c>
      <c r="S2253" s="19">
        <v>3225.1174999999994</v>
      </c>
      <c r="T2253" s="20" t="s">
        <v>33</v>
      </c>
      <c r="U2253" s="21" t="s">
        <v>62</v>
      </c>
      <c r="V2253" s="22">
        <v>44</v>
      </c>
      <c r="W2253" s="22">
        <v>20</v>
      </c>
      <c r="X2253" s="23"/>
    </row>
    <row r="2254" spans="1:24" s="1" customFormat="1" ht="26" customHeight="1" x14ac:dyDescent="0.3">
      <c r="A2254" s="24" t="s">
        <v>23</v>
      </c>
      <c r="B2254" s="24" t="s">
        <v>2170</v>
      </c>
      <c r="C2254" s="12" t="s">
        <v>2171</v>
      </c>
      <c r="D2254" s="58"/>
      <c r="E2254" s="43" t="str">
        <f>HYPERLINK("https://www.google.ru/search?q=005J2-0017&amp;newwindow=1&amp;tbm=isch","Еще фото")</f>
        <v>Еще фото</v>
      </c>
      <c r="F2254" s="14"/>
      <c r="G2254" s="24" t="s">
        <v>1534</v>
      </c>
      <c r="H2254" s="24" t="s">
        <v>27</v>
      </c>
      <c r="I2254" s="24" t="s">
        <v>2008</v>
      </c>
      <c r="J2254" s="15" t="s">
        <v>37</v>
      </c>
      <c r="K2254" s="16" t="s">
        <v>29</v>
      </c>
      <c r="L2254" s="61"/>
      <c r="M2254" s="15"/>
      <c r="N2254" s="15" t="s">
        <v>130</v>
      </c>
      <c r="O2254" s="15"/>
      <c r="P2254" s="16" t="s">
        <v>172</v>
      </c>
      <c r="Q2254" s="17">
        <v>5099</v>
      </c>
      <c r="R2254" s="18">
        <v>45</v>
      </c>
      <c r="S2254" s="19">
        <v>3225.1174999999994</v>
      </c>
      <c r="T2254" s="20" t="s">
        <v>33</v>
      </c>
      <c r="U2254" s="21" t="s">
        <v>64</v>
      </c>
      <c r="V2254" s="22">
        <v>46</v>
      </c>
      <c r="W2254" s="22">
        <v>20</v>
      </c>
      <c r="X2254" s="23"/>
    </row>
    <row r="2255" spans="1:24" s="1" customFormat="1" ht="26" customHeight="1" x14ac:dyDescent="0.3">
      <c r="A2255" s="24" t="s">
        <v>23</v>
      </c>
      <c r="B2255" s="24" t="s">
        <v>2170</v>
      </c>
      <c r="C2255" s="12" t="s">
        <v>2171</v>
      </c>
      <c r="D2255" s="59"/>
      <c r="E2255" s="43" t="str">
        <f>HYPERLINK("https://www.google.ru/search?q=005J2-0017&amp;newwindow=1&amp;tbm=isch","Еще фото")</f>
        <v>Еще фото</v>
      </c>
      <c r="F2255" s="14"/>
      <c r="G2255" s="24" t="s">
        <v>1534</v>
      </c>
      <c r="H2255" s="24" t="s">
        <v>27</v>
      </c>
      <c r="I2255" s="24" t="s">
        <v>2008</v>
      </c>
      <c r="J2255" s="15" t="s">
        <v>37</v>
      </c>
      <c r="K2255" s="16" t="s">
        <v>29</v>
      </c>
      <c r="L2255" s="62"/>
      <c r="M2255" s="15"/>
      <c r="N2255" s="15" t="s">
        <v>130</v>
      </c>
      <c r="O2255" s="15"/>
      <c r="P2255" s="16" t="s">
        <v>172</v>
      </c>
      <c r="Q2255" s="17">
        <v>5099</v>
      </c>
      <c r="R2255" s="18">
        <v>45</v>
      </c>
      <c r="S2255" s="19">
        <v>3225.1174999999994</v>
      </c>
      <c r="T2255" s="20" t="s">
        <v>33</v>
      </c>
      <c r="U2255" s="21" t="s">
        <v>34</v>
      </c>
      <c r="V2255" s="22">
        <v>48</v>
      </c>
      <c r="W2255" s="22">
        <v>10</v>
      </c>
      <c r="X2255" s="23"/>
    </row>
    <row r="2256" spans="1:24" s="1" customFormat="1" ht="35" customHeight="1" x14ac:dyDescent="0.3">
      <c r="A2256" s="11" t="s">
        <v>23</v>
      </c>
      <c r="B2256" s="11" t="s">
        <v>2173</v>
      </c>
      <c r="C2256" s="12" t="s">
        <v>2174</v>
      </c>
      <c r="D2256" s="57"/>
      <c r="E2256" s="43" t="str">
        <f>HYPERLINK("https://www.google.ru/search?q=005J2-0018&amp;newwindow=1&amp;tbm=isch","Еще фото")</f>
        <v>Еще фото</v>
      </c>
      <c r="F2256" s="14"/>
      <c r="G2256" s="11" t="s">
        <v>1534</v>
      </c>
      <c r="H2256" s="11" t="s">
        <v>27</v>
      </c>
      <c r="I2256" s="15" t="s">
        <v>2008</v>
      </c>
      <c r="J2256" s="15" t="s">
        <v>37</v>
      </c>
      <c r="K2256" s="16" t="s">
        <v>29</v>
      </c>
      <c r="L2256" s="60" t="s">
        <v>2172</v>
      </c>
      <c r="M2256" s="15"/>
      <c r="N2256" s="15" t="s">
        <v>31</v>
      </c>
      <c r="O2256" s="15"/>
      <c r="P2256" s="16" t="s">
        <v>32</v>
      </c>
      <c r="Q2256" s="17">
        <v>5399</v>
      </c>
      <c r="R2256" s="18">
        <v>45</v>
      </c>
      <c r="S2256" s="19">
        <v>3414.8674999999994</v>
      </c>
      <c r="T2256" s="20" t="s">
        <v>33</v>
      </c>
      <c r="U2256" s="21" t="s">
        <v>61</v>
      </c>
      <c r="V2256" s="22">
        <v>42</v>
      </c>
      <c r="W2256" s="22">
        <v>2</v>
      </c>
      <c r="X2256" s="23"/>
    </row>
    <row r="2257" spans="1:24" s="1" customFormat="1" ht="35" customHeight="1" x14ac:dyDescent="0.3">
      <c r="A2257" s="24" t="s">
        <v>23</v>
      </c>
      <c r="B2257" s="24" t="s">
        <v>2173</v>
      </c>
      <c r="C2257" s="12" t="s">
        <v>2174</v>
      </c>
      <c r="D2257" s="58"/>
      <c r="E2257" s="43" t="str">
        <f>HYPERLINK("https://www.google.ru/search?q=005J2-0018&amp;newwindow=1&amp;tbm=isch","Еще фото")</f>
        <v>Еще фото</v>
      </c>
      <c r="F2257" s="14"/>
      <c r="G2257" s="24" t="s">
        <v>1534</v>
      </c>
      <c r="H2257" s="24" t="s">
        <v>27</v>
      </c>
      <c r="I2257" s="24" t="s">
        <v>2008</v>
      </c>
      <c r="J2257" s="15" t="s">
        <v>37</v>
      </c>
      <c r="K2257" s="16" t="s">
        <v>29</v>
      </c>
      <c r="L2257" s="61"/>
      <c r="M2257" s="15"/>
      <c r="N2257" s="15" t="s">
        <v>31</v>
      </c>
      <c r="O2257" s="15"/>
      <c r="P2257" s="16" t="s">
        <v>32</v>
      </c>
      <c r="Q2257" s="17">
        <v>5399</v>
      </c>
      <c r="R2257" s="18">
        <v>45</v>
      </c>
      <c r="S2257" s="19">
        <v>3414.8674999999994</v>
      </c>
      <c r="T2257" s="20" t="s">
        <v>33</v>
      </c>
      <c r="U2257" s="21" t="s">
        <v>64</v>
      </c>
      <c r="V2257" s="22">
        <v>46</v>
      </c>
      <c r="W2257" s="22">
        <v>2</v>
      </c>
      <c r="X2257" s="23"/>
    </row>
    <row r="2258" spans="1:24" s="1" customFormat="1" ht="37.049999999999997" customHeight="1" x14ac:dyDescent="0.3">
      <c r="A2258" s="24" t="s">
        <v>23</v>
      </c>
      <c r="B2258" s="24" t="s">
        <v>2173</v>
      </c>
      <c r="C2258" s="12" t="s">
        <v>2174</v>
      </c>
      <c r="D2258" s="59"/>
      <c r="E2258" s="43" t="str">
        <f>HYPERLINK("https://www.google.ru/search?q=005J2-0018&amp;newwindow=1&amp;tbm=isch","Еще фото")</f>
        <v>Еще фото</v>
      </c>
      <c r="F2258" s="14"/>
      <c r="G2258" s="24" t="s">
        <v>1534</v>
      </c>
      <c r="H2258" s="24" t="s">
        <v>27</v>
      </c>
      <c r="I2258" s="24" t="s">
        <v>2008</v>
      </c>
      <c r="J2258" s="15" t="s">
        <v>37</v>
      </c>
      <c r="K2258" s="16" t="s">
        <v>29</v>
      </c>
      <c r="L2258" s="62"/>
      <c r="M2258" s="15"/>
      <c r="N2258" s="15" t="s">
        <v>31</v>
      </c>
      <c r="O2258" s="15"/>
      <c r="P2258" s="16" t="s">
        <v>32</v>
      </c>
      <c r="Q2258" s="17">
        <v>5399</v>
      </c>
      <c r="R2258" s="18">
        <v>45</v>
      </c>
      <c r="S2258" s="19">
        <v>3414.8674999999994</v>
      </c>
      <c r="T2258" s="20" t="s">
        <v>33</v>
      </c>
      <c r="U2258" s="21" t="s">
        <v>34</v>
      </c>
      <c r="V2258" s="22">
        <v>48</v>
      </c>
      <c r="W2258" s="22">
        <v>1</v>
      </c>
      <c r="X2258" s="23"/>
    </row>
    <row r="2259" spans="1:24" s="1" customFormat="1" ht="108" customHeight="1" x14ac:dyDescent="0.3">
      <c r="A2259" s="11" t="s">
        <v>23</v>
      </c>
      <c r="B2259" s="11" t="s">
        <v>2175</v>
      </c>
      <c r="C2259" s="12" t="s">
        <v>2176</v>
      </c>
      <c r="D2259" s="13"/>
      <c r="E2259" s="43" t="str">
        <f>HYPERLINK("https://www.google.ru/search?q=005OY-0001&amp;newwindow=1&amp;tbm=isch","Еще фото")</f>
        <v>Еще фото</v>
      </c>
      <c r="F2259" s="14"/>
      <c r="G2259" s="11" t="s">
        <v>1534</v>
      </c>
      <c r="H2259" s="11" t="s">
        <v>27</v>
      </c>
      <c r="I2259" s="15" t="s">
        <v>2008</v>
      </c>
      <c r="J2259" s="15" t="s">
        <v>37</v>
      </c>
      <c r="K2259" s="16" t="s">
        <v>29</v>
      </c>
      <c r="L2259" s="15" t="s">
        <v>2177</v>
      </c>
      <c r="M2259" s="15"/>
      <c r="N2259" s="15" t="s">
        <v>138</v>
      </c>
      <c r="O2259" s="15"/>
      <c r="P2259" s="16" t="s">
        <v>32</v>
      </c>
      <c r="Q2259" s="17">
        <v>3399</v>
      </c>
      <c r="R2259" s="18">
        <v>45</v>
      </c>
      <c r="S2259" s="19">
        <v>2149.8674999999998</v>
      </c>
      <c r="T2259" s="20" t="s">
        <v>33</v>
      </c>
      <c r="U2259" s="21" t="s">
        <v>64</v>
      </c>
      <c r="V2259" s="22">
        <v>46</v>
      </c>
      <c r="W2259" s="22">
        <v>1</v>
      </c>
      <c r="X2259" s="23"/>
    </row>
    <row r="2260" spans="1:24" s="1" customFormat="1" ht="52.05" customHeight="1" x14ac:dyDescent="0.3">
      <c r="A2260" s="11" t="s">
        <v>23</v>
      </c>
      <c r="B2260" s="11" t="s">
        <v>2178</v>
      </c>
      <c r="C2260" s="12" t="s">
        <v>2179</v>
      </c>
      <c r="D2260" s="63"/>
      <c r="E2260" s="43" t="str">
        <f>HYPERLINK("https://www.google.ru/search?q=005OY-0009&amp;newwindow=1&amp;tbm=isch","Еще фото")</f>
        <v>Еще фото</v>
      </c>
      <c r="F2260" s="14"/>
      <c r="G2260" s="11" t="s">
        <v>1534</v>
      </c>
      <c r="H2260" s="11" t="s">
        <v>27</v>
      </c>
      <c r="I2260" s="15" t="s">
        <v>2008</v>
      </c>
      <c r="J2260" s="15" t="s">
        <v>37</v>
      </c>
      <c r="K2260" s="16" t="s">
        <v>29</v>
      </c>
      <c r="L2260" s="60" t="s">
        <v>2177</v>
      </c>
      <c r="M2260" s="15"/>
      <c r="N2260" s="15" t="s">
        <v>31</v>
      </c>
      <c r="O2260" s="15"/>
      <c r="P2260" s="16" t="s">
        <v>32</v>
      </c>
      <c r="Q2260" s="17">
        <v>3399</v>
      </c>
      <c r="R2260" s="18">
        <v>45</v>
      </c>
      <c r="S2260" s="19">
        <v>2149.8674999999998</v>
      </c>
      <c r="T2260" s="20" t="s">
        <v>33</v>
      </c>
      <c r="U2260" s="21" t="s">
        <v>61</v>
      </c>
      <c r="V2260" s="22">
        <v>42</v>
      </c>
      <c r="W2260" s="22">
        <v>1</v>
      </c>
      <c r="X2260" s="23"/>
    </row>
    <row r="2261" spans="1:24" s="1" customFormat="1" ht="61.05" customHeight="1" x14ac:dyDescent="0.3">
      <c r="A2261" s="24" t="s">
        <v>23</v>
      </c>
      <c r="B2261" s="24" t="s">
        <v>2178</v>
      </c>
      <c r="C2261" s="12" t="s">
        <v>2179</v>
      </c>
      <c r="D2261" s="64"/>
      <c r="E2261" s="43" t="str">
        <f>HYPERLINK("https://www.google.ru/search?q=005OY-0009&amp;newwindow=1&amp;tbm=isch","Еще фото")</f>
        <v>Еще фото</v>
      </c>
      <c r="F2261" s="14"/>
      <c r="G2261" s="24" t="s">
        <v>1534</v>
      </c>
      <c r="H2261" s="24" t="s">
        <v>27</v>
      </c>
      <c r="I2261" s="24" t="s">
        <v>2008</v>
      </c>
      <c r="J2261" s="15" t="s">
        <v>37</v>
      </c>
      <c r="K2261" s="16" t="s">
        <v>29</v>
      </c>
      <c r="L2261" s="62"/>
      <c r="M2261" s="15"/>
      <c r="N2261" s="15" t="s">
        <v>31</v>
      </c>
      <c r="O2261" s="15"/>
      <c r="P2261" s="16" t="s">
        <v>32</v>
      </c>
      <c r="Q2261" s="17">
        <v>3399</v>
      </c>
      <c r="R2261" s="18">
        <v>45</v>
      </c>
      <c r="S2261" s="19">
        <v>2149.8674999999998</v>
      </c>
      <c r="T2261" s="20" t="s">
        <v>33</v>
      </c>
      <c r="U2261" s="21" t="s">
        <v>62</v>
      </c>
      <c r="V2261" s="22">
        <v>44</v>
      </c>
      <c r="W2261" s="22">
        <v>1</v>
      </c>
      <c r="X2261" s="23"/>
    </row>
    <row r="2262" spans="1:24" s="1" customFormat="1" ht="108" customHeight="1" x14ac:dyDescent="0.3">
      <c r="A2262" s="11" t="s">
        <v>23</v>
      </c>
      <c r="B2262" s="11" t="s">
        <v>2180</v>
      </c>
      <c r="C2262" s="12" t="s">
        <v>2181</v>
      </c>
      <c r="D2262" s="13"/>
      <c r="E2262" s="43" t="str">
        <f>HYPERLINK("https://www.google.ru/search?q=005OY-0041&amp;newwindow=1&amp;tbm=isch","Еще фото")</f>
        <v>Еще фото</v>
      </c>
      <c r="F2262" s="14"/>
      <c r="G2262" s="11" t="s">
        <v>1534</v>
      </c>
      <c r="H2262" s="11" t="s">
        <v>27</v>
      </c>
      <c r="I2262" s="15" t="s">
        <v>2008</v>
      </c>
      <c r="J2262" s="15" t="s">
        <v>37</v>
      </c>
      <c r="K2262" s="16" t="s">
        <v>29</v>
      </c>
      <c r="L2262" s="15" t="s">
        <v>2177</v>
      </c>
      <c r="M2262" s="15"/>
      <c r="N2262" s="15" t="s">
        <v>31</v>
      </c>
      <c r="O2262" s="15"/>
      <c r="P2262" s="16" t="s">
        <v>32</v>
      </c>
      <c r="Q2262" s="17">
        <v>6399</v>
      </c>
      <c r="R2262" s="18">
        <v>45</v>
      </c>
      <c r="S2262" s="19">
        <v>4047.3674999999994</v>
      </c>
      <c r="T2262" s="20" t="s">
        <v>33</v>
      </c>
      <c r="U2262" s="21" t="s">
        <v>64</v>
      </c>
      <c r="V2262" s="22">
        <v>46</v>
      </c>
      <c r="W2262" s="22">
        <v>6</v>
      </c>
      <c r="X2262" s="23"/>
    </row>
    <row r="2263" spans="1:24" s="1" customFormat="1" ht="52.05" customHeight="1" x14ac:dyDescent="0.3">
      <c r="A2263" s="11" t="s">
        <v>23</v>
      </c>
      <c r="B2263" s="11" t="s">
        <v>2180</v>
      </c>
      <c r="C2263" s="12" t="s">
        <v>2182</v>
      </c>
      <c r="D2263" s="63"/>
      <c r="E2263" s="43" t="str">
        <f>HYPERLINK("https://www.google.ru/search?q=005OY-0044&amp;newwindow=1&amp;tbm=isch","Еще фото")</f>
        <v>Еще фото</v>
      </c>
      <c r="F2263" s="14"/>
      <c r="G2263" s="11" t="s">
        <v>1534</v>
      </c>
      <c r="H2263" s="11" t="s">
        <v>27</v>
      </c>
      <c r="I2263" s="15" t="s">
        <v>2008</v>
      </c>
      <c r="J2263" s="15" t="s">
        <v>37</v>
      </c>
      <c r="K2263" s="16" t="s">
        <v>29</v>
      </c>
      <c r="L2263" s="60" t="s">
        <v>2177</v>
      </c>
      <c r="M2263" s="15"/>
      <c r="N2263" s="15" t="s">
        <v>73</v>
      </c>
      <c r="O2263" s="15"/>
      <c r="P2263" s="16" t="s">
        <v>32</v>
      </c>
      <c r="Q2263" s="17">
        <v>6399</v>
      </c>
      <c r="R2263" s="18">
        <v>45</v>
      </c>
      <c r="S2263" s="19">
        <v>4047.3674999999994</v>
      </c>
      <c r="T2263" s="20" t="s">
        <v>33</v>
      </c>
      <c r="U2263" s="21" t="s">
        <v>62</v>
      </c>
      <c r="V2263" s="22">
        <v>44</v>
      </c>
      <c r="W2263" s="22">
        <v>2</v>
      </c>
      <c r="X2263" s="23"/>
    </row>
    <row r="2264" spans="1:24" s="1" customFormat="1" ht="61.05" customHeight="1" x14ac:dyDescent="0.3">
      <c r="A2264" s="24" t="s">
        <v>23</v>
      </c>
      <c r="B2264" s="24" t="s">
        <v>2180</v>
      </c>
      <c r="C2264" s="12" t="s">
        <v>2182</v>
      </c>
      <c r="D2264" s="64"/>
      <c r="E2264" s="43" t="str">
        <f>HYPERLINK("https://www.google.ru/search?q=005OY-0044&amp;newwindow=1&amp;tbm=isch","Еще фото")</f>
        <v>Еще фото</v>
      </c>
      <c r="F2264" s="14"/>
      <c r="G2264" s="24" t="s">
        <v>1534</v>
      </c>
      <c r="H2264" s="24" t="s">
        <v>27</v>
      </c>
      <c r="I2264" s="24" t="s">
        <v>2008</v>
      </c>
      <c r="J2264" s="15" t="s">
        <v>37</v>
      </c>
      <c r="K2264" s="16" t="s">
        <v>29</v>
      </c>
      <c r="L2264" s="62"/>
      <c r="M2264" s="15"/>
      <c r="N2264" s="15" t="s">
        <v>73</v>
      </c>
      <c r="O2264" s="15"/>
      <c r="P2264" s="16" t="s">
        <v>32</v>
      </c>
      <c r="Q2264" s="17">
        <v>6399</v>
      </c>
      <c r="R2264" s="18">
        <v>45</v>
      </c>
      <c r="S2264" s="19">
        <v>4047.3674999999994</v>
      </c>
      <c r="T2264" s="20" t="s">
        <v>33</v>
      </c>
      <c r="U2264" s="21" t="s">
        <v>64</v>
      </c>
      <c r="V2264" s="22">
        <v>46</v>
      </c>
      <c r="W2264" s="22">
        <v>2</v>
      </c>
      <c r="X2264" s="23"/>
    </row>
    <row r="2265" spans="1:24" s="1" customFormat="1" ht="26" customHeight="1" x14ac:dyDescent="0.3">
      <c r="A2265" s="11" t="s">
        <v>23</v>
      </c>
      <c r="B2265" s="11" t="s">
        <v>2180</v>
      </c>
      <c r="C2265" s="12" t="s">
        <v>2183</v>
      </c>
      <c r="D2265" s="57"/>
      <c r="E2265" s="43" t="str">
        <f>HYPERLINK("https://www.google.ru/search?q=005OY-0045&amp;newwindow=1&amp;tbm=isch","Еще фото")</f>
        <v>Еще фото</v>
      </c>
      <c r="F2265" s="14" t="s">
        <v>182</v>
      </c>
      <c r="G2265" s="11" t="s">
        <v>1534</v>
      </c>
      <c r="H2265" s="11" t="s">
        <v>27</v>
      </c>
      <c r="I2265" s="15" t="s">
        <v>2008</v>
      </c>
      <c r="J2265" s="15" t="s">
        <v>37</v>
      </c>
      <c r="K2265" s="16" t="s">
        <v>29</v>
      </c>
      <c r="L2265" s="60" t="s">
        <v>2177</v>
      </c>
      <c r="M2265" s="15"/>
      <c r="N2265" s="15" t="s">
        <v>156</v>
      </c>
      <c r="O2265" s="15"/>
      <c r="P2265" s="16" t="s">
        <v>172</v>
      </c>
      <c r="Q2265" s="17">
        <v>6399</v>
      </c>
      <c r="R2265" s="18">
        <v>45</v>
      </c>
      <c r="S2265" s="19">
        <v>4047.3674999999994</v>
      </c>
      <c r="T2265" s="20" t="s">
        <v>33</v>
      </c>
      <c r="U2265" s="21" t="s">
        <v>61</v>
      </c>
      <c r="V2265" s="22">
        <v>42</v>
      </c>
      <c r="W2265" s="22">
        <v>8</v>
      </c>
      <c r="X2265" s="23"/>
    </row>
    <row r="2266" spans="1:24" s="1" customFormat="1" ht="26" customHeight="1" x14ac:dyDescent="0.3">
      <c r="A2266" s="24" t="s">
        <v>23</v>
      </c>
      <c r="B2266" s="24" t="s">
        <v>2180</v>
      </c>
      <c r="C2266" s="12" t="s">
        <v>2183</v>
      </c>
      <c r="D2266" s="58"/>
      <c r="E2266" s="43" t="str">
        <f>HYPERLINK("https://www.google.ru/search?q=005OY-0045&amp;newwindow=1&amp;tbm=isch","Еще фото")</f>
        <v>Еще фото</v>
      </c>
      <c r="F2266" s="14" t="s">
        <v>182</v>
      </c>
      <c r="G2266" s="24" t="s">
        <v>1534</v>
      </c>
      <c r="H2266" s="24" t="s">
        <v>27</v>
      </c>
      <c r="I2266" s="24" t="s">
        <v>2008</v>
      </c>
      <c r="J2266" s="15" t="s">
        <v>37</v>
      </c>
      <c r="K2266" s="16" t="s">
        <v>29</v>
      </c>
      <c r="L2266" s="61"/>
      <c r="M2266" s="15"/>
      <c r="N2266" s="15" t="s">
        <v>156</v>
      </c>
      <c r="O2266" s="15"/>
      <c r="P2266" s="16" t="s">
        <v>172</v>
      </c>
      <c r="Q2266" s="17">
        <v>6399</v>
      </c>
      <c r="R2266" s="18">
        <v>45</v>
      </c>
      <c r="S2266" s="19">
        <v>4047.3674999999994</v>
      </c>
      <c r="T2266" s="20" t="s">
        <v>33</v>
      </c>
      <c r="U2266" s="21" t="s">
        <v>62</v>
      </c>
      <c r="V2266" s="22">
        <v>44</v>
      </c>
      <c r="W2266" s="22">
        <v>7</v>
      </c>
      <c r="X2266" s="23"/>
    </row>
    <row r="2267" spans="1:24" s="1" customFormat="1" ht="26" customHeight="1" x14ac:dyDescent="0.3">
      <c r="A2267" s="24" t="s">
        <v>23</v>
      </c>
      <c r="B2267" s="24" t="s">
        <v>2180</v>
      </c>
      <c r="C2267" s="12" t="s">
        <v>2183</v>
      </c>
      <c r="D2267" s="58"/>
      <c r="E2267" s="43" t="str">
        <f>HYPERLINK("https://www.google.ru/search?q=005OY-0045&amp;newwindow=1&amp;tbm=isch","Еще фото")</f>
        <v>Еще фото</v>
      </c>
      <c r="F2267" s="14" t="s">
        <v>182</v>
      </c>
      <c r="G2267" s="24" t="s">
        <v>1534</v>
      </c>
      <c r="H2267" s="24" t="s">
        <v>27</v>
      </c>
      <c r="I2267" s="24" t="s">
        <v>2008</v>
      </c>
      <c r="J2267" s="15" t="s">
        <v>37</v>
      </c>
      <c r="K2267" s="16" t="s">
        <v>29</v>
      </c>
      <c r="L2267" s="61"/>
      <c r="M2267" s="15"/>
      <c r="N2267" s="15" t="s">
        <v>156</v>
      </c>
      <c r="O2267" s="15"/>
      <c r="P2267" s="16" t="s">
        <v>172</v>
      </c>
      <c r="Q2267" s="17">
        <v>6399</v>
      </c>
      <c r="R2267" s="18">
        <v>45</v>
      </c>
      <c r="S2267" s="19">
        <v>4047.3674999999994</v>
      </c>
      <c r="T2267" s="20" t="s">
        <v>33</v>
      </c>
      <c r="U2267" s="21" t="s">
        <v>64</v>
      </c>
      <c r="V2267" s="22">
        <v>46</v>
      </c>
      <c r="W2267" s="22">
        <v>11</v>
      </c>
      <c r="X2267" s="23"/>
    </row>
    <row r="2268" spans="1:24" s="1" customFormat="1" ht="26" customHeight="1" x14ac:dyDescent="0.3">
      <c r="A2268" s="24" t="s">
        <v>23</v>
      </c>
      <c r="B2268" s="24" t="s">
        <v>2180</v>
      </c>
      <c r="C2268" s="12" t="s">
        <v>2183</v>
      </c>
      <c r="D2268" s="59"/>
      <c r="E2268" s="43" t="str">
        <f>HYPERLINK("https://www.google.ru/search?q=005OY-0045&amp;newwindow=1&amp;tbm=isch","Еще фото")</f>
        <v>Еще фото</v>
      </c>
      <c r="F2268" s="14" t="s">
        <v>182</v>
      </c>
      <c r="G2268" s="24" t="s">
        <v>1534</v>
      </c>
      <c r="H2268" s="24" t="s">
        <v>27</v>
      </c>
      <c r="I2268" s="24" t="s">
        <v>2008</v>
      </c>
      <c r="J2268" s="15" t="s">
        <v>37</v>
      </c>
      <c r="K2268" s="16" t="s">
        <v>29</v>
      </c>
      <c r="L2268" s="62"/>
      <c r="M2268" s="15"/>
      <c r="N2268" s="15" t="s">
        <v>156</v>
      </c>
      <c r="O2268" s="15"/>
      <c r="P2268" s="16" t="s">
        <v>172</v>
      </c>
      <c r="Q2268" s="17">
        <v>6399</v>
      </c>
      <c r="R2268" s="18">
        <v>45</v>
      </c>
      <c r="S2268" s="19">
        <v>4047.3674999999994</v>
      </c>
      <c r="T2268" s="20" t="s">
        <v>33</v>
      </c>
      <c r="U2268" s="21" t="s">
        <v>34</v>
      </c>
      <c r="V2268" s="22">
        <v>48</v>
      </c>
      <c r="W2268" s="22">
        <v>2</v>
      </c>
      <c r="X2268" s="23"/>
    </row>
    <row r="2269" spans="1:24" s="1" customFormat="1" ht="35" customHeight="1" x14ac:dyDescent="0.3">
      <c r="A2269" s="11" t="s">
        <v>23</v>
      </c>
      <c r="B2269" s="11" t="s">
        <v>2180</v>
      </c>
      <c r="C2269" s="12" t="s">
        <v>2184</v>
      </c>
      <c r="D2269" s="57"/>
      <c r="E2269" s="43" t="str">
        <f>HYPERLINK("https://www.google.ru/search?q=005OY-0066&amp;newwindow=1&amp;tbm=isch","Еще фото")</f>
        <v>Еще фото</v>
      </c>
      <c r="F2269" s="34" t="s">
        <v>469</v>
      </c>
      <c r="G2269" s="11" t="s">
        <v>1534</v>
      </c>
      <c r="H2269" s="11" t="s">
        <v>27</v>
      </c>
      <c r="I2269" s="15" t="s">
        <v>2008</v>
      </c>
      <c r="J2269" s="15" t="s">
        <v>37</v>
      </c>
      <c r="K2269" s="16" t="s">
        <v>29</v>
      </c>
      <c r="L2269" s="60"/>
      <c r="M2269" s="15"/>
      <c r="N2269" s="15" t="s">
        <v>87</v>
      </c>
      <c r="O2269" s="15"/>
      <c r="P2269" s="16" t="s">
        <v>32</v>
      </c>
      <c r="Q2269" s="17">
        <v>6999</v>
      </c>
      <c r="R2269" s="18">
        <v>45</v>
      </c>
      <c r="S2269" s="19">
        <v>4426.8674999999994</v>
      </c>
      <c r="T2269" s="20" t="s">
        <v>33</v>
      </c>
      <c r="U2269" s="21" t="s">
        <v>61</v>
      </c>
      <c r="V2269" s="22">
        <v>42</v>
      </c>
      <c r="W2269" s="22">
        <v>3</v>
      </c>
      <c r="X2269" s="23"/>
    </row>
    <row r="2270" spans="1:24" s="1" customFormat="1" ht="35" customHeight="1" x14ac:dyDescent="0.3">
      <c r="A2270" s="24" t="s">
        <v>23</v>
      </c>
      <c r="B2270" s="24" t="s">
        <v>2180</v>
      </c>
      <c r="C2270" s="12" t="s">
        <v>2184</v>
      </c>
      <c r="D2270" s="58"/>
      <c r="E2270" s="43" t="str">
        <f>HYPERLINK("https://www.google.ru/search?q=005OY-0066&amp;newwindow=1&amp;tbm=isch","Еще фото")</f>
        <v>Еще фото</v>
      </c>
      <c r="F2270" s="34" t="s">
        <v>469</v>
      </c>
      <c r="G2270" s="24" t="s">
        <v>1534</v>
      </c>
      <c r="H2270" s="24" t="s">
        <v>27</v>
      </c>
      <c r="I2270" s="24" t="s">
        <v>2008</v>
      </c>
      <c r="J2270" s="15" t="s">
        <v>37</v>
      </c>
      <c r="K2270" s="16" t="s">
        <v>29</v>
      </c>
      <c r="L2270" s="61"/>
      <c r="M2270" s="15"/>
      <c r="N2270" s="15" t="s">
        <v>87</v>
      </c>
      <c r="O2270" s="15"/>
      <c r="P2270" s="16" t="s">
        <v>32</v>
      </c>
      <c r="Q2270" s="17">
        <v>6999</v>
      </c>
      <c r="R2270" s="18">
        <v>45</v>
      </c>
      <c r="S2270" s="19">
        <v>4426.8674999999994</v>
      </c>
      <c r="T2270" s="20" t="s">
        <v>33</v>
      </c>
      <c r="U2270" s="21" t="s">
        <v>62</v>
      </c>
      <c r="V2270" s="22">
        <v>44</v>
      </c>
      <c r="W2270" s="22">
        <v>5</v>
      </c>
      <c r="X2270" s="23"/>
    </row>
    <row r="2271" spans="1:24" s="1" customFormat="1" ht="37.049999999999997" customHeight="1" x14ac:dyDescent="0.3">
      <c r="A2271" s="24" t="s">
        <v>23</v>
      </c>
      <c r="B2271" s="24" t="s">
        <v>2180</v>
      </c>
      <c r="C2271" s="12" t="s">
        <v>2184</v>
      </c>
      <c r="D2271" s="59"/>
      <c r="E2271" s="43" t="str">
        <f>HYPERLINK("https://www.google.ru/search?q=005OY-0066&amp;newwindow=1&amp;tbm=isch","Еще фото")</f>
        <v>Еще фото</v>
      </c>
      <c r="F2271" s="34" t="s">
        <v>469</v>
      </c>
      <c r="G2271" s="24" t="s">
        <v>1534</v>
      </c>
      <c r="H2271" s="24" t="s">
        <v>27</v>
      </c>
      <c r="I2271" s="24" t="s">
        <v>2008</v>
      </c>
      <c r="J2271" s="15" t="s">
        <v>37</v>
      </c>
      <c r="K2271" s="16" t="s">
        <v>29</v>
      </c>
      <c r="L2271" s="62"/>
      <c r="M2271" s="15"/>
      <c r="N2271" s="15" t="s">
        <v>87</v>
      </c>
      <c r="O2271" s="15"/>
      <c r="P2271" s="16" t="s">
        <v>32</v>
      </c>
      <c r="Q2271" s="17">
        <v>6999</v>
      </c>
      <c r="R2271" s="18">
        <v>45</v>
      </c>
      <c r="S2271" s="19">
        <v>4426.8674999999994</v>
      </c>
      <c r="T2271" s="20" t="s">
        <v>33</v>
      </c>
      <c r="U2271" s="21" t="s">
        <v>64</v>
      </c>
      <c r="V2271" s="22">
        <v>46</v>
      </c>
      <c r="W2271" s="22">
        <v>2</v>
      </c>
      <c r="X2271" s="23"/>
    </row>
    <row r="2272" spans="1:24" s="1" customFormat="1" ht="26" customHeight="1" x14ac:dyDescent="0.3">
      <c r="A2272" s="11" t="s">
        <v>23</v>
      </c>
      <c r="B2272" s="11" t="s">
        <v>2185</v>
      </c>
      <c r="C2272" s="12" t="s">
        <v>2186</v>
      </c>
      <c r="D2272" s="57"/>
      <c r="E2272" s="43" t="str">
        <f>HYPERLINK("https://www.google.ru/search?q=0064G-0011&amp;newwindow=1&amp;tbm=isch","Еще фото")</f>
        <v>Еще фото</v>
      </c>
      <c r="F2272" s="14"/>
      <c r="G2272" s="11" t="s">
        <v>1534</v>
      </c>
      <c r="H2272" s="11" t="s">
        <v>27</v>
      </c>
      <c r="I2272" s="15" t="s">
        <v>2008</v>
      </c>
      <c r="J2272" s="15" t="s">
        <v>37</v>
      </c>
      <c r="K2272" s="16" t="s">
        <v>29</v>
      </c>
      <c r="L2272" s="60"/>
      <c r="M2272" s="15"/>
      <c r="N2272" s="15" t="s">
        <v>31</v>
      </c>
      <c r="O2272" s="15"/>
      <c r="P2272" s="16" t="s">
        <v>172</v>
      </c>
      <c r="Q2272" s="17">
        <v>4999</v>
      </c>
      <c r="R2272" s="18">
        <v>45</v>
      </c>
      <c r="S2272" s="19">
        <v>3161.8674999999994</v>
      </c>
      <c r="T2272" s="20" t="s">
        <v>33</v>
      </c>
      <c r="U2272" s="21" t="s">
        <v>61</v>
      </c>
      <c r="V2272" s="22">
        <v>42</v>
      </c>
      <c r="W2272" s="22">
        <v>10</v>
      </c>
      <c r="X2272" s="23"/>
    </row>
    <row r="2273" spans="1:24" s="1" customFormat="1" ht="26" customHeight="1" x14ac:dyDescent="0.3">
      <c r="A2273" s="24" t="s">
        <v>23</v>
      </c>
      <c r="B2273" s="24" t="s">
        <v>2185</v>
      </c>
      <c r="C2273" s="12" t="s">
        <v>2186</v>
      </c>
      <c r="D2273" s="58"/>
      <c r="E2273" s="43" t="str">
        <f>HYPERLINK("https://www.google.ru/search?q=0064G-0011&amp;newwindow=1&amp;tbm=isch","Еще фото")</f>
        <v>Еще фото</v>
      </c>
      <c r="F2273" s="14"/>
      <c r="G2273" s="24" t="s">
        <v>1534</v>
      </c>
      <c r="H2273" s="24" t="s">
        <v>27</v>
      </c>
      <c r="I2273" s="24" t="s">
        <v>2008</v>
      </c>
      <c r="J2273" s="15" t="s">
        <v>37</v>
      </c>
      <c r="K2273" s="16" t="s">
        <v>29</v>
      </c>
      <c r="L2273" s="61"/>
      <c r="M2273" s="15"/>
      <c r="N2273" s="15" t="s">
        <v>31</v>
      </c>
      <c r="O2273" s="15"/>
      <c r="P2273" s="16" t="s">
        <v>172</v>
      </c>
      <c r="Q2273" s="17">
        <v>4999</v>
      </c>
      <c r="R2273" s="18">
        <v>45</v>
      </c>
      <c r="S2273" s="19">
        <v>3161.8674999999994</v>
      </c>
      <c r="T2273" s="20" t="s">
        <v>33</v>
      </c>
      <c r="U2273" s="21" t="s">
        <v>62</v>
      </c>
      <c r="V2273" s="22">
        <v>44</v>
      </c>
      <c r="W2273" s="22">
        <v>20</v>
      </c>
      <c r="X2273" s="23"/>
    </row>
    <row r="2274" spans="1:24" s="1" customFormat="1" ht="26" customHeight="1" x14ac:dyDescent="0.3">
      <c r="A2274" s="24" t="s">
        <v>23</v>
      </c>
      <c r="B2274" s="24" t="s">
        <v>2185</v>
      </c>
      <c r="C2274" s="12" t="s">
        <v>2186</v>
      </c>
      <c r="D2274" s="58"/>
      <c r="E2274" s="43" t="str">
        <f>HYPERLINK("https://www.google.ru/search?q=0064G-0011&amp;newwindow=1&amp;tbm=isch","Еще фото")</f>
        <v>Еще фото</v>
      </c>
      <c r="F2274" s="14"/>
      <c r="G2274" s="24" t="s">
        <v>1534</v>
      </c>
      <c r="H2274" s="24" t="s">
        <v>27</v>
      </c>
      <c r="I2274" s="24" t="s">
        <v>2008</v>
      </c>
      <c r="J2274" s="15" t="s">
        <v>37</v>
      </c>
      <c r="K2274" s="16" t="s">
        <v>29</v>
      </c>
      <c r="L2274" s="61"/>
      <c r="M2274" s="15"/>
      <c r="N2274" s="15" t="s">
        <v>31</v>
      </c>
      <c r="O2274" s="15"/>
      <c r="P2274" s="16" t="s">
        <v>172</v>
      </c>
      <c r="Q2274" s="17">
        <v>4999</v>
      </c>
      <c r="R2274" s="18">
        <v>45</v>
      </c>
      <c r="S2274" s="19">
        <v>3161.8674999999994</v>
      </c>
      <c r="T2274" s="20" t="s">
        <v>33</v>
      </c>
      <c r="U2274" s="21" t="s">
        <v>64</v>
      </c>
      <c r="V2274" s="22">
        <v>46</v>
      </c>
      <c r="W2274" s="22">
        <v>20</v>
      </c>
      <c r="X2274" s="23"/>
    </row>
    <row r="2275" spans="1:24" s="1" customFormat="1" ht="26" customHeight="1" x14ac:dyDescent="0.3">
      <c r="A2275" s="24" t="s">
        <v>23</v>
      </c>
      <c r="B2275" s="24" t="s">
        <v>2185</v>
      </c>
      <c r="C2275" s="12" t="s">
        <v>2186</v>
      </c>
      <c r="D2275" s="59"/>
      <c r="E2275" s="43" t="str">
        <f>HYPERLINK("https://www.google.ru/search?q=0064G-0011&amp;newwindow=1&amp;tbm=isch","Еще фото")</f>
        <v>Еще фото</v>
      </c>
      <c r="F2275" s="14"/>
      <c r="G2275" s="24" t="s">
        <v>1534</v>
      </c>
      <c r="H2275" s="24" t="s">
        <v>27</v>
      </c>
      <c r="I2275" s="24" t="s">
        <v>2008</v>
      </c>
      <c r="J2275" s="15" t="s">
        <v>37</v>
      </c>
      <c r="K2275" s="16" t="s">
        <v>29</v>
      </c>
      <c r="L2275" s="62"/>
      <c r="M2275" s="15"/>
      <c r="N2275" s="15" t="s">
        <v>31</v>
      </c>
      <c r="O2275" s="15"/>
      <c r="P2275" s="16" t="s">
        <v>172</v>
      </c>
      <c r="Q2275" s="17">
        <v>4999</v>
      </c>
      <c r="R2275" s="18">
        <v>45</v>
      </c>
      <c r="S2275" s="19">
        <v>3161.8674999999994</v>
      </c>
      <c r="T2275" s="20" t="s">
        <v>33</v>
      </c>
      <c r="U2275" s="21" t="s">
        <v>34</v>
      </c>
      <c r="V2275" s="22">
        <v>48</v>
      </c>
      <c r="W2275" s="22">
        <v>10</v>
      </c>
      <c r="X2275" s="23"/>
    </row>
    <row r="2276" spans="1:24" s="1" customFormat="1" ht="52.05" customHeight="1" x14ac:dyDescent="0.3">
      <c r="A2276" s="11" t="s">
        <v>23</v>
      </c>
      <c r="B2276" s="11" t="s">
        <v>2187</v>
      </c>
      <c r="C2276" s="12" t="s">
        <v>2188</v>
      </c>
      <c r="D2276" s="63"/>
      <c r="E2276" s="43" t="str">
        <f>HYPERLINK("https://www.google.ru/search?q=006IG-0006&amp;newwindow=1&amp;tbm=isch","Еще фото")</f>
        <v>Еще фото</v>
      </c>
      <c r="F2276" s="14"/>
      <c r="G2276" s="11" t="s">
        <v>1534</v>
      </c>
      <c r="H2276" s="11" t="s">
        <v>27</v>
      </c>
      <c r="I2276" s="15" t="s">
        <v>2008</v>
      </c>
      <c r="J2276" s="15" t="s">
        <v>37</v>
      </c>
      <c r="K2276" s="16" t="s">
        <v>57</v>
      </c>
      <c r="L2276" s="60" t="s">
        <v>2189</v>
      </c>
      <c r="M2276" s="15"/>
      <c r="N2276" s="15" t="s">
        <v>83</v>
      </c>
      <c r="O2276" s="15"/>
      <c r="P2276" s="16" t="s">
        <v>32</v>
      </c>
      <c r="Q2276" s="17">
        <v>3399</v>
      </c>
      <c r="R2276" s="18">
        <v>45</v>
      </c>
      <c r="S2276" s="19">
        <v>2149.8674999999998</v>
      </c>
      <c r="T2276" s="20" t="s">
        <v>33</v>
      </c>
      <c r="U2276" s="21" t="s">
        <v>34</v>
      </c>
      <c r="V2276" s="25" t="s">
        <v>90</v>
      </c>
      <c r="W2276" s="22">
        <v>1</v>
      </c>
      <c r="X2276" s="23"/>
    </row>
    <row r="2277" spans="1:24" s="1" customFormat="1" ht="61.05" customHeight="1" x14ac:dyDescent="0.3">
      <c r="A2277" s="24" t="s">
        <v>23</v>
      </c>
      <c r="B2277" s="24" t="s">
        <v>2187</v>
      </c>
      <c r="C2277" s="12" t="s">
        <v>2188</v>
      </c>
      <c r="D2277" s="64"/>
      <c r="E2277" s="43" t="str">
        <f>HYPERLINK("https://www.google.ru/search?q=006IG-0006&amp;newwindow=1&amp;tbm=isch","Еще фото")</f>
        <v>Еще фото</v>
      </c>
      <c r="F2277" s="14"/>
      <c r="G2277" s="24" t="s">
        <v>1534</v>
      </c>
      <c r="H2277" s="24" t="s">
        <v>27</v>
      </c>
      <c r="I2277" s="24" t="s">
        <v>2008</v>
      </c>
      <c r="J2277" s="15" t="s">
        <v>37</v>
      </c>
      <c r="K2277" s="16" t="s">
        <v>57</v>
      </c>
      <c r="L2277" s="62"/>
      <c r="M2277" s="15"/>
      <c r="N2277" s="15" t="s">
        <v>83</v>
      </c>
      <c r="O2277" s="15"/>
      <c r="P2277" s="16" t="s">
        <v>32</v>
      </c>
      <c r="Q2277" s="17">
        <v>3399</v>
      </c>
      <c r="R2277" s="18">
        <v>45</v>
      </c>
      <c r="S2277" s="19">
        <v>2149.8674999999998</v>
      </c>
      <c r="T2277" s="20" t="s">
        <v>33</v>
      </c>
      <c r="U2277" s="21" t="s">
        <v>150</v>
      </c>
      <c r="V2277" s="25" t="s">
        <v>761</v>
      </c>
      <c r="W2277" s="22">
        <v>1</v>
      </c>
      <c r="X2277" s="23"/>
    </row>
    <row r="2278" spans="1:24" s="1" customFormat="1" ht="52.05" customHeight="1" x14ac:dyDescent="0.3">
      <c r="A2278" s="11" t="s">
        <v>23</v>
      </c>
      <c r="B2278" s="11" t="s">
        <v>2190</v>
      </c>
      <c r="C2278" s="12" t="s">
        <v>2191</v>
      </c>
      <c r="D2278" s="63"/>
      <c r="E2278" s="43" t="str">
        <f>HYPERLINK("https://www.google.ru/search?q=006IH-0000&amp;newwindow=1&amp;tbm=isch","Еще фото")</f>
        <v>Еще фото</v>
      </c>
      <c r="F2278" s="14"/>
      <c r="G2278" s="11" t="s">
        <v>1534</v>
      </c>
      <c r="H2278" s="11" t="s">
        <v>27</v>
      </c>
      <c r="I2278" s="15" t="s">
        <v>2008</v>
      </c>
      <c r="J2278" s="15" t="s">
        <v>37</v>
      </c>
      <c r="K2278" s="16" t="s">
        <v>57</v>
      </c>
      <c r="L2278" s="60"/>
      <c r="M2278" s="15"/>
      <c r="N2278" s="15" t="s">
        <v>87</v>
      </c>
      <c r="O2278" s="15"/>
      <c r="P2278" s="16" t="s">
        <v>32</v>
      </c>
      <c r="Q2278" s="17">
        <v>3399</v>
      </c>
      <c r="R2278" s="18">
        <v>45</v>
      </c>
      <c r="S2278" s="19">
        <v>2149.8674999999998</v>
      </c>
      <c r="T2278" s="20" t="s">
        <v>33</v>
      </c>
      <c r="U2278" s="21" t="s">
        <v>34</v>
      </c>
      <c r="V2278" s="25" t="s">
        <v>90</v>
      </c>
      <c r="W2278" s="22">
        <v>1</v>
      </c>
      <c r="X2278" s="23"/>
    </row>
    <row r="2279" spans="1:24" s="1" customFormat="1" ht="61.05" customHeight="1" x14ac:dyDescent="0.3">
      <c r="A2279" s="24" t="s">
        <v>23</v>
      </c>
      <c r="B2279" s="24" t="s">
        <v>2190</v>
      </c>
      <c r="C2279" s="12" t="s">
        <v>2191</v>
      </c>
      <c r="D2279" s="64"/>
      <c r="E2279" s="43" t="str">
        <f>HYPERLINK("https://www.google.ru/search?q=006IH-0000&amp;newwindow=1&amp;tbm=isch","Еще фото")</f>
        <v>Еще фото</v>
      </c>
      <c r="F2279" s="14"/>
      <c r="G2279" s="24" t="s">
        <v>1534</v>
      </c>
      <c r="H2279" s="24" t="s">
        <v>27</v>
      </c>
      <c r="I2279" s="24" t="s">
        <v>2008</v>
      </c>
      <c r="J2279" s="15" t="s">
        <v>37</v>
      </c>
      <c r="K2279" s="16" t="s">
        <v>57</v>
      </c>
      <c r="L2279" s="62"/>
      <c r="M2279" s="15"/>
      <c r="N2279" s="15" t="s">
        <v>87</v>
      </c>
      <c r="O2279" s="15"/>
      <c r="P2279" s="16" t="s">
        <v>32</v>
      </c>
      <c r="Q2279" s="17">
        <v>3399</v>
      </c>
      <c r="R2279" s="18">
        <v>45</v>
      </c>
      <c r="S2279" s="19">
        <v>2149.8674999999998</v>
      </c>
      <c r="T2279" s="20" t="s">
        <v>33</v>
      </c>
      <c r="U2279" s="21" t="s">
        <v>150</v>
      </c>
      <c r="V2279" s="25" t="s">
        <v>761</v>
      </c>
      <c r="W2279" s="22">
        <v>1</v>
      </c>
      <c r="X2279" s="23"/>
    </row>
    <row r="2280" spans="1:24" s="1" customFormat="1" ht="52.05" customHeight="1" x14ac:dyDescent="0.3">
      <c r="A2280" s="11" t="s">
        <v>23</v>
      </c>
      <c r="B2280" s="11" t="s">
        <v>2190</v>
      </c>
      <c r="C2280" s="12" t="s">
        <v>2192</v>
      </c>
      <c r="D2280" s="63"/>
      <c r="E2280" s="43" t="str">
        <f>HYPERLINK("https://www.google.ru/search?q=006IH-0001&amp;newwindow=1&amp;tbm=isch","Еще фото")</f>
        <v>Еще фото</v>
      </c>
      <c r="F2280" s="14"/>
      <c r="G2280" s="11" t="s">
        <v>1534</v>
      </c>
      <c r="H2280" s="11" t="s">
        <v>27</v>
      </c>
      <c r="I2280" s="15" t="s">
        <v>2008</v>
      </c>
      <c r="J2280" s="15" t="s">
        <v>37</v>
      </c>
      <c r="K2280" s="16" t="s">
        <v>57</v>
      </c>
      <c r="L2280" s="60"/>
      <c r="M2280" s="15"/>
      <c r="N2280" s="15" t="s">
        <v>31</v>
      </c>
      <c r="O2280" s="15"/>
      <c r="P2280" s="16" t="s">
        <v>32</v>
      </c>
      <c r="Q2280" s="17">
        <v>3399</v>
      </c>
      <c r="R2280" s="18">
        <v>45</v>
      </c>
      <c r="S2280" s="19">
        <v>2149.8674999999998</v>
      </c>
      <c r="T2280" s="20" t="s">
        <v>33</v>
      </c>
      <c r="U2280" s="21" t="s">
        <v>34</v>
      </c>
      <c r="V2280" s="25" t="s">
        <v>90</v>
      </c>
      <c r="W2280" s="22">
        <v>1</v>
      </c>
      <c r="X2280" s="23"/>
    </row>
    <row r="2281" spans="1:24" s="1" customFormat="1" ht="61.05" customHeight="1" x14ac:dyDescent="0.3">
      <c r="A2281" s="24" t="s">
        <v>23</v>
      </c>
      <c r="B2281" s="24" t="s">
        <v>2190</v>
      </c>
      <c r="C2281" s="12" t="s">
        <v>2192</v>
      </c>
      <c r="D2281" s="64"/>
      <c r="E2281" s="43" t="str">
        <f>HYPERLINK("https://www.google.ru/search?q=006IH-0001&amp;newwindow=1&amp;tbm=isch","Еще фото")</f>
        <v>Еще фото</v>
      </c>
      <c r="F2281" s="14"/>
      <c r="G2281" s="24" t="s">
        <v>1534</v>
      </c>
      <c r="H2281" s="24" t="s">
        <v>27</v>
      </c>
      <c r="I2281" s="24" t="s">
        <v>2008</v>
      </c>
      <c r="J2281" s="15" t="s">
        <v>37</v>
      </c>
      <c r="K2281" s="16" t="s">
        <v>57</v>
      </c>
      <c r="L2281" s="62"/>
      <c r="M2281" s="15"/>
      <c r="N2281" s="15" t="s">
        <v>31</v>
      </c>
      <c r="O2281" s="15"/>
      <c r="P2281" s="16" t="s">
        <v>32</v>
      </c>
      <c r="Q2281" s="17">
        <v>3399</v>
      </c>
      <c r="R2281" s="18">
        <v>45</v>
      </c>
      <c r="S2281" s="19">
        <v>2149.8674999999998</v>
      </c>
      <c r="T2281" s="20" t="s">
        <v>33</v>
      </c>
      <c r="U2281" s="21" t="s">
        <v>150</v>
      </c>
      <c r="V2281" s="25" t="s">
        <v>761</v>
      </c>
      <c r="W2281" s="22">
        <v>1</v>
      </c>
      <c r="X2281" s="23"/>
    </row>
    <row r="2282" spans="1:24" s="1" customFormat="1" ht="108" customHeight="1" x14ac:dyDescent="0.3">
      <c r="A2282" s="11" t="s">
        <v>23</v>
      </c>
      <c r="B2282" s="11" t="s">
        <v>2190</v>
      </c>
      <c r="C2282" s="12" t="s">
        <v>2193</v>
      </c>
      <c r="D2282" s="13"/>
      <c r="E2282" s="43" t="str">
        <f>HYPERLINK("https://www.google.ru/search?q=006IH-0002&amp;newwindow=1&amp;tbm=isch","Еще фото")</f>
        <v>Еще фото</v>
      </c>
      <c r="F2282" s="34" t="s">
        <v>469</v>
      </c>
      <c r="G2282" s="11" t="s">
        <v>1534</v>
      </c>
      <c r="H2282" s="11" t="s">
        <v>27</v>
      </c>
      <c r="I2282" s="15" t="s">
        <v>2008</v>
      </c>
      <c r="J2282" s="15" t="s">
        <v>37</v>
      </c>
      <c r="K2282" s="16" t="s">
        <v>57</v>
      </c>
      <c r="L2282" s="15" t="s">
        <v>2194</v>
      </c>
      <c r="M2282" s="15"/>
      <c r="N2282" s="15" t="s">
        <v>130</v>
      </c>
      <c r="O2282" s="15"/>
      <c r="P2282" s="16" t="s">
        <v>32</v>
      </c>
      <c r="Q2282" s="17">
        <v>5799</v>
      </c>
      <c r="R2282" s="18">
        <v>45</v>
      </c>
      <c r="S2282" s="19">
        <v>3667.8674999999994</v>
      </c>
      <c r="T2282" s="20" t="s">
        <v>33</v>
      </c>
      <c r="U2282" s="21" t="s">
        <v>34</v>
      </c>
      <c r="V2282" s="25" t="s">
        <v>90</v>
      </c>
      <c r="W2282" s="22">
        <v>2</v>
      </c>
      <c r="X2282" s="23"/>
    </row>
    <row r="2283" spans="1:24" s="1" customFormat="1" ht="35" customHeight="1" x14ac:dyDescent="0.3">
      <c r="A2283" s="11" t="s">
        <v>23</v>
      </c>
      <c r="B2283" s="11" t="s">
        <v>2195</v>
      </c>
      <c r="C2283" s="12" t="s">
        <v>2196</v>
      </c>
      <c r="D2283" s="57"/>
      <c r="E2283" s="43" t="str">
        <f>HYPERLINK("https://www.google.ru/search?q=0085S-0000&amp;newwindow=1&amp;tbm=isch","Еще фото")</f>
        <v>Еще фото</v>
      </c>
      <c r="F2283" s="14"/>
      <c r="G2283" s="11" t="s">
        <v>2050</v>
      </c>
      <c r="H2283" s="11" t="s">
        <v>27</v>
      </c>
      <c r="I2283" s="15" t="s">
        <v>2008</v>
      </c>
      <c r="J2283" s="15" t="s">
        <v>37</v>
      </c>
      <c r="K2283" s="16" t="s">
        <v>29</v>
      </c>
      <c r="L2283" s="60"/>
      <c r="M2283" s="15"/>
      <c r="N2283" s="15" t="s">
        <v>31</v>
      </c>
      <c r="O2283" s="15"/>
      <c r="P2283" s="16" t="s">
        <v>32</v>
      </c>
      <c r="Q2283" s="17">
        <v>7599</v>
      </c>
      <c r="R2283" s="18">
        <v>45</v>
      </c>
      <c r="S2283" s="19">
        <v>4806.3674999999994</v>
      </c>
      <c r="T2283" s="20" t="s">
        <v>33</v>
      </c>
      <c r="U2283" s="21" t="s">
        <v>61</v>
      </c>
      <c r="V2283" s="22">
        <v>42</v>
      </c>
      <c r="W2283" s="22">
        <v>1</v>
      </c>
      <c r="X2283" s="23"/>
    </row>
    <row r="2284" spans="1:24" s="1" customFormat="1" ht="35" customHeight="1" x14ac:dyDescent="0.3">
      <c r="A2284" s="24" t="s">
        <v>23</v>
      </c>
      <c r="B2284" s="24" t="s">
        <v>2195</v>
      </c>
      <c r="C2284" s="12" t="s">
        <v>2196</v>
      </c>
      <c r="D2284" s="58"/>
      <c r="E2284" s="43" t="str">
        <f>HYPERLINK("https://www.google.ru/search?q=0085S-0000&amp;newwindow=1&amp;tbm=isch","Еще фото")</f>
        <v>Еще фото</v>
      </c>
      <c r="F2284" s="14"/>
      <c r="G2284" s="24" t="s">
        <v>2050</v>
      </c>
      <c r="H2284" s="24" t="s">
        <v>27</v>
      </c>
      <c r="I2284" s="24" t="s">
        <v>2008</v>
      </c>
      <c r="J2284" s="15" t="s">
        <v>37</v>
      </c>
      <c r="K2284" s="16" t="s">
        <v>29</v>
      </c>
      <c r="L2284" s="61"/>
      <c r="M2284" s="15"/>
      <c r="N2284" s="15" t="s">
        <v>31</v>
      </c>
      <c r="O2284" s="15"/>
      <c r="P2284" s="16" t="s">
        <v>32</v>
      </c>
      <c r="Q2284" s="17">
        <v>7599</v>
      </c>
      <c r="R2284" s="18">
        <v>45</v>
      </c>
      <c r="S2284" s="19">
        <v>4806.3674999999994</v>
      </c>
      <c r="T2284" s="20" t="s">
        <v>33</v>
      </c>
      <c r="U2284" s="21" t="s">
        <v>62</v>
      </c>
      <c r="V2284" s="22">
        <v>44</v>
      </c>
      <c r="W2284" s="22">
        <v>2</v>
      </c>
      <c r="X2284" s="23"/>
    </row>
    <row r="2285" spans="1:24" s="1" customFormat="1" ht="37.049999999999997" customHeight="1" x14ac:dyDescent="0.3">
      <c r="A2285" s="24" t="s">
        <v>23</v>
      </c>
      <c r="B2285" s="24" t="s">
        <v>2195</v>
      </c>
      <c r="C2285" s="12" t="s">
        <v>2196</v>
      </c>
      <c r="D2285" s="59"/>
      <c r="E2285" s="43" t="str">
        <f>HYPERLINK("https://www.google.ru/search?q=0085S-0000&amp;newwindow=1&amp;tbm=isch","Еще фото")</f>
        <v>Еще фото</v>
      </c>
      <c r="F2285" s="14"/>
      <c r="G2285" s="24" t="s">
        <v>2050</v>
      </c>
      <c r="H2285" s="24" t="s">
        <v>27</v>
      </c>
      <c r="I2285" s="24" t="s">
        <v>2008</v>
      </c>
      <c r="J2285" s="15" t="s">
        <v>37</v>
      </c>
      <c r="K2285" s="16" t="s">
        <v>29</v>
      </c>
      <c r="L2285" s="62"/>
      <c r="M2285" s="15"/>
      <c r="N2285" s="15" t="s">
        <v>31</v>
      </c>
      <c r="O2285" s="15"/>
      <c r="P2285" s="16" t="s">
        <v>32</v>
      </c>
      <c r="Q2285" s="17">
        <v>7599</v>
      </c>
      <c r="R2285" s="18">
        <v>45</v>
      </c>
      <c r="S2285" s="19">
        <v>4806.3674999999994</v>
      </c>
      <c r="T2285" s="20" t="s">
        <v>33</v>
      </c>
      <c r="U2285" s="21" t="s">
        <v>64</v>
      </c>
      <c r="V2285" s="22">
        <v>46</v>
      </c>
      <c r="W2285" s="22">
        <v>1</v>
      </c>
      <c r="X2285" s="23"/>
    </row>
    <row r="2286" spans="1:24" s="1" customFormat="1" ht="26" customHeight="1" x14ac:dyDescent="0.3">
      <c r="A2286" s="11" t="s">
        <v>23</v>
      </c>
      <c r="B2286" s="11" t="s">
        <v>2197</v>
      </c>
      <c r="C2286" s="12" t="s">
        <v>2198</v>
      </c>
      <c r="D2286" s="57"/>
      <c r="E2286" s="43" t="str">
        <f>HYPERLINK("https://www.google.ru/search?q=0087F-0007&amp;newwindow=1&amp;tbm=isch","Еще фото")</f>
        <v>Еще фото</v>
      </c>
      <c r="F2286" s="14"/>
      <c r="G2286" s="11" t="s">
        <v>2050</v>
      </c>
      <c r="H2286" s="11" t="s">
        <v>27</v>
      </c>
      <c r="I2286" s="15" t="s">
        <v>2008</v>
      </c>
      <c r="J2286" s="15" t="s">
        <v>37</v>
      </c>
      <c r="K2286" s="16" t="s">
        <v>29</v>
      </c>
      <c r="L2286" s="60"/>
      <c r="M2286" s="15"/>
      <c r="N2286" s="15" t="s">
        <v>59</v>
      </c>
      <c r="O2286" s="15"/>
      <c r="P2286" s="16" t="s">
        <v>2199</v>
      </c>
      <c r="Q2286" s="17">
        <v>9099</v>
      </c>
      <c r="R2286" s="18">
        <v>45</v>
      </c>
      <c r="S2286" s="19">
        <v>5755.1174999999994</v>
      </c>
      <c r="T2286" s="20" t="s">
        <v>33</v>
      </c>
      <c r="U2286" s="21" t="s">
        <v>61</v>
      </c>
      <c r="V2286" s="22">
        <v>42</v>
      </c>
      <c r="W2286" s="22">
        <v>6</v>
      </c>
      <c r="X2286" s="23"/>
    </row>
    <row r="2287" spans="1:24" s="1" customFormat="1" ht="26" customHeight="1" x14ac:dyDescent="0.3">
      <c r="A2287" s="24" t="s">
        <v>23</v>
      </c>
      <c r="B2287" s="24" t="s">
        <v>2197</v>
      </c>
      <c r="C2287" s="12" t="s">
        <v>2198</v>
      </c>
      <c r="D2287" s="58"/>
      <c r="E2287" s="43" t="str">
        <f>HYPERLINK("https://www.google.ru/search?q=0087F-0007&amp;newwindow=1&amp;tbm=isch","Еще фото")</f>
        <v>Еще фото</v>
      </c>
      <c r="F2287" s="14"/>
      <c r="G2287" s="24" t="s">
        <v>2050</v>
      </c>
      <c r="H2287" s="24" t="s">
        <v>27</v>
      </c>
      <c r="I2287" s="24" t="s">
        <v>2008</v>
      </c>
      <c r="J2287" s="15" t="s">
        <v>37</v>
      </c>
      <c r="K2287" s="16" t="s">
        <v>29</v>
      </c>
      <c r="L2287" s="61"/>
      <c r="M2287" s="15"/>
      <c r="N2287" s="15" t="s">
        <v>59</v>
      </c>
      <c r="O2287" s="15"/>
      <c r="P2287" s="16" t="s">
        <v>2199</v>
      </c>
      <c r="Q2287" s="17">
        <v>9099</v>
      </c>
      <c r="R2287" s="18">
        <v>45</v>
      </c>
      <c r="S2287" s="19">
        <v>5755.1174999999994</v>
      </c>
      <c r="T2287" s="20" t="s">
        <v>33</v>
      </c>
      <c r="U2287" s="21" t="s">
        <v>62</v>
      </c>
      <c r="V2287" s="22">
        <v>44</v>
      </c>
      <c r="W2287" s="22">
        <v>12</v>
      </c>
      <c r="X2287" s="23"/>
    </row>
    <row r="2288" spans="1:24" s="1" customFormat="1" ht="26" customHeight="1" x14ac:dyDescent="0.3">
      <c r="A2288" s="24" t="s">
        <v>23</v>
      </c>
      <c r="B2288" s="24" t="s">
        <v>2197</v>
      </c>
      <c r="C2288" s="12" t="s">
        <v>2198</v>
      </c>
      <c r="D2288" s="58"/>
      <c r="E2288" s="43" t="str">
        <f>HYPERLINK("https://www.google.ru/search?q=0087F-0007&amp;newwindow=1&amp;tbm=isch","Еще фото")</f>
        <v>Еще фото</v>
      </c>
      <c r="F2288" s="14"/>
      <c r="G2288" s="24" t="s">
        <v>2050</v>
      </c>
      <c r="H2288" s="24" t="s">
        <v>27</v>
      </c>
      <c r="I2288" s="24" t="s">
        <v>2008</v>
      </c>
      <c r="J2288" s="15" t="s">
        <v>37</v>
      </c>
      <c r="K2288" s="16" t="s">
        <v>29</v>
      </c>
      <c r="L2288" s="61"/>
      <c r="M2288" s="15"/>
      <c r="N2288" s="15" t="s">
        <v>59</v>
      </c>
      <c r="O2288" s="15"/>
      <c r="P2288" s="16" t="s">
        <v>2199</v>
      </c>
      <c r="Q2288" s="17">
        <v>9099</v>
      </c>
      <c r="R2288" s="18">
        <v>45</v>
      </c>
      <c r="S2288" s="19">
        <v>5755.1174999999994</v>
      </c>
      <c r="T2288" s="20" t="s">
        <v>33</v>
      </c>
      <c r="U2288" s="21" t="s">
        <v>64</v>
      </c>
      <c r="V2288" s="22">
        <v>46</v>
      </c>
      <c r="W2288" s="22">
        <v>20</v>
      </c>
      <c r="X2288" s="23"/>
    </row>
    <row r="2289" spans="1:24" s="1" customFormat="1" ht="26" customHeight="1" x14ac:dyDescent="0.3">
      <c r="A2289" s="24" t="s">
        <v>23</v>
      </c>
      <c r="B2289" s="24" t="s">
        <v>2197</v>
      </c>
      <c r="C2289" s="12" t="s">
        <v>2198</v>
      </c>
      <c r="D2289" s="59"/>
      <c r="E2289" s="43" t="str">
        <f>HYPERLINK("https://www.google.ru/search?q=0087F-0007&amp;newwindow=1&amp;tbm=isch","Еще фото")</f>
        <v>Еще фото</v>
      </c>
      <c r="F2289" s="14"/>
      <c r="G2289" s="24" t="s">
        <v>2050</v>
      </c>
      <c r="H2289" s="24" t="s">
        <v>27</v>
      </c>
      <c r="I2289" s="24" t="s">
        <v>2008</v>
      </c>
      <c r="J2289" s="15" t="s">
        <v>37</v>
      </c>
      <c r="K2289" s="16" t="s">
        <v>29</v>
      </c>
      <c r="L2289" s="62"/>
      <c r="M2289" s="15"/>
      <c r="N2289" s="15" t="s">
        <v>59</v>
      </c>
      <c r="O2289" s="15"/>
      <c r="P2289" s="16" t="s">
        <v>2199</v>
      </c>
      <c r="Q2289" s="17">
        <v>9099</v>
      </c>
      <c r="R2289" s="18">
        <v>45</v>
      </c>
      <c r="S2289" s="19">
        <v>5755.1174999999994</v>
      </c>
      <c r="T2289" s="20" t="s">
        <v>33</v>
      </c>
      <c r="U2289" s="21" t="s">
        <v>34</v>
      </c>
      <c r="V2289" s="22">
        <v>48</v>
      </c>
      <c r="W2289" s="22">
        <v>15</v>
      </c>
      <c r="X2289" s="23"/>
    </row>
    <row r="2290" spans="1:24" s="1" customFormat="1" ht="26" customHeight="1" x14ac:dyDescent="0.3">
      <c r="A2290" s="11" t="s">
        <v>23</v>
      </c>
      <c r="B2290" s="11" t="s">
        <v>2197</v>
      </c>
      <c r="C2290" s="12" t="s">
        <v>2200</v>
      </c>
      <c r="D2290" s="57"/>
      <c r="E2290" s="43" t="str">
        <f>HYPERLINK("https://www.google.ru/search?q=0087F-0008&amp;newwindow=1&amp;tbm=isch","Еще фото")</f>
        <v>Еще фото</v>
      </c>
      <c r="F2290" s="14"/>
      <c r="G2290" s="11" t="s">
        <v>2050</v>
      </c>
      <c r="H2290" s="11" t="s">
        <v>27</v>
      </c>
      <c r="I2290" s="15" t="s">
        <v>2008</v>
      </c>
      <c r="J2290" s="15" t="s">
        <v>37</v>
      </c>
      <c r="K2290" s="16" t="s">
        <v>29</v>
      </c>
      <c r="L2290" s="60"/>
      <c r="M2290" s="15"/>
      <c r="N2290" s="15" t="s">
        <v>87</v>
      </c>
      <c r="O2290" s="15"/>
      <c r="P2290" s="16" t="s">
        <v>2199</v>
      </c>
      <c r="Q2290" s="17">
        <v>9099</v>
      </c>
      <c r="R2290" s="18">
        <v>45</v>
      </c>
      <c r="S2290" s="19">
        <v>5755.1174999999994</v>
      </c>
      <c r="T2290" s="20" t="s">
        <v>33</v>
      </c>
      <c r="U2290" s="21" t="s">
        <v>61</v>
      </c>
      <c r="V2290" s="22">
        <v>42</v>
      </c>
      <c r="W2290" s="22">
        <v>6</v>
      </c>
      <c r="X2290" s="23"/>
    </row>
    <row r="2291" spans="1:24" s="1" customFormat="1" ht="26" customHeight="1" x14ac:dyDescent="0.3">
      <c r="A2291" s="24" t="s">
        <v>23</v>
      </c>
      <c r="B2291" s="24" t="s">
        <v>2197</v>
      </c>
      <c r="C2291" s="12" t="s">
        <v>2200</v>
      </c>
      <c r="D2291" s="58"/>
      <c r="E2291" s="43" t="str">
        <f>HYPERLINK("https://www.google.ru/search?q=0087F-0008&amp;newwindow=1&amp;tbm=isch","Еще фото")</f>
        <v>Еще фото</v>
      </c>
      <c r="F2291" s="14"/>
      <c r="G2291" s="24" t="s">
        <v>2050</v>
      </c>
      <c r="H2291" s="24" t="s">
        <v>27</v>
      </c>
      <c r="I2291" s="24" t="s">
        <v>2008</v>
      </c>
      <c r="J2291" s="15" t="s">
        <v>37</v>
      </c>
      <c r="K2291" s="16" t="s">
        <v>29</v>
      </c>
      <c r="L2291" s="61"/>
      <c r="M2291" s="15"/>
      <c r="N2291" s="15" t="s">
        <v>87</v>
      </c>
      <c r="O2291" s="15"/>
      <c r="P2291" s="16" t="s">
        <v>2199</v>
      </c>
      <c r="Q2291" s="17">
        <v>9099</v>
      </c>
      <c r="R2291" s="18">
        <v>45</v>
      </c>
      <c r="S2291" s="19">
        <v>5755.1174999999994</v>
      </c>
      <c r="T2291" s="20" t="s">
        <v>33</v>
      </c>
      <c r="U2291" s="21" t="s">
        <v>62</v>
      </c>
      <c r="V2291" s="22">
        <v>44</v>
      </c>
      <c r="W2291" s="22">
        <v>12</v>
      </c>
      <c r="X2291" s="23"/>
    </row>
    <row r="2292" spans="1:24" s="1" customFormat="1" ht="26" customHeight="1" x14ac:dyDescent="0.3">
      <c r="A2292" s="24" t="s">
        <v>23</v>
      </c>
      <c r="B2292" s="24" t="s">
        <v>2197</v>
      </c>
      <c r="C2292" s="12" t="s">
        <v>2200</v>
      </c>
      <c r="D2292" s="58"/>
      <c r="E2292" s="43" t="str">
        <f>HYPERLINK("https://www.google.ru/search?q=0087F-0008&amp;newwindow=1&amp;tbm=isch","Еще фото")</f>
        <v>Еще фото</v>
      </c>
      <c r="F2292" s="14"/>
      <c r="G2292" s="24" t="s">
        <v>2050</v>
      </c>
      <c r="H2292" s="24" t="s">
        <v>27</v>
      </c>
      <c r="I2292" s="24" t="s">
        <v>2008</v>
      </c>
      <c r="J2292" s="15" t="s">
        <v>37</v>
      </c>
      <c r="K2292" s="16" t="s">
        <v>29</v>
      </c>
      <c r="L2292" s="61"/>
      <c r="M2292" s="15"/>
      <c r="N2292" s="15" t="s">
        <v>87</v>
      </c>
      <c r="O2292" s="15"/>
      <c r="P2292" s="16" t="s">
        <v>2199</v>
      </c>
      <c r="Q2292" s="17">
        <v>9099</v>
      </c>
      <c r="R2292" s="18">
        <v>45</v>
      </c>
      <c r="S2292" s="19">
        <v>5755.1174999999994</v>
      </c>
      <c r="T2292" s="20" t="s">
        <v>33</v>
      </c>
      <c r="U2292" s="21" t="s">
        <v>64</v>
      </c>
      <c r="V2292" s="22">
        <v>46</v>
      </c>
      <c r="W2292" s="22">
        <v>20</v>
      </c>
      <c r="X2292" s="23"/>
    </row>
    <row r="2293" spans="1:24" s="1" customFormat="1" ht="26" customHeight="1" x14ac:dyDescent="0.3">
      <c r="A2293" s="24" t="s">
        <v>23</v>
      </c>
      <c r="B2293" s="24" t="s">
        <v>2197</v>
      </c>
      <c r="C2293" s="12" t="s">
        <v>2200</v>
      </c>
      <c r="D2293" s="59"/>
      <c r="E2293" s="43" t="str">
        <f>HYPERLINK("https://www.google.ru/search?q=0087F-0008&amp;newwindow=1&amp;tbm=isch","Еще фото")</f>
        <v>Еще фото</v>
      </c>
      <c r="F2293" s="14"/>
      <c r="G2293" s="24" t="s">
        <v>2050</v>
      </c>
      <c r="H2293" s="24" t="s">
        <v>27</v>
      </c>
      <c r="I2293" s="24" t="s">
        <v>2008</v>
      </c>
      <c r="J2293" s="15" t="s">
        <v>37</v>
      </c>
      <c r="K2293" s="16" t="s">
        <v>29</v>
      </c>
      <c r="L2293" s="62"/>
      <c r="M2293" s="15"/>
      <c r="N2293" s="15" t="s">
        <v>87</v>
      </c>
      <c r="O2293" s="15"/>
      <c r="P2293" s="16" t="s">
        <v>2199</v>
      </c>
      <c r="Q2293" s="17">
        <v>9099</v>
      </c>
      <c r="R2293" s="18">
        <v>45</v>
      </c>
      <c r="S2293" s="19">
        <v>5755.1174999999994</v>
      </c>
      <c r="T2293" s="20" t="s">
        <v>33</v>
      </c>
      <c r="U2293" s="21" t="s">
        <v>34</v>
      </c>
      <c r="V2293" s="22">
        <v>48</v>
      </c>
      <c r="W2293" s="22">
        <v>16</v>
      </c>
      <c r="X2293" s="23"/>
    </row>
    <row r="2294" spans="1:24" s="1" customFormat="1" ht="26" customHeight="1" x14ac:dyDescent="0.3">
      <c r="A2294" s="11" t="s">
        <v>23</v>
      </c>
      <c r="B2294" s="11" t="s">
        <v>2197</v>
      </c>
      <c r="C2294" s="12" t="s">
        <v>2201</v>
      </c>
      <c r="D2294" s="57"/>
      <c r="E2294" s="43" t="str">
        <f>HYPERLINK("https://www.google.ru/search?q=0087F-0009&amp;newwindow=1&amp;tbm=isch","Еще фото")</f>
        <v>Еще фото</v>
      </c>
      <c r="F2294" s="14"/>
      <c r="G2294" s="11" t="s">
        <v>2050</v>
      </c>
      <c r="H2294" s="11" t="s">
        <v>27</v>
      </c>
      <c r="I2294" s="15" t="s">
        <v>2008</v>
      </c>
      <c r="J2294" s="15" t="s">
        <v>37</v>
      </c>
      <c r="K2294" s="16" t="s">
        <v>29</v>
      </c>
      <c r="L2294" s="60"/>
      <c r="M2294" s="15"/>
      <c r="N2294" s="15" t="s">
        <v>87</v>
      </c>
      <c r="O2294" s="15"/>
      <c r="P2294" s="16" t="s">
        <v>2199</v>
      </c>
      <c r="Q2294" s="17">
        <v>9099</v>
      </c>
      <c r="R2294" s="18">
        <v>45</v>
      </c>
      <c r="S2294" s="19">
        <v>5755.1174999999994</v>
      </c>
      <c r="T2294" s="20" t="s">
        <v>33</v>
      </c>
      <c r="U2294" s="21" t="s">
        <v>61</v>
      </c>
      <c r="V2294" s="22">
        <v>42</v>
      </c>
      <c r="W2294" s="22">
        <v>5</v>
      </c>
      <c r="X2294" s="23"/>
    </row>
    <row r="2295" spans="1:24" s="1" customFormat="1" ht="26" customHeight="1" x14ac:dyDescent="0.3">
      <c r="A2295" s="24" t="s">
        <v>23</v>
      </c>
      <c r="B2295" s="24" t="s">
        <v>2197</v>
      </c>
      <c r="C2295" s="12" t="s">
        <v>2201</v>
      </c>
      <c r="D2295" s="58"/>
      <c r="E2295" s="43" t="str">
        <f>HYPERLINK("https://www.google.ru/search?q=0087F-0009&amp;newwindow=1&amp;tbm=isch","Еще фото")</f>
        <v>Еще фото</v>
      </c>
      <c r="F2295" s="14"/>
      <c r="G2295" s="24" t="s">
        <v>2050</v>
      </c>
      <c r="H2295" s="24" t="s">
        <v>27</v>
      </c>
      <c r="I2295" s="24" t="s">
        <v>2008</v>
      </c>
      <c r="J2295" s="15" t="s">
        <v>37</v>
      </c>
      <c r="K2295" s="16" t="s">
        <v>29</v>
      </c>
      <c r="L2295" s="61"/>
      <c r="M2295" s="15"/>
      <c r="N2295" s="15" t="s">
        <v>87</v>
      </c>
      <c r="O2295" s="15"/>
      <c r="P2295" s="16" t="s">
        <v>2199</v>
      </c>
      <c r="Q2295" s="17">
        <v>9099</v>
      </c>
      <c r="R2295" s="18">
        <v>45</v>
      </c>
      <c r="S2295" s="19">
        <v>5755.1174999999994</v>
      </c>
      <c r="T2295" s="20" t="s">
        <v>33</v>
      </c>
      <c r="U2295" s="21" t="s">
        <v>62</v>
      </c>
      <c r="V2295" s="22">
        <v>44</v>
      </c>
      <c r="W2295" s="22">
        <v>11</v>
      </c>
      <c r="X2295" s="23"/>
    </row>
    <row r="2296" spans="1:24" s="1" customFormat="1" ht="26" customHeight="1" x14ac:dyDescent="0.3">
      <c r="A2296" s="24" t="s">
        <v>23</v>
      </c>
      <c r="B2296" s="24" t="s">
        <v>2197</v>
      </c>
      <c r="C2296" s="12" t="s">
        <v>2201</v>
      </c>
      <c r="D2296" s="58"/>
      <c r="E2296" s="43" t="str">
        <f>HYPERLINK("https://www.google.ru/search?q=0087F-0009&amp;newwindow=1&amp;tbm=isch","Еще фото")</f>
        <v>Еще фото</v>
      </c>
      <c r="F2296" s="14"/>
      <c r="G2296" s="24" t="s">
        <v>2050</v>
      </c>
      <c r="H2296" s="24" t="s">
        <v>27</v>
      </c>
      <c r="I2296" s="24" t="s">
        <v>2008</v>
      </c>
      <c r="J2296" s="15" t="s">
        <v>37</v>
      </c>
      <c r="K2296" s="16" t="s">
        <v>29</v>
      </c>
      <c r="L2296" s="61"/>
      <c r="M2296" s="15"/>
      <c r="N2296" s="15" t="s">
        <v>87</v>
      </c>
      <c r="O2296" s="15"/>
      <c r="P2296" s="16" t="s">
        <v>2199</v>
      </c>
      <c r="Q2296" s="17">
        <v>9099</v>
      </c>
      <c r="R2296" s="18">
        <v>45</v>
      </c>
      <c r="S2296" s="19">
        <v>5755.1174999999994</v>
      </c>
      <c r="T2296" s="20" t="s">
        <v>33</v>
      </c>
      <c r="U2296" s="21" t="s">
        <v>64</v>
      </c>
      <c r="V2296" s="22">
        <v>46</v>
      </c>
      <c r="W2296" s="22">
        <v>19</v>
      </c>
      <c r="X2296" s="23"/>
    </row>
    <row r="2297" spans="1:24" s="1" customFormat="1" ht="26" customHeight="1" x14ac:dyDescent="0.3">
      <c r="A2297" s="24" t="s">
        <v>23</v>
      </c>
      <c r="B2297" s="24" t="s">
        <v>2197</v>
      </c>
      <c r="C2297" s="12" t="s">
        <v>2201</v>
      </c>
      <c r="D2297" s="59"/>
      <c r="E2297" s="43" t="str">
        <f>HYPERLINK("https://www.google.ru/search?q=0087F-0009&amp;newwindow=1&amp;tbm=isch","Еще фото")</f>
        <v>Еще фото</v>
      </c>
      <c r="F2297" s="14"/>
      <c r="G2297" s="24" t="s">
        <v>2050</v>
      </c>
      <c r="H2297" s="24" t="s">
        <v>27</v>
      </c>
      <c r="I2297" s="24" t="s">
        <v>2008</v>
      </c>
      <c r="J2297" s="15" t="s">
        <v>37</v>
      </c>
      <c r="K2297" s="16" t="s">
        <v>29</v>
      </c>
      <c r="L2297" s="62"/>
      <c r="M2297" s="15"/>
      <c r="N2297" s="15" t="s">
        <v>87</v>
      </c>
      <c r="O2297" s="15"/>
      <c r="P2297" s="16" t="s">
        <v>2199</v>
      </c>
      <c r="Q2297" s="17">
        <v>9099</v>
      </c>
      <c r="R2297" s="18">
        <v>45</v>
      </c>
      <c r="S2297" s="19">
        <v>5755.1174999999994</v>
      </c>
      <c r="T2297" s="20" t="s">
        <v>33</v>
      </c>
      <c r="U2297" s="21" t="s">
        <v>34</v>
      </c>
      <c r="V2297" s="22">
        <v>48</v>
      </c>
      <c r="W2297" s="22">
        <v>14</v>
      </c>
      <c r="X2297" s="23"/>
    </row>
    <row r="2298" spans="1:24" s="1" customFormat="1" ht="26" customHeight="1" x14ac:dyDescent="0.3">
      <c r="A2298" s="11" t="s">
        <v>23</v>
      </c>
      <c r="B2298" s="11" t="s">
        <v>2202</v>
      </c>
      <c r="C2298" s="12" t="s">
        <v>2203</v>
      </c>
      <c r="D2298" s="57"/>
      <c r="E2298" s="43" t="str">
        <f>HYPERLINK("https://www.google.ru/search?q=0088C-0000&amp;newwindow=1&amp;tbm=isch","Еще фото")</f>
        <v>Еще фото</v>
      </c>
      <c r="F2298" s="14" t="s">
        <v>182</v>
      </c>
      <c r="G2298" s="11" t="s">
        <v>2050</v>
      </c>
      <c r="H2298" s="11" t="s">
        <v>27</v>
      </c>
      <c r="I2298" s="15" t="s">
        <v>2008</v>
      </c>
      <c r="J2298" s="15" t="s">
        <v>37</v>
      </c>
      <c r="K2298" s="16" t="s">
        <v>29</v>
      </c>
      <c r="L2298" s="60"/>
      <c r="M2298" s="15"/>
      <c r="N2298" s="15" t="s">
        <v>39</v>
      </c>
      <c r="O2298" s="15"/>
      <c r="P2298" s="16" t="s">
        <v>2125</v>
      </c>
      <c r="Q2298" s="17">
        <v>6999</v>
      </c>
      <c r="R2298" s="18">
        <v>45</v>
      </c>
      <c r="S2298" s="19">
        <v>4426.8674999999994</v>
      </c>
      <c r="T2298" s="20" t="s">
        <v>33</v>
      </c>
      <c r="U2298" s="21" t="s">
        <v>61</v>
      </c>
      <c r="V2298" s="22">
        <v>42</v>
      </c>
      <c r="W2298" s="22">
        <v>7</v>
      </c>
      <c r="X2298" s="23"/>
    </row>
    <row r="2299" spans="1:24" s="1" customFormat="1" ht="26" customHeight="1" x14ac:dyDescent="0.3">
      <c r="A2299" s="24" t="s">
        <v>23</v>
      </c>
      <c r="B2299" s="24" t="s">
        <v>2202</v>
      </c>
      <c r="C2299" s="12" t="s">
        <v>2203</v>
      </c>
      <c r="D2299" s="58"/>
      <c r="E2299" s="43" t="str">
        <f>HYPERLINK("https://www.google.ru/search?q=0088C-0000&amp;newwindow=1&amp;tbm=isch","Еще фото")</f>
        <v>Еще фото</v>
      </c>
      <c r="F2299" s="14" t="s">
        <v>182</v>
      </c>
      <c r="G2299" s="24" t="s">
        <v>2050</v>
      </c>
      <c r="H2299" s="24" t="s">
        <v>27</v>
      </c>
      <c r="I2299" s="24" t="s">
        <v>2008</v>
      </c>
      <c r="J2299" s="15" t="s">
        <v>37</v>
      </c>
      <c r="K2299" s="16" t="s">
        <v>29</v>
      </c>
      <c r="L2299" s="61"/>
      <c r="M2299" s="15"/>
      <c r="N2299" s="15" t="s">
        <v>39</v>
      </c>
      <c r="O2299" s="15"/>
      <c r="P2299" s="16" t="s">
        <v>2125</v>
      </c>
      <c r="Q2299" s="17">
        <v>6999</v>
      </c>
      <c r="R2299" s="18">
        <v>45</v>
      </c>
      <c r="S2299" s="19">
        <v>4426.8674999999994</v>
      </c>
      <c r="T2299" s="20" t="s">
        <v>33</v>
      </c>
      <c r="U2299" s="21" t="s">
        <v>62</v>
      </c>
      <c r="V2299" s="22">
        <v>44</v>
      </c>
      <c r="W2299" s="22">
        <v>16</v>
      </c>
      <c r="X2299" s="23"/>
    </row>
    <row r="2300" spans="1:24" s="1" customFormat="1" ht="26" customHeight="1" x14ac:dyDescent="0.3">
      <c r="A2300" s="24" t="s">
        <v>23</v>
      </c>
      <c r="B2300" s="24" t="s">
        <v>2202</v>
      </c>
      <c r="C2300" s="12" t="s">
        <v>2203</v>
      </c>
      <c r="D2300" s="58"/>
      <c r="E2300" s="43" t="str">
        <f>HYPERLINK("https://www.google.ru/search?q=0088C-0000&amp;newwindow=1&amp;tbm=isch","Еще фото")</f>
        <v>Еще фото</v>
      </c>
      <c r="F2300" s="14" t="s">
        <v>182</v>
      </c>
      <c r="G2300" s="24" t="s">
        <v>2050</v>
      </c>
      <c r="H2300" s="24" t="s">
        <v>27</v>
      </c>
      <c r="I2300" s="24" t="s">
        <v>2008</v>
      </c>
      <c r="J2300" s="15" t="s">
        <v>37</v>
      </c>
      <c r="K2300" s="16" t="s">
        <v>29</v>
      </c>
      <c r="L2300" s="61"/>
      <c r="M2300" s="15"/>
      <c r="N2300" s="15" t="s">
        <v>39</v>
      </c>
      <c r="O2300" s="15"/>
      <c r="P2300" s="16" t="s">
        <v>2125</v>
      </c>
      <c r="Q2300" s="17">
        <v>6999</v>
      </c>
      <c r="R2300" s="18">
        <v>45</v>
      </c>
      <c r="S2300" s="19">
        <v>4426.8674999999994</v>
      </c>
      <c r="T2300" s="20" t="s">
        <v>33</v>
      </c>
      <c r="U2300" s="21" t="s">
        <v>64</v>
      </c>
      <c r="V2300" s="22">
        <v>46</v>
      </c>
      <c r="W2300" s="22">
        <v>24</v>
      </c>
      <c r="X2300" s="23"/>
    </row>
    <row r="2301" spans="1:24" s="1" customFormat="1" ht="26" customHeight="1" x14ac:dyDescent="0.3">
      <c r="A2301" s="24" t="s">
        <v>23</v>
      </c>
      <c r="B2301" s="24" t="s">
        <v>2202</v>
      </c>
      <c r="C2301" s="12" t="s">
        <v>2203</v>
      </c>
      <c r="D2301" s="59"/>
      <c r="E2301" s="43" t="str">
        <f>HYPERLINK("https://www.google.ru/search?q=0088C-0000&amp;newwindow=1&amp;tbm=isch","Еще фото")</f>
        <v>Еще фото</v>
      </c>
      <c r="F2301" s="14" t="s">
        <v>182</v>
      </c>
      <c r="G2301" s="24" t="s">
        <v>2050</v>
      </c>
      <c r="H2301" s="24" t="s">
        <v>27</v>
      </c>
      <c r="I2301" s="24" t="s">
        <v>2008</v>
      </c>
      <c r="J2301" s="15" t="s">
        <v>37</v>
      </c>
      <c r="K2301" s="16" t="s">
        <v>29</v>
      </c>
      <c r="L2301" s="62"/>
      <c r="M2301" s="15"/>
      <c r="N2301" s="15" t="s">
        <v>39</v>
      </c>
      <c r="O2301" s="15"/>
      <c r="P2301" s="16" t="s">
        <v>2125</v>
      </c>
      <c r="Q2301" s="17">
        <v>6999</v>
      </c>
      <c r="R2301" s="18">
        <v>45</v>
      </c>
      <c r="S2301" s="19">
        <v>4426.8674999999994</v>
      </c>
      <c r="T2301" s="20" t="s">
        <v>33</v>
      </c>
      <c r="U2301" s="21" t="s">
        <v>34</v>
      </c>
      <c r="V2301" s="22">
        <v>48</v>
      </c>
      <c r="W2301" s="22">
        <v>24</v>
      </c>
      <c r="X2301" s="23"/>
    </row>
    <row r="2302" spans="1:24" s="1" customFormat="1" ht="26" customHeight="1" x14ac:dyDescent="0.3">
      <c r="A2302" s="11" t="s">
        <v>23</v>
      </c>
      <c r="B2302" s="11" t="s">
        <v>2202</v>
      </c>
      <c r="C2302" s="12" t="s">
        <v>2204</v>
      </c>
      <c r="D2302" s="57"/>
      <c r="E2302" s="43" t="str">
        <f>HYPERLINK("https://www.google.ru/search?q=0088C-0003&amp;newwindow=1&amp;tbm=isch","Еще фото")</f>
        <v>Еще фото</v>
      </c>
      <c r="F2302" s="14"/>
      <c r="G2302" s="11" t="s">
        <v>2050</v>
      </c>
      <c r="H2302" s="11" t="s">
        <v>27</v>
      </c>
      <c r="I2302" s="15" t="s">
        <v>2008</v>
      </c>
      <c r="J2302" s="15" t="s">
        <v>37</v>
      </c>
      <c r="K2302" s="16" t="s">
        <v>29</v>
      </c>
      <c r="L2302" s="60"/>
      <c r="M2302" s="15"/>
      <c r="N2302" s="15" t="s">
        <v>87</v>
      </c>
      <c r="O2302" s="15"/>
      <c r="P2302" s="16" t="s">
        <v>2125</v>
      </c>
      <c r="Q2302" s="17">
        <v>6999</v>
      </c>
      <c r="R2302" s="18">
        <v>45</v>
      </c>
      <c r="S2302" s="19">
        <v>4426.8674999999994</v>
      </c>
      <c r="T2302" s="20" t="s">
        <v>33</v>
      </c>
      <c r="U2302" s="21" t="s">
        <v>61</v>
      </c>
      <c r="V2302" s="22">
        <v>42</v>
      </c>
      <c r="W2302" s="22">
        <v>6</v>
      </c>
      <c r="X2302" s="23"/>
    </row>
    <row r="2303" spans="1:24" s="1" customFormat="1" ht="26" customHeight="1" x14ac:dyDescent="0.3">
      <c r="A2303" s="24" t="s">
        <v>23</v>
      </c>
      <c r="B2303" s="24" t="s">
        <v>2202</v>
      </c>
      <c r="C2303" s="12" t="s">
        <v>2204</v>
      </c>
      <c r="D2303" s="58"/>
      <c r="E2303" s="43" t="str">
        <f>HYPERLINK("https://www.google.ru/search?q=0088C-0003&amp;newwindow=1&amp;tbm=isch","Еще фото")</f>
        <v>Еще фото</v>
      </c>
      <c r="F2303" s="14"/>
      <c r="G2303" s="24" t="s">
        <v>2050</v>
      </c>
      <c r="H2303" s="24" t="s">
        <v>27</v>
      </c>
      <c r="I2303" s="24" t="s">
        <v>2008</v>
      </c>
      <c r="J2303" s="15" t="s">
        <v>37</v>
      </c>
      <c r="K2303" s="16" t="s">
        <v>29</v>
      </c>
      <c r="L2303" s="61"/>
      <c r="M2303" s="15"/>
      <c r="N2303" s="15" t="s">
        <v>87</v>
      </c>
      <c r="O2303" s="15"/>
      <c r="P2303" s="16" t="s">
        <v>2125</v>
      </c>
      <c r="Q2303" s="17">
        <v>6999</v>
      </c>
      <c r="R2303" s="18">
        <v>45</v>
      </c>
      <c r="S2303" s="19">
        <v>4426.8674999999994</v>
      </c>
      <c r="T2303" s="20" t="s">
        <v>33</v>
      </c>
      <c r="U2303" s="21" t="s">
        <v>62</v>
      </c>
      <c r="V2303" s="22">
        <v>44</v>
      </c>
      <c r="W2303" s="22">
        <v>12</v>
      </c>
      <c r="X2303" s="23"/>
    </row>
    <row r="2304" spans="1:24" s="1" customFormat="1" ht="26" customHeight="1" x14ac:dyDescent="0.3">
      <c r="A2304" s="24" t="s">
        <v>23</v>
      </c>
      <c r="B2304" s="24" t="s">
        <v>2202</v>
      </c>
      <c r="C2304" s="12" t="s">
        <v>2204</v>
      </c>
      <c r="D2304" s="58"/>
      <c r="E2304" s="43" t="str">
        <f>HYPERLINK("https://www.google.ru/search?q=0088C-0003&amp;newwindow=1&amp;tbm=isch","Еще фото")</f>
        <v>Еще фото</v>
      </c>
      <c r="F2304" s="14"/>
      <c r="G2304" s="24" t="s">
        <v>2050</v>
      </c>
      <c r="H2304" s="24" t="s">
        <v>27</v>
      </c>
      <c r="I2304" s="24" t="s">
        <v>2008</v>
      </c>
      <c r="J2304" s="15" t="s">
        <v>37</v>
      </c>
      <c r="K2304" s="16" t="s">
        <v>29</v>
      </c>
      <c r="L2304" s="61"/>
      <c r="M2304" s="15"/>
      <c r="N2304" s="15" t="s">
        <v>87</v>
      </c>
      <c r="O2304" s="15"/>
      <c r="P2304" s="16" t="s">
        <v>2125</v>
      </c>
      <c r="Q2304" s="17">
        <v>6999</v>
      </c>
      <c r="R2304" s="18">
        <v>45</v>
      </c>
      <c r="S2304" s="19">
        <v>4426.8674999999994</v>
      </c>
      <c r="T2304" s="20" t="s">
        <v>33</v>
      </c>
      <c r="U2304" s="21" t="s">
        <v>64</v>
      </c>
      <c r="V2304" s="22">
        <v>46</v>
      </c>
      <c r="W2304" s="22">
        <v>20</v>
      </c>
      <c r="X2304" s="23"/>
    </row>
    <row r="2305" spans="1:24" s="1" customFormat="1" ht="26" customHeight="1" x14ac:dyDescent="0.3">
      <c r="A2305" s="24" t="s">
        <v>23</v>
      </c>
      <c r="B2305" s="24" t="s">
        <v>2202</v>
      </c>
      <c r="C2305" s="12" t="s">
        <v>2204</v>
      </c>
      <c r="D2305" s="59"/>
      <c r="E2305" s="43" t="str">
        <f>HYPERLINK("https://www.google.ru/search?q=0088C-0003&amp;newwindow=1&amp;tbm=isch","Еще фото")</f>
        <v>Еще фото</v>
      </c>
      <c r="F2305" s="14"/>
      <c r="G2305" s="24" t="s">
        <v>2050</v>
      </c>
      <c r="H2305" s="24" t="s">
        <v>27</v>
      </c>
      <c r="I2305" s="24" t="s">
        <v>2008</v>
      </c>
      <c r="J2305" s="15" t="s">
        <v>37</v>
      </c>
      <c r="K2305" s="16" t="s">
        <v>29</v>
      </c>
      <c r="L2305" s="62"/>
      <c r="M2305" s="15"/>
      <c r="N2305" s="15" t="s">
        <v>87</v>
      </c>
      <c r="O2305" s="15"/>
      <c r="P2305" s="16" t="s">
        <v>2125</v>
      </c>
      <c r="Q2305" s="17">
        <v>6999</v>
      </c>
      <c r="R2305" s="18">
        <v>45</v>
      </c>
      <c r="S2305" s="19">
        <v>4426.8674999999994</v>
      </c>
      <c r="T2305" s="20" t="s">
        <v>33</v>
      </c>
      <c r="U2305" s="21" t="s">
        <v>34</v>
      </c>
      <c r="V2305" s="22">
        <v>48</v>
      </c>
      <c r="W2305" s="22">
        <v>22</v>
      </c>
      <c r="X2305" s="23"/>
    </row>
    <row r="2306" spans="1:24" s="1" customFormat="1" ht="21" customHeight="1" x14ac:dyDescent="0.3">
      <c r="A2306" s="11" t="s">
        <v>23</v>
      </c>
      <c r="B2306" s="11" t="s">
        <v>2205</v>
      </c>
      <c r="C2306" s="30" t="s">
        <v>2206</v>
      </c>
      <c r="D2306" s="57"/>
      <c r="E2306" s="43" t="str">
        <f>HYPERLINK("https://www.google.ru/search?q=0088Q-0000&amp;newwindow=1&amp;tbm=isch","Еще фото")</f>
        <v>Еще фото</v>
      </c>
      <c r="F2306" s="14"/>
      <c r="G2306" s="11" t="s">
        <v>2050</v>
      </c>
      <c r="H2306" s="11" t="s">
        <v>27</v>
      </c>
      <c r="I2306" s="15" t="s">
        <v>2008</v>
      </c>
      <c r="J2306" s="15" t="s">
        <v>37</v>
      </c>
      <c r="K2306" s="16" t="s">
        <v>57</v>
      </c>
      <c r="L2306" s="60"/>
      <c r="M2306" s="15"/>
      <c r="N2306" s="15" t="s">
        <v>39</v>
      </c>
      <c r="O2306" s="15"/>
      <c r="P2306" s="16" t="s">
        <v>32</v>
      </c>
      <c r="Q2306" s="17">
        <v>6999</v>
      </c>
      <c r="R2306" s="18">
        <v>45</v>
      </c>
      <c r="S2306" s="19">
        <v>4426.8674999999994</v>
      </c>
      <c r="T2306" s="20" t="s">
        <v>33</v>
      </c>
      <c r="U2306" s="21" t="s">
        <v>62</v>
      </c>
      <c r="V2306" s="22">
        <v>46</v>
      </c>
      <c r="W2306" s="22">
        <v>12</v>
      </c>
      <c r="X2306" s="23"/>
    </row>
    <row r="2307" spans="1:24" s="1" customFormat="1" ht="21" customHeight="1" x14ac:dyDescent="0.3">
      <c r="A2307" s="24" t="s">
        <v>23</v>
      </c>
      <c r="B2307" s="24" t="s">
        <v>2205</v>
      </c>
      <c r="C2307" s="31" t="s">
        <v>2206</v>
      </c>
      <c r="D2307" s="58"/>
      <c r="E2307" s="43" t="str">
        <f>HYPERLINK("https://www.google.ru/search?q=0088Q-0000&amp;newwindow=1&amp;tbm=isch","Еще фото")</f>
        <v>Еще фото</v>
      </c>
      <c r="F2307" s="14"/>
      <c r="G2307" s="24" t="s">
        <v>2050</v>
      </c>
      <c r="H2307" s="24" t="s">
        <v>27</v>
      </c>
      <c r="I2307" s="24" t="s">
        <v>2008</v>
      </c>
      <c r="J2307" s="15" t="s">
        <v>37</v>
      </c>
      <c r="K2307" s="16" t="s">
        <v>57</v>
      </c>
      <c r="L2307" s="61"/>
      <c r="M2307" s="15"/>
      <c r="N2307" s="15" t="s">
        <v>39</v>
      </c>
      <c r="O2307" s="15"/>
      <c r="P2307" s="16" t="s">
        <v>32</v>
      </c>
      <c r="Q2307" s="17">
        <v>6999</v>
      </c>
      <c r="R2307" s="18">
        <v>45</v>
      </c>
      <c r="S2307" s="19">
        <v>4426.8674999999994</v>
      </c>
      <c r="T2307" s="20" t="s">
        <v>33</v>
      </c>
      <c r="U2307" s="21" t="s">
        <v>64</v>
      </c>
      <c r="V2307" s="22">
        <v>48</v>
      </c>
      <c r="W2307" s="22">
        <v>20</v>
      </c>
      <c r="X2307" s="23"/>
    </row>
    <row r="2308" spans="1:24" s="1" customFormat="1" ht="21" customHeight="1" x14ac:dyDescent="0.3">
      <c r="A2308" s="24" t="s">
        <v>23</v>
      </c>
      <c r="B2308" s="24" t="s">
        <v>2205</v>
      </c>
      <c r="C2308" s="31" t="s">
        <v>2206</v>
      </c>
      <c r="D2308" s="58"/>
      <c r="E2308" s="43" t="str">
        <f>HYPERLINK("https://www.google.ru/search?q=0088Q-0000&amp;newwindow=1&amp;tbm=isch","Еще фото")</f>
        <v>Еще фото</v>
      </c>
      <c r="F2308" s="14"/>
      <c r="G2308" s="24" t="s">
        <v>2050</v>
      </c>
      <c r="H2308" s="24" t="s">
        <v>27</v>
      </c>
      <c r="I2308" s="24" t="s">
        <v>2008</v>
      </c>
      <c r="J2308" s="15" t="s">
        <v>37</v>
      </c>
      <c r="K2308" s="16" t="s">
        <v>57</v>
      </c>
      <c r="L2308" s="61"/>
      <c r="M2308" s="15"/>
      <c r="N2308" s="15" t="s">
        <v>39</v>
      </c>
      <c r="O2308" s="15"/>
      <c r="P2308" s="16" t="s">
        <v>32</v>
      </c>
      <c r="Q2308" s="17">
        <v>6999</v>
      </c>
      <c r="R2308" s="18">
        <v>45</v>
      </c>
      <c r="S2308" s="19">
        <v>4426.8674999999994</v>
      </c>
      <c r="T2308" s="20" t="s">
        <v>33</v>
      </c>
      <c r="U2308" s="21" t="s">
        <v>34</v>
      </c>
      <c r="V2308" s="25" t="s">
        <v>90</v>
      </c>
      <c r="W2308" s="22">
        <v>26</v>
      </c>
      <c r="X2308" s="23"/>
    </row>
    <row r="2309" spans="1:24" s="1" customFormat="1" ht="21" customHeight="1" x14ac:dyDescent="0.3">
      <c r="A2309" s="24" t="s">
        <v>23</v>
      </c>
      <c r="B2309" s="24" t="s">
        <v>2205</v>
      </c>
      <c r="C2309" s="31" t="s">
        <v>2206</v>
      </c>
      <c r="D2309" s="58"/>
      <c r="E2309" s="43" t="str">
        <f>HYPERLINK("https://www.google.ru/search?q=0088Q-0000&amp;newwindow=1&amp;tbm=isch","Еще фото")</f>
        <v>Еще фото</v>
      </c>
      <c r="F2309" s="14"/>
      <c r="G2309" s="24" t="s">
        <v>2050</v>
      </c>
      <c r="H2309" s="24" t="s">
        <v>27</v>
      </c>
      <c r="I2309" s="24" t="s">
        <v>2008</v>
      </c>
      <c r="J2309" s="15" t="s">
        <v>37</v>
      </c>
      <c r="K2309" s="16" t="s">
        <v>57</v>
      </c>
      <c r="L2309" s="61"/>
      <c r="M2309" s="15"/>
      <c r="N2309" s="15" t="s">
        <v>39</v>
      </c>
      <c r="O2309" s="15"/>
      <c r="P2309" s="16" t="s">
        <v>32</v>
      </c>
      <c r="Q2309" s="17">
        <v>6999</v>
      </c>
      <c r="R2309" s="18">
        <v>45</v>
      </c>
      <c r="S2309" s="19">
        <v>4426.8674999999994</v>
      </c>
      <c r="T2309" s="20" t="s">
        <v>33</v>
      </c>
      <c r="U2309" s="21" t="s">
        <v>150</v>
      </c>
      <c r="V2309" s="25" t="s">
        <v>761</v>
      </c>
      <c r="W2309" s="22">
        <v>18</v>
      </c>
      <c r="X2309" s="23"/>
    </row>
    <row r="2310" spans="1:24" s="1" customFormat="1" ht="32" customHeight="1" x14ac:dyDescent="0.3">
      <c r="A2310" s="24" t="s">
        <v>23</v>
      </c>
      <c r="B2310" s="24" t="s">
        <v>2205</v>
      </c>
      <c r="C2310" s="31" t="s">
        <v>2206</v>
      </c>
      <c r="D2310" s="59"/>
      <c r="E2310" s="43" t="str">
        <f>HYPERLINK("https://www.google.ru/search?q=0088Q-0000&amp;newwindow=1&amp;tbm=isch","Еще фото")</f>
        <v>Еще фото</v>
      </c>
      <c r="F2310" s="14"/>
      <c r="G2310" s="24" t="s">
        <v>2050</v>
      </c>
      <c r="H2310" s="24" t="s">
        <v>27</v>
      </c>
      <c r="I2310" s="24" t="s">
        <v>2008</v>
      </c>
      <c r="J2310" s="15" t="s">
        <v>37</v>
      </c>
      <c r="K2310" s="16" t="s">
        <v>57</v>
      </c>
      <c r="L2310" s="62"/>
      <c r="M2310" s="15"/>
      <c r="N2310" s="15" t="s">
        <v>39</v>
      </c>
      <c r="O2310" s="15"/>
      <c r="P2310" s="16" t="s">
        <v>32</v>
      </c>
      <c r="Q2310" s="17">
        <v>6999</v>
      </c>
      <c r="R2310" s="18">
        <v>45</v>
      </c>
      <c r="S2310" s="19">
        <v>4426.8674999999994</v>
      </c>
      <c r="T2310" s="20" t="s">
        <v>33</v>
      </c>
      <c r="U2310" s="21" t="s">
        <v>1494</v>
      </c>
      <c r="V2310" s="22">
        <v>54</v>
      </c>
      <c r="W2310" s="22">
        <v>12</v>
      </c>
      <c r="X2310" s="23"/>
    </row>
    <row r="2311" spans="1:24" s="1" customFormat="1" ht="21" customHeight="1" x14ac:dyDescent="0.3">
      <c r="A2311" s="11" t="s">
        <v>23</v>
      </c>
      <c r="B2311" s="11" t="s">
        <v>2205</v>
      </c>
      <c r="C2311" s="30" t="s">
        <v>2207</v>
      </c>
      <c r="D2311" s="57"/>
      <c r="E2311" s="43" t="str">
        <f>HYPERLINK("https://www.google.ru/search?q=0088Q-0004&amp;newwindow=1&amp;tbm=isch","Еще фото")</f>
        <v>Еще фото</v>
      </c>
      <c r="F2311" s="14"/>
      <c r="G2311" s="11" t="s">
        <v>2050</v>
      </c>
      <c r="H2311" s="11" t="s">
        <v>27</v>
      </c>
      <c r="I2311" s="15" t="s">
        <v>2008</v>
      </c>
      <c r="J2311" s="15" t="s">
        <v>37</v>
      </c>
      <c r="K2311" s="16" t="s">
        <v>57</v>
      </c>
      <c r="L2311" s="60"/>
      <c r="M2311" s="15"/>
      <c r="N2311" s="15" t="s">
        <v>31</v>
      </c>
      <c r="O2311" s="15"/>
      <c r="P2311" s="16" t="s">
        <v>32</v>
      </c>
      <c r="Q2311" s="17">
        <v>6999</v>
      </c>
      <c r="R2311" s="18">
        <v>45</v>
      </c>
      <c r="S2311" s="19">
        <v>4426.8674999999994</v>
      </c>
      <c r="T2311" s="20" t="s">
        <v>33</v>
      </c>
      <c r="U2311" s="21" t="s">
        <v>62</v>
      </c>
      <c r="V2311" s="22">
        <v>46</v>
      </c>
      <c r="W2311" s="22">
        <v>11</v>
      </c>
      <c r="X2311" s="23"/>
    </row>
    <row r="2312" spans="1:24" s="1" customFormat="1" ht="21" customHeight="1" x14ac:dyDescent="0.3">
      <c r="A2312" s="24" t="s">
        <v>23</v>
      </c>
      <c r="B2312" s="24" t="s">
        <v>2205</v>
      </c>
      <c r="C2312" s="31" t="s">
        <v>2207</v>
      </c>
      <c r="D2312" s="58"/>
      <c r="E2312" s="43" t="str">
        <f>HYPERLINK("https://www.google.ru/search?q=0088Q-0004&amp;newwindow=1&amp;tbm=isch","Еще фото")</f>
        <v>Еще фото</v>
      </c>
      <c r="F2312" s="14"/>
      <c r="G2312" s="24" t="s">
        <v>2050</v>
      </c>
      <c r="H2312" s="24" t="s">
        <v>27</v>
      </c>
      <c r="I2312" s="24" t="s">
        <v>2008</v>
      </c>
      <c r="J2312" s="15" t="s">
        <v>37</v>
      </c>
      <c r="K2312" s="16" t="s">
        <v>57</v>
      </c>
      <c r="L2312" s="61"/>
      <c r="M2312" s="15"/>
      <c r="N2312" s="15" t="s">
        <v>31</v>
      </c>
      <c r="O2312" s="15"/>
      <c r="P2312" s="16" t="s">
        <v>32</v>
      </c>
      <c r="Q2312" s="17">
        <v>6999</v>
      </c>
      <c r="R2312" s="18">
        <v>45</v>
      </c>
      <c r="S2312" s="19">
        <v>4426.8674999999994</v>
      </c>
      <c r="T2312" s="20" t="s">
        <v>33</v>
      </c>
      <c r="U2312" s="21" t="s">
        <v>64</v>
      </c>
      <c r="V2312" s="22">
        <v>48</v>
      </c>
      <c r="W2312" s="22">
        <v>17</v>
      </c>
      <c r="X2312" s="23"/>
    </row>
    <row r="2313" spans="1:24" s="1" customFormat="1" ht="21" customHeight="1" x14ac:dyDescent="0.3">
      <c r="A2313" s="24" t="s">
        <v>23</v>
      </c>
      <c r="B2313" s="24" t="s">
        <v>2205</v>
      </c>
      <c r="C2313" s="31" t="s">
        <v>2207</v>
      </c>
      <c r="D2313" s="58"/>
      <c r="E2313" s="43" t="str">
        <f>HYPERLINK("https://www.google.ru/search?q=0088Q-0004&amp;newwindow=1&amp;tbm=isch","Еще фото")</f>
        <v>Еще фото</v>
      </c>
      <c r="F2313" s="14"/>
      <c r="G2313" s="24" t="s">
        <v>2050</v>
      </c>
      <c r="H2313" s="24" t="s">
        <v>27</v>
      </c>
      <c r="I2313" s="24" t="s">
        <v>2008</v>
      </c>
      <c r="J2313" s="15" t="s">
        <v>37</v>
      </c>
      <c r="K2313" s="16" t="s">
        <v>57</v>
      </c>
      <c r="L2313" s="61"/>
      <c r="M2313" s="15"/>
      <c r="N2313" s="15" t="s">
        <v>31</v>
      </c>
      <c r="O2313" s="15"/>
      <c r="P2313" s="16" t="s">
        <v>32</v>
      </c>
      <c r="Q2313" s="17">
        <v>6999</v>
      </c>
      <c r="R2313" s="18">
        <v>45</v>
      </c>
      <c r="S2313" s="19">
        <v>4426.8674999999994</v>
      </c>
      <c r="T2313" s="20" t="s">
        <v>33</v>
      </c>
      <c r="U2313" s="21" t="s">
        <v>34</v>
      </c>
      <c r="V2313" s="25" t="s">
        <v>90</v>
      </c>
      <c r="W2313" s="22">
        <v>24</v>
      </c>
      <c r="X2313" s="23"/>
    </row>
    <row r="2314" spans="1:24" s="1" customFormat="1" ht="21" customHeight="1" x14ac:dyDescent="0.3">
      <c r="A2314" s="24" t="s">
        <v>23</v>
      </c>
      <c r="B2314" s="24" t="s">
        <v>2205</v>
      </c>
      <c r="C2314" s="31" t="s">
        <v>2207</v>
      </c>
      <c r="D2314" s="58"/>
      <c r="E2314" s="43" t="str">
        <f>HYPERLINK("https://www.google.ru/search?q=0088Q-0004&amp;newwindow=1&amp;tbm=isch","Еще фото")</f>
        <v>Еще фото</v>
      </c>
      <c r="F2314" s="14"/>
      <c r="G2314" s="24" t="s">
        <v>2050</v>
      </c>
      <c r="H2314" s="24" t="s">
        <v>27</v>
      </c>
      <c r="I2314" s="24" t="s">
        <v>2008</v>
      </c>
      <c r="J2314" s="15" t="s">
        <v>37</v>
      </c>
      <c r="K2314" s="16" t="s">
        <v>57</v>
      </c>
      <c r="L2314" s="61"/>
      <c r="M2314" s="15"/>
      <c r="N2314" s="15" t="s">
        <v>31</v>
      </c>
      <c r="O2314" s="15"/>
      <c r="P2314" s="16" t="s">
        <v>32</v>
      </c>
      <c r="Q2314" s="17">
        <v>6999</v>
      </c>
      <c r="R2314" s="18">
        <v>45</v>
      </c>
      <c r="S2314" s="19">
        <v>4426.8674999999994</v>
      </c>
      <c r="T2314" s="20" t="s">
        <v>33</v>
      </c>
      <c r="U2314" s="21" t="s">
        <v>150</v>
      </c>
      <c r="V2314" s="25" t="s">
        <v>761</v>
      </c>
      <c r="W2314" s="22">
        <v>17</v>
      </c>
      <c r="X2314" s="23"/>
    </row>
    <row r="2315" spans="1:24" s="1" customFormat="1" ht="32" customHeight="1" x14ac:dyDescent="0.3">
      <c r="A2315" s="24" t="s">
        <v>23</v>
      </c>
      <c r="B2315" s="24" t="s">
        <v>2205</v>
      </c>
      <c r="C2315" s="31" t="s">
        <v>2207</v>
      </c>
      <c r="D2315" s="59"/>
      <c r="E2315" s="43" t="str">
        <f>HYPERLINK("https://www.google.ru/search?q=0088Q-0004&amp;newwindow=1&amp;tbm=isch","Еще фото")</f>
        <v>Еще фото</v>
      </c>
      <c r="F2315" s="14"/>
      <c r="G2315" s="24" t="s">
        <v>2050</v>
      </c>
      <c r="H2315" s="24" t="s">
        <v>27</v>
      </c>
      <c r="I2315" s="24" t="s">
        <v>2008</v>
      </c>
      <c r="J2315" s="15" t="s">
        <v>37</v>
      </c>
      <c r="K2315" s="16" t="s">
        <v>57</v>
      </c>
      <c r="L2315" s="62"/>
      <c r="M2315" s="15"/>
      <c r="N2315" s="15" t="s">
        <v>31</v>
      </c>
      <c r="O2315" s="15"/>
      <c r="P2315" s="16" t="s">
        <v>32</v>
      </c>
      <c r="Q2315" s="17">
        <v>6999</v>
      </c>
      <c r="R2315" s="18">
        <v>45</v>
      </c>
      <c r="S2315" s="19">
        <v>4426.8674999999994</v>
      </c>
      <c r="T2315" s="20" t="s">
        <v>33</v>
      </c>
      <c r="U2315" s="21" t="s">
        <v>1494</v>
      </c>
      <c r="V2315" s="22">
        <v>54</v>
      </c>
      <c r="W2315" s="22">
        <v>11</v>
      </c>
      <c r="X2315" s="23"/>
    </row>
    <row r="2316" spans="1:24" s="1" customFormat="1" ht="108" customHeight="1" x14ac:dyDescent="0.3">
      <c r="A2316" s="11" t="s">
        <v>23</v>
      </c>
      <c r="B2316" s="11" t="s">
        <v>2205</v>
      </c>
      <c r="C2316" s="12" t="s">
        <v>2208</v>
      </c>
      <c r="D2316" s="13"/>
      <c r="E2316" s="43" t="str">
        <f>HYPERLINK("https://www.google.ru/search?q=0088Q-0005&amp;newwindow=1&amp;tbm=isch","Еще фото")</f>
        <v>Еще фото</v>
      </c>
      <c r="F2316" s="14"/>
      <c r="G2316" s="11" t="s">
        <v>2050</v>
      </c>
      <c r="H2316" s="11" t="s">
        <v>27</v>
      </c>
      <c r="I2316" s="15" t="s">
        <v>2008</v>
      </c>
      <c r="J2316" s="15" t="s">
        <v>37</v>
      </c>
      <c r="K2316" s="16" t="s">
        <v>57</v>
      </c>
      <c r="L2316" s="15"/>
      <c r="M2316" s="15"/>
      <c r="N2316" s="15" t="s">
        <v>99</v>
      </c>
      <c r="O2316" s="15"/>
      <c r="P2316" s="16" t="s">
        <v>32</v>
      </c>
      <c r="Q2316" s="17">
        <v>6999</v>
      </c>
      <c r="R2316" s="18">
        <v>45</v>
      </c>
      <c r="S2316" s="19">
        <v>4426.8674999999994</v>
      </c>
      <c r="T2316" s="20" t="s">
        <v>33</v>
      </c>
      <c r="U2316" s="21" t="s">
        <v>64</v>
      </c>
      <c r="V2316" s="22">
        <v>48</v>
      </c>
      <c r="W2316" s="22">
        <v>1</v>
      </c>
      <c r="X2316" s="23"/>
    </row>
    <row r="2317" spans="1:24" s="1" customFormat="1" ht="26" customHeight="1" x14ac:dyDescent="0.3">
      <c r="A2317" s="11" t="s">
        <v>23</v>
      </c>
      <c r="B2317" s="11" t="s">
        <v>2205</v>
      </c>
      <c r="C2317" s="12" t="s">
        <v>2209</v>
      </c>
      <c r="D2317" s="57"/>
      <c r="E2317" s="43" t="str">
        <f>HYPERLINK("https://www.google.ru/search?q=0088Q-0006&amp;newwindow=1&amp;tbm=isch","Еще фото")</f>
        <v>Еще фото</v>
      </c>
      <c r="F2317" s="14"/>
      <c r="G2317" s="11" t="s">
        <v>2050</v>
      </c>
      <c r="H2317" s="11" t="s">
        <v>27</v>
      </c>
      <c r="I2317" s="15" t="s">
        <v>2008</v>
      </c>
      <c r="J2317" s="15" t="s">
        <v>37</v>
      </c>
      <c r="K2317" s="16" t="s">
        <v>57</v>
      </c>
      <c r="L2317" s="60"/>
      <c r="M2317" s="15"/>
      <c r="N2317" s="15" t="s">
        <v>87</v>
      </c>
      <c r="O2317" s="15"/>
      <c r="P2317" s="16" t="s">
        <v>32</v>
      </c>
      <c r="Q2317" s="17">
        <v>6999</v>
      </c>
      <c r="R2317" s="18">
        <v>45</v>
      </c>
      <c r="S2317" s="19">
        <v>4426.8674999999994</v>
      </c>
      <c r="T2317" s="20" t="s">
        <v>33</v>
      </c>
      <c r="U2317" s="21" t="s">
        <v>62</v>
      </c>
      <c r="V2317" s="22">
        <v>46</v>
      </c>
      <c r="W2317" s="22">
        <v>11</v>
      </c>
      <c r="X2317" s="23"/>
    </row>
    <row r="2318" spans="1:24" s="1" customFormat="1" ht="26" customHeight="1" x14ac:dyDescent="0.3">
      <c r="A2318" s="24" t="s">
        <v>23</v>
      </c>
      <c r="B2318" s="24" t="s">
        <v>2205</v>
      </c>
      <c r="C2318" s="12" t="s">
        <v>2209</v>
      </c>
      <c r="D2318" s="58"/>
      <c r="E2318" s="43" t="str">
        <f>HYPERLINK("https://www.google.ru/search?q=0088Q-0006&amp;newwindow=1&amp;tbm=isch","Еще фото")</f>
        <v>Еще фото</v>
      </c>
      <c r="F2318" s="14"/>
      <c r="G2318" s="24" t="s">
        <v>2050</v>
      </c>
      <c r="H2318" s="24" t="s">
        <v>27</v>
      </c>
      <c r="I2318" s="24" t="s">
        <v>2008</v>
      </c>
      <c r="J2318" s="15" t="s">
        <v>37</v>
      </c>
      <c r="K2318" s="16" t="s">
        <v>57</v>
      </c>
      <c r="L2318" s="61"/>
      <c r="M2318" s="15"/>
      <c r="N2318" s="15" t="s">
        <v>87</v>
      </c>
      <c r="O2318" s="15"/>
      <c r="P2318" s="16" t="s">
        <v>32</v>
      </c>
      <c r="Q2318" s="17">
        <v>6999</v>
      </c>
      <c r="R2318" s="18">
        <v>45</v>
      </c>
      <c r="S2318" s="19">
        <v>4426.8674999999994</v>
      </c>
      <c r="T2318" s="20" t="s">
        <v>33</v>
      </c>
      <c r="U2318" s="21" t="s">
        <v>64</v>
      </c>
      <c r="V2318" s="22">
        <v>48</v>
      </c>
      <c r="W2318" s="22">
        <v>18</v>
      </c>
      <c r="X2318" s="23"/>
    </row>
    <row r="2319" spans="1:24" s="1" customFormat="1" ht="26" customHeight="1" x14ac:dyDescent="0.3">
      <c r="A2319" s="24" t="s">
        <v>23</v>
      </c>
      <c r="B2319" s="24" t="s">
        <v>2205</v>
      </c>
      <c r="C2319" s="12" t="s">
        <v>2209</v>
      </c>
      <c r="D2319" s="58"/>
      <c r="E2319" s="43" t="str">
        <f>HYPERLINK("https://www.google.ru/search?q=0088Q-0006&amp;newwindow=1&amp;tbm=isch","Еще фото")</f>
        <v>Еще фото</v>
      </c>
      <c r="F2319" s="14"/>
      <c r="G2319" s="24" t="s">
        <v>2050</v>
      </c>
      <c r="H2319" s="24" t="s">
        <v>27</v>
      </c>
      <c r="I2319" s="24" t="s">
        <v>2008</v>
      </c>
      <c r="J2319" s="15" t="s">
        <v>37</v>
      </c>
      <c r="K2319" s="16" t="s">
        <v>57</v>
      </c>
      <c r="L2319" s="61"/>
      <c r="M2319" s="15"/>
      <c r="N2319" s="15" t="s">
        <v>87</v>
      </c>
      <c r="O2319" s="15"/>
      <c r="P2319" s="16" t="s">
        <v>32</v>
      </c>
      <c r="Q2319" s="17">
        <v>6999</v>
      </c>
      <c r="R2319" s="18">
        <v>45</v>
      </c>
      <c r="S2319" s="19">
        <v>4426.8674999999994</v>
      </c>
      <c r="T2319" s="20" t="s">
        <v>33</v>
      </c>
      <c r="U2319" s="21" t="s">
        <v>34</v>
      </c>
      <c r="V2319" s="25" t="s">
        <v>90</v>
      </c>
      <c r="W2319" s="22">
        <v>24</v>
      </c>
      <c r="X2319" s="23"/>
    </row>
    <row r="2320" spans="1:24" s="1" customFormat="1" ht="26" customHeight="1" x14ac:dyDescent="0.3">
      <c r="A2320" s="24" t="s">
        <v>23</v>
      </c>
      <c r="B2320" s="24" t="s">
        <v>2205</v>
      </c>
      <c r="C2320" s="12" t="s">
        <v>2209</v>
      </c>
      <c r="D2320" s="59"/>
      <c r="E2320" s="43" t="str">
        <f>HYPERLINK("https://www.google.ru/search?q=0088Q-0006&amp;newwindow=1&amp;tbm=isch","Еще фото")</f>
        <v>Еще фото</v>
      </c>
      <c r="F2320" s="14"/>
      <c r="G2320" s="24" t="s">
        <v>2050</v>
      </c>
      <c r="H2320" s="24" t="s">
        <v>27</v>
      </c>
      <c r="I2320" s="24" t="s">
        <v>2008</v>
      </c>
      <c r="J2320" s="15" t="s">
        <v>37</v>
      </c>
      <c r="K2320" s="16" t="s">
        <v>57</v>
      </c>
      <c r="L2320" s="62"/>
      <c r="M2320" s="15"/>
      <c r="N2320" s="15" t="s">
        <v>87</v>
      </c>
      <c r="O2320" s="15"/>
      <c r="P2320" s="16" t="s">
        <v>32</v>
      </c>
      <c r="Q2320" s="17">
        <v>6999</v>
      </c>
      <c r="R2320" s="18">
        <v>45</v>
      </c>
      <c r="S2320" s="19">
        <v>4426.8674999999994</v>
      </c>
      <c r="T2320" s="20" t="s">
        <v>33</v>
      </c>
      <c r="U2320" s="21" t="s">
        <v>150</v>
      </c>
      <c r="V2320" s="25" t="s">
        <v>761</v>
      </c>
      <c r="W2320" s="22">
        <v>17</v>
      </c>
      <c r="X2320" s="23"/>
    </row>
    <row r="2321" spans="1:24" s="1" customFormat="1" ht="108" customHeight="1" x14ac:dyDescent="0.3">
      <c r="A2321" s="11" t="s">
        <v>23</v>
      </c>
      <c r="B2321" s="11" t="s">
        <v>2210</v>
      </c>
      <c r="C2321" s="12" t="s">
        <v>2211</v>
      </c>
      <c r="D2321" s="13"/>
      <c r="E2321" s="43" t="str">
        <f>HYPERLINK("https://www.google.ru/search?q=0089C-0000&amp;newwindow=1&amp;tbm=isch","Еще фото")</f>
        <v>Еще фото</v>
      </c>
      <c r="F2321" s="14" t="s">
        <v>182</v>
      </c>
      <c r="G2321" s="11" t="s">
        <v>2050</v>
      </c>
      <c r="H2321" s="11" t="s">
        <v>27</v>
      </c>
      <c r="I2321" s="15" t="s">
        <v>2008</v>
      </c>
      <c r="J2321" s="15" t="s">
        <v>37</v>
      </c>
      <c r="K2321" s="16" t="s">
        <v>57</v>
      </c>
      <c r="L2321" s="15" t="s">
        <v>2212</v>
      </c>
      <c r="M2321" s="15"/>
      <c r="N2321" s="15" t="s">
        <v>31</v>
      </c>
      <c r="O2321" s="15"/>
      <c r="P2321" s="16" t="s">
        <v>32</v>
      </c>
      <c r="Q2321" s="17">
        <v>5199</v>
      </c>
      <c r="R2321" s="18">
        <v>45</v>
      </c>
      <c r="S2321" s="19">
        <v>3288.3674999999994</v>
      </c>
      <c r="T2321" s="20" t="s">
        <v>33</v>
      </c>
      <c r="U2321" s="21" t="s">
        <v>34</v>
      </c>
      <c r="V2321" s="25" t="s">
        <v>90</v>
      </c>
      <c r="W2321" s="22">
        <v>1</v>
      </c>
      <c r="X2321" s="23"/>
    </row>
    <row r="2322" spans="1:24" s="1" customFormat="1" ht="21" customHeight="1" x14ac:dyDescent="0.3">
      <c r="A2322" s="11" t="s">
        <v>23</v>
      </c>
      <c r="B2322" s="11" t="s">
        <v>2210</v>
      </c>
      <c r="C2322" s="30" t="s">
        <v>2213</v>
      </c>
      <c r="D2322" s="57"/>
      <c r="E2322" s="43" t="str">
        <f>HYPERLINK("https://www.google.ru/search?q=0089C-0005&amp;newwindow=1&amp;tbm=isch","Еще фото")</f>
        <v>Еще фото</v>
      </c>
      <c r="F2322" s="14"/>
      <c r="G2322" s="11" t="s">
        <v>2050</v>
      </c>
      <c r="H2322" s="11" t="s">
        <v>27</v>
      </c>
      <c r="I2322" s="15" t="s">
        <v>2008</v>
      </c>
      <c r="J2322" s="15" t="s">
        <v>37</v>
      </c>
      <c r="K2322" s="16" t="s">
        <v>57</v>
      </c>
      <c r="L2322" s="60"/>
      <c r="M2322" s="15"/>
      <c r="N2322" s="15" t="s">
        <v>83</v>
      </c>
      <c r="O2322" s="15"/>
      <c r="P2322" s="16" t="s">
        <v>32</v>
      </c>
      <c r="Q2322" s="17">
        <v>6099</v>
      </c>
      <c r="R2322" s="18">
        <v>45</v>
      </c>
      <c r="S2322" s="19">
        <v>3857.6174999999994</v>
      </c>
      <c r="T2322" s="20" t="s">
        <v>33</v>
      </c>
      <c r="U2322" s="21" t="s">
        <v>62</v>
      </c>
      <c r="V2322" s="22">
        <v>46</v>
      </c>
      <c r="W2322" s="22">
        <v>11</v>
      </c>
      <c r="X2322" s="23"/>
    </row>
    <row r="2323" spans="1:24" s="1" customFormat="1" ht="21" customHeight="1" x14ac:dyDescent="0.3">
      <c r="A2323" s="24" t="s">
        <v>23</v>
      </c>
      <c r="B2323" s="24" t="s">
        <v>2210</v>
      </c>
      <c r="C2323" s="31" t="s">
        <v>2213</v>
      </c>
      <c r="D2323" s="58"/>
      <c r="E2323" s="43" t="str">
        <f>HYPERLINK("https://www.google.ru/search?q=0089C-0005&amp;newwindow=1&amp;tbm=isch","Еще фото")</f>
        <v>Еще фото</v>
      </c>
      <c r="F2323" s="14"/>
      <c r="G2323" s="24" t="s">
        <v>2050</v>
      </c>
      <c r="H2323" s="24" t="s">
        <v>27</v>
      </c>
      <c r="I2323" s="24" t="s">
        <v>2008</v>
      </c>
      <c r="J2323" s="15" t="s">
        <v>37</v>
      </c>
      <c r="K2323" s="16" t="s">
        <v>57</v>
      </c>
      <c r="L2323" s="61"/>
      <c r="M2323" s="15"/>
      <c r="N2323" s="15" t="s">
        <v>83</v>
      </c>
      <c r="O2323" s="15"/>
      <c r="P2323" s="16" t="s">
        <v>32</v>
      </c>
      <c r="Q2323" s="17">
        <v>6099</v>
      </c>
      <c r="R2323" s="18">
        <v>45</v>
      </c>
      <c r="S2323" s="19">
        <v>3857.6174999999994</v>
      </c>
      <c r="T2323" s="20" t="s">
        <v>33</v>
      </c>
      <c r="U2323" s="21" t="s">
        <v>64</v>
      </c>
      <c r="V2323" s="22">
        <v>48</v>
      </c>
      <c r="W2323" s="22">
        <v>19</v>
      </c>
      <c r="X2323" s="23"/>
    </row>
    <row r="2324" spans="1:24" s="1" customFormat="1" ht="21" customHeight="1" x14ac:dyDescent="0.3">
      <c r="A2324" s="24" t="s">
        <v>23</v>
      </c>
      <c r="B2324" s="24" t="s">
        <v>2210</v>
      </c>
      <c r="C2324" s="31" t="s">
        <v>2213</v>
      </c>
      <c r="D2324" s="58"/>
      <c r="E2324" s="43" t="str">
        <f>HYPERLINK("https://www.google.ru/search?q=0089C-0005&amp;newwindow=1&amp;tbm=isch","Еще фото")</f>
        <v>Еще фото</v>
      </c>
      <c r="F2324" s="14"/>
      <c r="G2324" s="24" t="s">
        <v>2050</v>
      </c>
      <c r="H2324" s="24" t="s">
        <v>27</v>
      </c>
      <c r="I2324" s="24" t="s">
        <v>2008</v>
      </c>
      <c r="J2324" s="15" t="s">
        <v>37</v>
      </c>
      <c r="K2324" s="16" t="s">
        <v>57</v>
      </c>
      <c r="L2324" s="61"/>
      <c r="M2324" s="15"/>
      <c r="N2324" s="15" t="s">
        <v>83</v>
      </c>
      <c r="O2324" s="15"/>
      <c r="P2324" s="16" t="s">
        <v>32</v>
      </c>
      <c r="Q2324" s="17">
        <v>6099</v>
      </c>
      <c r="R2324" s="18">
        <v>45</v>
      </c>
      <c r="S2324" s="19">
        <v>3857.6174999999994</v>
      </c>
      <c r="T2324" s="20" t="s">
        <v>33</v>
      </c>
      <c r="U2324" s="21" t="s">
        <v>34</v>
      </c>
      <c r="V2324" s="25" t="s">
        <v>90</v>
      </c>
      <c r="W2324" s="22">
        <v>23</v>
      </c>
      <c r="X2324" s="23"/>
    </row>
    <row r="2325" spans="1:24" s="1" customFormat="1" ht="21" customHeight="1" x14ac:dyDescent="0.3">
      <c r="A2325" s="24" t="s">
        <v>23</v>
      </c>
      <c r="B2325" s="24" t="s">
        <v>2210</v>
      </c>
      <c r="C2325" s="31" t="s">
        <v>2213</v>
      </c>
      <c r="D2325" s="58"/>
      <c r="E2325" s="43" t="str">
        <f>HYPERLINK("https://www.google.ru/search?q=0089C-0005&amp;newwindow=1&amp;tbm=isch","Еще фото")</f>
        <v>Еще фото</v>
      </c>
      <c r="F2325" s="14"/>
      <c r="G2325" s="24" t="s">
        <v>2050</v>
      </c>
      <c r="H2325" s="24" t="s">
        <v>27</v>
      </c>
      <c r="I2325" s="24" t="s">
        <v>2008</v>
      </c>
      <c r="J2325" s="15" t="s">
        <v>37</v>
      </c>
      <c r="K2325" s="16" t="s">
        <v>57</v>
      </c>
      <c r="L2325" s="61"/>
      <c r="M2325" s="15"/>
      <c r="N2325" s="15" t="s">
        <v>83</v>
      </c>
      <c r="O2325" s="15"/>
      <c r="P2325" s="16" t="s">
        <v>32</v>
      </c>
      <c r="Q2325" s="17">
        <v>6099</v>
      </c>
      <c r="R2325" s="18">
        <v>45</v>
      </c>
      <c r="S2325" s="19">
        <v>3857.6174999999994</v>
      </c>
      <c r="T2325" s="20" t="s">
        <v>33</v>
      </c>
      <c r="U2325" s="21" t="s">
        <v>150</v>
      </c>
      <c r="V2325" s="25" t="s">
        <v>761</v>
      </c>
      <c r="W2325" s="22">
        <v>13</v>
      </c>
      <c r="X2325" s="23"/>
    </row>
    <row r="2326" spans="1:24" s="1" customFormat="1" ht="32" customHeight="1" x14ac:dyDescent="0.3">
      <c r="A2326" s="24" t="s">
        <v>23</v>
      </c>
      <c r="B2326" s="24" t="s">
        <v>2210</v>
      </c>
      <c r="C2326" s="31" t="s">
        <v>2213</v>
      </c>
      <c r="D2326" s="59"/>
      <c r="E2326" s="43" t="str">
        <f>HYPERLINK("https://www.google.ru/search?q=0089C-0005&amp;newwindow=1&amp;tbm=isch","Еще фото")</f>
        <v>Еще фото</v>
      </c>
      <c r="F2326" s="14"/>
      <c r="G2326" s="24" t="s">
        <v>2050</v>
      </c>
      <c r="H2326" s="24" t="s">
        <v>27</v>
      </c>
      <c r="I2326" s="24" t="s">
        <v>2008</v>
      </c>
      <c r="J2326" s="15" t="s">
        <v>37</v>
      </c>
      <c r="K2326" s="16" t="s">
        <v>57</v>
      </c>
      <c r="L2326" s="62"/>
      <c r="M2326" s="15"/>
      <c r="N2326" s="15" t="s">
        <v>83</v>
      </c>
      <c r="O2326" s="15"/>
      <c r="P2326" s="16" t="s">
        <v>32</v>
      </c>
      <c r="Q2326" s="17">
        <v>6099</v>
      </c>
      <c r="R2326" s="18">
        <v>45</v>
      </c>
      <c r="S2326" s="19">
        <v>3857.6174999999994</v>
      </c>
      <c r="T2326" s="20" t="s">
        <v>33</v>
      </c>
      <c r="U2326" s="21" t="s">
        <v>1494</v>
      </c>
      <c r="V2326" s="22">
        <v>54</v>
      </c>
      <c r="W2326" s="22">
        <v>11</v>
      </c>
      <c r="X2326" s="23"/>
    </row>
    <row r="2327" spans="1:24" s="1" customFormat="1" ht="52.05" customHeight="1" x14ac:dyDescent="0.3">
      <c r="A2327" s="11" t="s">
        <v>23</v>
      </c>
      <c r="B2327" s="11" t="s">
        <v>2214</v>
      </c>
      <c r="C2327" s="12" t="s">
        <v>2215</v>
      </c>
      <c r="D2327" s="63"/>
      <c r="E2327" s="43" t="str">
        <f>HYPERLINK("https://www.google.ru/search?q=16143-0709&amp;newwindow=1&amp;tbm=isch","Еще фото")</f>
        <v>Еще фото</v>
      </c>
      <c r="F2327" s="14"/>
      <c r="G2327" s="11" t="s">
        <v>1534</v>
      </c>
      <c r="H2327" s="11" t="s">
        <v>27</v>
      </c>
      <c r="I2327" s="15" t="s">
        <v>2008</v>
      </c>
      <c r="J2327" s="15" t="s">
        <v>28</v>
      </c>
      <c r="K2327" s="16" t="s">
        <v>57</v>
      </c>
      <c r="L2327" s="60" t="s">
        <v>2012</v>
      </c>
      <c r="M2327" s="15"/>
      <c r="N2327" s="15" t="s">
        <v>87</v>
      </c>
      <c r="O2327" s="15"/>
      <c r="P2327" s="16" t="s">
        <v>32</v>
      </c>
      <c r="Q2327" s="17">
        <v>5099</v>
      </c>
      <c r="R2327" s="18">
        <v>45</v>
      </c>
      <c r="S2327" s="19">
        <v>3225.1174999999994</v>
      </c>
      <c r="T2327" s="20" t="s">
        <v>33</v>
      </c>
      <c r="U2327" s="21" t="s">
        <v>62</v>
      </c>
      <c r="V2327" s="22">
        <v>46</v>
      </c>
      <c r="W2327" s="22">
        <v>18</v>
      </c>
      <c r="X2327" s="23"/>
    </row>
    <row r="2328" spans="1:24" s="1" customFormat="1" ht="61.05" customHeight="1" x14ac:dyDescent="0.3">
      <c r="A2328" s="24" t="s">
        <v>23</v>
      </c>
      <c r="B2328" s="24" t="s">
        <v>2214</v>
      </c>
      <c r="C2328" s="12" t="s">
        <v>2215</v>
      </c>
      <c r="D2328" s="64"/>
      <c r="E2328" s="43" t="str">
        <f>HYPERLINK("https://www.google.ru/search?q=16143-0709&amp;newwindow=1&amp;tbm=isch","Еще фото")</f>
        <v>Еще фото</v>
      </c>
      <c r="F2328" s="14"/>
      <c r="G2328" s="24" t="s">
        <v>1534</v>
      </c>
      <c r="H2328" s="24" t="s">
        <v>27</v>
      </c>
      <c r="I2328" s="24" t="s">
        <v>2008</v>
      </c>
      <c r="J2328" s="15" t="s">
        <v>28</v>
      </c>
      <c r="K2328" s="16" t="s">
        <v>57</v>
      </c>
      <c r="L2328" s="62"/>
      <c r="M2328" s="15"/>
      <c r="N2328" s="15" t="s">
        <v>87</v>
      </c>
      <c r="O2328" s="15"/>
      <c r="P2328" s="16" t="s">
        <v>32</v>
      </c>
      <c r="Q2328" s="17">
        <v>5099</v>
      </c>
      <c r="R2328" s="18">
        <v>45</v>
      </c>
      <c r="S2328" s="19">
        <v>3225.1174999999994</v>
      </c>
      <c r="T2328" s="20" t="s">
        <v>33</v>
      </c>
      <c r="U2328" s="21" t="s">
        <v>64</v>
      </c>
      <c r="V2328" s="22">
        <v>48</v>
      </c>
      <c r="W2328" s="22">
        <v>15</v>
      </c>
      <c r="X2328" s="23"/>
    </row>
    <row r="2329" spans="1:24" s="1" customFormat="1" ht="35" customHeight="1" x14ac:dyDescent="0.3">
      <c r="A2329" s="11" t="s">
        <v>23</v>
      </c>
      <c r="B2329" s="11" t="s">
        <v>2010</v>
      </c>
      <c r="C2329" s="12" t="s">
        <v>2216</v>
      </c>
      <c r="D2329" s="57"/>
      <c r="E2329" s="43" t="str">
        <f>HYPERLINK("https://www.google.ru/search?q=16143-0819&amp;newwindow=1&amp;tbm=isch","Еще фото")</f>
        <v>Еще фото</v>
      </c>
      <c r="F2329" s="14"/>
      <c r="G2329" s="11" t="s">
        <v>1534</v>
      </c>
      <c r="H2329" s="11" t="s">
        <v>27</v>
      </c>
      <c r="I2329" s="15" t="s">
        <v>2008</v>
      </c>
      <c r="J2329" s="15" t="s">
        <v>28</v>
      </c>
      <c r="K2329" s="16" t="s">
        <v>57</v>
      </c>
      <c r="L2329" s="60" t="s">
        <v>2012</v>
      </c>
      <c r="M2329" s="15"/>
      <c r="N2329" s="15" t="s">
        <v>130</v>
      </c>
      <c r="O2329" s="15"/>
      <c r="P2329" s="16" t="s">
        <v>32</v>
      </c>
      <c r="Q2329" s="17">
        <v>5299</v>
      </c>
      <c r="R2329" s="18">
        <v>45</v>
      </c>
      <c r="S2329" s="19">
        <v>3351.6174999999994</v>
      </c>
      <c r="T2329" s="20" t="s">
        <v>33</v>
      </c>
      <c r="U2329" s="21" t="s">
        <v>62</v>
      </c>
      <c r="V2329" s="22">
        <v>46</v>
      </c>
      <c r="W2329" s="22">
        <v>7</v>
      </c>
      <c r="X2329" s="23"/>
    </row>
    <row r="2330" spans="1:24" s="1" customFormat="1" ht="35" customHeight="1" x14ac:dyDescent="0.3">
      <c r="A2330" s="24" t="s">
        <v>23</v>
      </c>
      <c r="B2330" s="24" t="s">
        <v>2010</v>
      </c>
      <c r="C2330" s="12" t="s">
        <v>2216</v>
      </c>
      <c r="D2330" s="58"/>
      <c r="E2330" s="43" t="str">
        <f>HYPERLINK("https://www.google.ru/search?q=16143-0819&amp;newwindow=1&amp;tbm=isch","Еще фото")</f>
        <v>Еще фото</v>
      </c>
      <c r="F2330" s="14"/>
      <c r="G2330" s="24" t="s">
        <v>1534</v>
      </c>
      <c r="H2330" s="24" t="s">
        <v>27</v>
      </c>
      <c r="I2330" s="24" t="s">
        <v>2008</v>
      </c>
      <c r="J2330" s="15" t="s">
        <v>28</v>
      </c>
      <c r="K2330" s="16" t="s">
        <v>57</v>
      </c>
      <c r="L2330" s="61"/>
      <c r="M2330" s="15"/>
      <c r="N2330" s="15" t="s">
        <v>130</v>
      </c>
      <c r="O2330" s="15"/>
      <c r="P2330" s="16" t="s">
        <v>32</v>
      </c>
      <c r="Q2330" s="17">
        <v>5299</v>
      </c>
      <c r="R2330" s="18">
        <v>45</v>
      </c>
      <c r="S2330" s="19">
        <v>3351.6174999999994</v>
      </c>
      <c r="T2330" s="20" t="s">
        <v>33</v>
      </c>
      <c r="U2330" s="21" t="s">
        <v>64</v>
      </c>
      <c r="V2330" s="22">
        <v>48</v>
      </c>
      <c r="W2330" s="22">
        <v>11</v>
      </c>
      <c r="X2330" s="23"/>
    </row>
    <row r="2331" spans="1:24" s="1" customFormat="1" ht="37.049999999999997" customHeight="1" x14ac:dyDescent="0.3">
      <c r="A2331" s="24" t="s">
        <v>23</v>
      </c>
      <c r="B2331" s="24" t="s">
        <v>2010</v>
      </c>
      <c r="C2331" s="12" t="s">
        <v>2216</v>
      </c>
      <c r="D2331" s="59"/>
      <c r="E2331" s="43" t="str">
        <f>HYPERLINK("https://www.google.ru/search?q=16143-0819&amp;newwindow=1&amp;tbm=isch","Еще фото")</f>
        <v>Еще фото</v>
      </c>
      <c r="F2331" s="14"/>
      <c r="G2331" s="24" t="s">
        <v>1534</v>
      </c>
      <c r="H2331" s="24" t="s">
        <v>27</v>
      </c>
      <c r="I2331" s="24" t="s">
        <v>2008</v>
      </c>
      <c r="J2331" s="15" t="s">
        <v>28</v>
      </c>
      <c r="K2331" s="16" t="s">
        <v>57</v>
      </c>
      <c r="L2331" s="62"/>
      <c r="M2331" s="15"/>
      <c r="N2331" s="15" t="s">
        <v>130</v>
      </c>
      <c r="O2331" s="15"/>
      <c r="P2331" s="16" t="s">
        <v>32</v>
      </c>
      <c r="Q2331" s="17">
        <v>5299</v>
      </c>
      <c r="R2331" s="18">
        <v>45</v>
      </c>
      <c r="S2331" s="19">
        <v>3351.6174999999994</v>
      </c>
      <c r="T2331" s="20" t="s">
        <v>33</v>
      </c>
      <c r="U2331" s="21" t="s">
        <v>34</v>
      </c>
      <c r="V2331" s="25" t="s">
        <v>90</v>
      </c>
      <c r="W2331" s="22">
        <v>1</v>
      </c>
      <c r="X2331" s="23"/>
    </row>
    <row r="2332" spans="1:24" s="1" customFormat="1" ht="108" customHeight="1" x14ac:dyDescent="0.3">
      <c r="A2332" s="11" t="s">
        <v>23</v>
      </c>
      <c r="B2332" s="11" t="s">
        <v>2217</v>
      </c>
      <c r="C2332" s="12" t="s">
        <v>2218</v>
      </c>
      <c r="D2332" s="13"/>
      <c r="E2332" s="43" t="str">
        <f>HYPERLINK("https://www.google.ru/search?q=16143-1650&amp;newwindow=1&amp;tbm=isch","Еще фото")</f>
        <v>Еще фото</v>
      </c>
      <c r="F2332" s="14"/>
      <c r="G2332" s="11" t="s">
        <v>1534</v>
      </c>
      <c r="H2332" s="11" t="s">
        <v>27</v>
      </c>
      <c r="I2332" s="15" t="s">
        <v>2008</v>
      </c>
      <c r="J2332" s="15" t="s">
        <v>28</v>
      </c>
      <c r="K2332" s="16" t="s">
        <v>57</v>
      </c>
      <c r="L2332" s="15"/>
      <c r="M2332" s="15"/>
      <c r="N2332" s="15" t="s">
        <v>2083</v>
      </c>
      <c r="O2332" s="15"/>
      <c r="P2332" s="16" t="s">
        <v>172</v>
      </c>
      <c r="Q2332" s="17">
        <v>5299</v>
      </c>
      <c r="R2332" s="18">
        <v>45</v>
      </c>
      <c r="S2332" s="19">
        <v>3351.6174999999994</v>
      </c>
      <c r="T2332" s="20" t="s">
        <v>33</v>
      </c>
      <c r="U2332" s="21" t="s">
        <v>62</v>
      </c>
      <c r="V2332" s="22">
        <v>46</v>
      </c>
      <c r="W2332" s="22">
        <v>1</v>
      </c>
      <c r="X2332" s="23"/>
    </row>
    <row r="2333" spans="1:24" s="1" customFormat="1" ht="108" customHeight="1" x14ac:dyDescent="0.3">
      <c r="A2333" s="11" t="s">
        <v>23</v>
      </c>
      <c r="B2333" s="11" t="s">
        <v>2041</v>
      </c>
      <c r="C2333" s="12" t="s">
        <v>2219</v>
      </c>
      <c r="D2333" s="13"/>
      <c r="E2333" s="43" t="str">
        <f>HYPERLINK("https://www.google.ru/search?q=16143-2401&amp;newwindow=1&amp;tbm=isch","Еще фото")</f>
        <v>Еще фото</v>
      </c>
      <c r="F2333" s="14"/>
      <c r="G2333" s="11" t="s">
        <v>1534</v>
      </c>
      <c r="H2333" s="11" t="s">
        <v>27</v>
      </c>
      <c r="I2333" s="15" t="s">
        <v>2008</v>
      </c>
      <c r="J2333" s="15" t="s">
        <v>37</v>
      </c>
      <c r="K2333" s="16" t="s">
        <v>57</v>
      </c>
      <c r="L2333" s="15" t="s">
        <v>2038</v>
      </c>
      <c r="M2333" s="15"/>
      <c r="N2333" s="15" t="s">
        <v>31</v>
      </c>
      <c r="O2333" s="15"/>
      <c r="P2333" s="16" t="s">
        <v>32</v>
      </c>
      <c r="Q2333" s="17">
        <v>3399</v>
      </c>
      <c r="R2333" s="18">
        <v>45</v>
      </c>
      <c r="S2333" s="19">
        <v>2149.8674999999998</v>
      </c>
      <c r="T2333" s="20" t="s">
        <v>33</v>
      </c>
      <c r="U2333" s="21" t="s">
        <v>34</v>
      </c>
      <c r="V2333" s="25" t="s">
        <v>90</v>
      </c>
      <c r="W2333" s="22">
        <v>1</v>
      </c>
      <c r="X2333" s="23"/>
    </row>
    <row r="2334" spans="1:24" s="1" customFormat="1" ht="108" customHeight="1" x14ac:dyDescent="0.3">
      <c r="A2334" s="11" t="s">
        <v>23</v>
      </c>
      <c r="B2334" s="11" t="s">
        <v>2220</v>
      </c>
      <c r="C2334" s="12" t="s">
        <v>2221</v>
      </c>
      <c r="D2334" s="13"/>
      <c r="E2334" s="43" t="str">
        <f>HYPERLINK("https://www.google.ru/search?q=16143-2402&amp;newwindow=1&amp;tbm=isch","Еще фото")</f>
        <v>Еще фото</v>
      </c>
      <c r="F2334" s="14"/>
      <c r="G2334" s="11" t="s">
        <v>1534</v>
      </c>
      <c r="H2334" s="11" t="s">
        <v>27</v>
      </c>
      <c r="I2334" s="15" t="s">
        <v>2008</v>
      </c>
      <c r="J2334" s="15" t="s">
        <v>37</v>
      </c>
      <c r="K2334" s="16" t="s">
        <v>57</v>
      </c>
      <c r="L2334" s="15" t="s">
        <v>2038</v>
      </c>
      <c r="M2334" s="15"/>
      <c r="N2334" s="15" t="s">
        <v>59</v>
      </c>
      <c r="O2334" s="15"/>
      <c r="P2334" s="16" t="s">
        <v>32</v>
      </c>
      <c r="Q2334" s="17">
        <v>3399</v>
      </c>
      <c r="R2334" s="18">
        <v>45</v>
      </c>
      <c r="S2334" s="19">
        <v>2149.8674999999998</v>
      </c>
      <c r="T2334" s="20" t="s">
        <v>33</v>
      </c>
      <c r="U2334" s="21" t="s">
        <v>62</v>
      </c>
      <c r="V2334" s="22">
        <v>46</v>
      </c>
      <c r="W2334" s="22">
        <v>1</v>
      </c>
      <c r="X2334" s="23"/>
    </row>
    <row r="2335" spans="1:24" s="1" customFormat="1" ht="108" customHeight="1" x14ac:dyDescent="0.3">
      <c r="A2335" s="11" t="s">
        <v>23</v>
      </c>
      <c r="B2335" s="11" t="s">
        <v>2039</v>
      </c>
      <c r="C2335" s="12" t="s">
        <v>2222</v>
      </c>
      <c r="D2335" s="13"/>
      <c r="E2335" s="43" t="str">
        <f>HYPERLINK("https://www.google.ru/search?q=16143-2403&amp;newwindow=1&amp;tbm=isch","Еще фото")</f>
        <v>Еще фото</v>
      </c>
      <c r="F2335" s="14"/>
      <c r="G2335" s="11" t="s">
        <v>1534</v>
      </c>
      <c r="H2335" s="11" t="s">
        <v>27</v>
      </c>
      <c r="I2335" s="15" t="s">
        <v>2008</v>
      </c>
      <c r="J2335" s="15" t="s">
        <v>37</v>
      </c>
      <c r="K2335" s="16" t="s">
        <v>57</v>
      </c>
      <c r="L2335" s="15" t="s">
        <v>2038</v>
      </c>
      <c r="M2335" s="15"/>
      <c r="N2335" s="15" t="s">
        <v>87</v>
      </c>
      <c r="O2335" s="15"/>
      <c r="P2335" s="16" t="s">
        <v>32</v>
      </c>
      <c r="Q2335" s="17">
        <v>3999</v>
      </c>
      <c r="R2335" s="18">
        <v>45</v>
      </c>
      <c r="S2335" s="19">
        <v>2529.3674999999994</v>
      </c>
      <c r="T2335" s="20" t="s">
        <v>33</v>
      </c>
      <c r="U2335" s="21" t="s">
        <v>150</v>
      </c>
      <c r="V2335" s="25" t="s">
        <v>761</v>
      </c>
      <c r="W2335" s="22">
        <v>2</v>
      </c>
      <c r="X2335" s="23"/>
    </row>
    <row r="2336" spans="1:24" s="1" customFormat="1" ht="52.05" customHeight="1" x14ac:dyDescent="0.3">
      <c r="A2336" s="11" t="s">
        <v>23</v>
      </c>
      <c r="B2336" s="11" t="s">
        <v>2217</v>
      </c>
      <c r="C2336" s="12" t="s">
        <v>2223</v>
      </c>
      <c r="D2336" s="63"/>
      <c r="E2336" s="43" t="str">
        <f>HYPERLINK("https://www.google.ru/search?q=16143-2404&amp;newwindow=1&amp;tbm=isch","Еще фото")</f>
        <v>Еще фото</v>
      </c>
      <c r="F2336" s="14"/>
      <c r="G2336" s="11" t="s">
        <v>1534</v>
      </c>
      <c r="H2336" s="11" t="s">
        <v>27</v>
      </c>
      <c r="I2336" s="15" t="s">
        <v>2008</v>
      </c>
      <c r="J2336" s="15" t="s">
        <v>37</v>
      </c>
      <c r="K2336" s="16" t="s">
        <v>57</v>
      </c>
      <c r="L2336" s="60" t="s">
        <v>2038</v>
      </c>
      <c r="M2336" s="15"/>
      <c r="N2336" s="15" t="s">
        <v>130</v>
      </c>
      <c r="O2336" s="15"/>
      <c r="P2336" s="16" t="s">
        <v>32</v>
      </c>
      <c r="Q2336" s="17">
        <v>3399</v>
      </c>
      <c r="R2336" s="18">
        <v>45</v>
      </c>
      <c r="S2336" s="19">
        <v>2149.8674999999998</v>
      </c>
      <c r="T2336" s="20" t="s">
        <v>33</v>
      </c>
      <c r="U2336" s="21" t="s">
        <v>62</v>
      </c>
      <c r="V2336" s="22">
        <v>46</v>
      </c>
      <c r="W2336" s="22">
        <v>1</v>
      </c>
      <c r="X2336" s="23"/>
    </row>
    <row r="2337" spans="1:24" s="1" customFormat="1" ht="61.05" customHeight="1" x14ac:dyDescent="0.3">
      <c r="A2337" s="24" t="s">
        <v>23</v>
      </c>
      <c r="B2337" s="24" t="s">
        <v>2217</v>
      </c>
      <c r="C2337" s="12" t="s">
        <v>2223</v>
      </c>
      <c r="D2337" s="64"/>
      <c r="E2337" s="43" t="str">
        <f>HYPERLINK("https://www.google.ru/search?q=16143-2404&amp;newwindow=1&amp;tbm=isch","Еще фото")</f>
        <v>Еще фото</v>
      </c>
      <c r="F2337" s="14"/>
      <c r="G2337" s="24" t="s">
        <v>1534</v>
      </c>
      <c r="H2337" s="24" t="s">
        <v>27</v>
      </c>
      <c r="I2337" s="24" t="s">
        <v>2008</v>
      </c>
      <c r="J2337" s="15" t="s">
        <v>37</v>
      </c>
      <c r="K2337" s="16" t="s">
        <v>57</v>
      </c>
      <c r="L2337" s="62"/>
      <c r="M2337" s="15"/>
      <c r="N2337" s="15" t="s">
        <v>130</v>
      </c>
      <c r="O2337" s="15"/>
      <c r="P2337" s="16" t="s">
        <v>32</v>
      </c>
      <c r="Q2337" s="17">
        <v>3399</v>
      </c>
      <c r="R2337" s="18">
        <v>45</v>
      </c>
      <c r="S2337" s="19">
        <v>2149.8674999999998</v>
      </c>
      <c r="T2337" s="20" t="s">
        <v>33</v>
      </c>
      <c r="U2337" s="21" t="s">
        <v>150</v>
      </c>
      <c r="V2337" s="25" t="s">
        <v>761</v>
      </c>
      <c r="W2337" s="22">
        <v>1</v>
      </c>
      <c r="X2337" s="23"/>
    </row>
    <row r="2338" spans="1:24" s="1" customFormat="1" ht="108" customHeight="1" x14ac:dyDescent="0.3">
      <c r="A2338" s="11" t="s">
        <v>23</v>
      </c>
      <c r="B2338" s="11" t="s">
        <v>2224</v>
      </c>
      <c r="C2338" s="12" t="s">
        <v>2225</v>
      </c>
      <c r="D2338" s="13"/>
      <c r="E2338" s="43" t="str">
        <f>HYPERLINK("https://www.google.ru/search?q=16143-2442&amp;newwindow=1&amp;tbm=isch","Еще фото")</f>
        <v>Еще фото</v>
      </c>
      <c r="F2338" s="14"/>
      <c r="G2338" s="11" t="s">
        <v>1534</v>
      </c>
      <c r="H2338" s="11" t="s">
        <v>27</v>
      </c>
      <c r="I2338" s="15" t="s">
        <v>2008</v>
      </c>
      <c r="J2338" s="15" t="s">
        <v>37</v>
      </c>
      <c r="K2338" s="16" t="s">
        <v>57</v>
      </c>
      <c r="L2338" s="15" t="s">
        <v>2038</v>
      </c>
      <c r="M2338" s="15"/>
      <c r="N2338" s="15" t="s">
        <v>83</v>
      </c>
      <c r="O2338" s="15"/>
      <c r="P2338" s="16" t="s">
        <v>32</v>
      </c>
      <c r="Q2338" s="17">
        <v>3399</v>
      </c>
      <c r="R2338" s="18">
        <v>45</v>
      </c>
      <c r="S2338" s="19">
        <v>2149.8674999999998</v>
      </c>
      <c r="T2338" s="20" t="s">
        <v>33</v>
      </c>
      <c r="U2338" s="21" t="s">
        <v>64</v>
      </c>
      <c r="V2338" s="22">
        <v>48</v>
      </c>
      <c r="W2338" s="22">
        <v>1</v>
      </c>
      <c r="X2338" s="23"/>
    </row>
    <row r="2339" spans="1:24" s="1" customFormat="1" ht="35" customHeight="1" x14ac:dyDescent="0.3">
      <c r="A2339" s="11" t="s">
        <v>23</v>
      </c>
      <c r="B2339" s="11" t="s">
        <v>2226</v>
      </c>
      <c r="C2339" s="12" t="s">
        <v>2227</v>
      </c>
      <c r="D2339" s="57"/>
      <c r="E2339" s="43" t="str">
        <f>HYPERLINK("https://www.google.ru/search?q=16143-2496&amp;newwindow=1&amp;tbm=isch","Еще фото")</f>
        <v>Еще фото</v>
      </c>
      <c r="F2339" s="34" t="s">
        <v>469</v>
      </c>
      <c r="G2339" s="11" t="s">
        <v>1534</v>
      </c>
      <c r="H2339" s="11" t="s">
        <v>27</v>
      </c>
      <c r="I2339" s="15" t="s">
        <v>2008</v>
      </c>
      <c r="J2339" s="15" t="s">
        <v>37</v>
      </c>
      <c r="K2339" s="16" t="s">
        <v>57</v>
      </c>
      <c r="L2339" s="60" t="s">
        <v>2038</v>
      </c>
      <c r="M2339" s="15"/>
      <c r="N2339" s="15" t="s">
        <v>87</v>
      </c>
      <c r="O2339" s="15"/>
      <c r="P2339" s="16" t="s">
        <v>32</v>
      </c>
      <c r="Q2339" s="17">
        <v>5099</v>
      </c>
      <c r="R2339" s="18">
        <v>45</v>
      </c>
      <c r="S2339" s="19">
        <v>3225.1174999999994</v>
      </c>
      <c r="T2339" s="20" t="s">
        <v>33</v>
      </c>
      <c r="U2339" s="21" t="s">
        <v>62</v>
      </c>
      <c r="V2339" s="22">
        <v>46</v>
      </c>
      <c r="W2339" s="22">
        <v>3</v>
      </c>
      <c r="X2339" s="23"/>
    </row>
    <row r="2340" spans="1:24" s="1" customFormat="1" ht="35" customHeight="1" x14ac:dyDescent="0.3">
      <c r="A2340" s="24" t="s">
        <v>23</v>
      </c>
      <c r="B2340" s="24" t="s">
        <v>2226</v>
      </c>
      <c r="C2340" s="12" t="s">
        <v>2227</v>
      </c>
      <c r="D2340" s="58"/>
      <c r="E2340" s="43" t="str">
        <f>HYPERLINK("https://www.google.ru/search?q=16143-2496&amp;newwindow=1&amp;tbm=isch","Еще фото")</f>
        <v>Еще фото</v>
      </c>
      <c r="F2340" s="34" t="s">
        <v>469</v>
      </c>
      <c r="G2340" s="24" t="s">
        <v>1534</v>
      </c>
      <c r="H2340" s="24" t="s">
        <v>27</v>
      </c>
      <c r="I2340" s="24" t="s">
        <v>2008</v>
      </c>
      <c r="J2340" s="15" t="s">
        <v>37</v>
      </c>
      <c r="K2340" s="16" t="s">
        <v>57</v>
      </c>
      <c r="L2340" s="61"/>
      <c r="M2340" s="15"/>
      <c r="N2340" s="15" t="s">
        <v>87</v>
      </c>
      <c r="O2340" s="15"/>
      <c r="P2340" s="16" t="s">
        <v>32</v>
      </c>
      <c r="Q2340" s="17">
        <v>5099</v>
      </c>
      <c r="R2340" s="18">
        <v>45</v>
      </c>
      <c r="S2340" s="19">
        <v>3225.1174999999994</v>
      </c>
      <c r="T2340" s="20" t="s">
        <v>33</v>
      </c>
      <c r="U2340" s="21" t="s">
        <v>64</v>
      </c>
      <c r="V2340" s="22">
        <v>48</v>
      </c>
      <c r="W2340" s="22">
        <v>3</v>
      </c>
      <c r="X2340" s="23"/>
    </row>
    <row r="2341" spans="1:24" s="1" customFormat="1" ht="37.049999999999997" customHeight="1" x14ac:dyDescent="0.3">
      <c r="A2341" s="24" t="s">
        <v>23</v>
      </c>
      <c r="B2341" s="24" t="s">
        <v>2226</v>
      </c>
      <c r="C2341" s="12" t="s">
        <v>2227</v>
      </c>
      <c r="D2341" s="59"/>
      <c r="E2341" s="43" t="str">
        <f>HYPERLINK("https://www.google.ru/search?q=16143-2496&amp;newwindow=1&amp;tbm=isch","Еще фото")</f>
        <v>Еще фото</v>
      </c>
      <c r="F2341" s="34" t="s">
        <v>469</v>
      </c>
      <c r="G2341" s="24" t="s">
        <v>1534</v>
      </c>
      <c r="H2341" s="24" t="s">
        <v>27</v>
      </c>
      <c r="I2341" s="24" t="s">
        <v>2008</v>
      </c>
      <c r="J2341" s="15" t="s">
        <v>37</v>
      </c>
      <c r="K2341" s="16" t="s">
        <v>57</v>
      </c>
      <c r="L2341" s="62"/>
      <c r="M2341" s="15"/>
      <c r="N2341" s="15" t="s">
        <v>87</v>
      </c>
      <c r="O2341" s="15"/>
      <c r="P2341" s="16" t="s">
        <v>32</v>
      </c>
      <c r="Q2341" s="17">
        <v>5099</v>
      </c>
      <c r="R2341" s="18">
        <v>45</v>
      </c>
      <c r="S2341" s="19">
        <v>3225.1174999999994</v>
      </c>
      <c r="T2341" s="20" t="s">
        <v>33</v>
      </c>
      <c r="U2341" s="21" t="s">
        <v>150</v>
      </c>
      <c r="V2341" s="25" t="s">
        <v>761</v>
      </c>
      <c r="W2341" s="22">
        <v>2</v>
      </c>
      <c r="X2341" s="23"/>
    </row>
    <row r="2342" spans="1:24" s="1" customFormat="1" ht="108" customHeight="1" x14ac:dyDescent="0.3">
      <c r="A2342" s="11" t="s">
        <v>23</v>
      </c>
      <c r="B2342" s="11" t="s">
        <v>2036</v>
      </c>
      <c r="C2342" s="12" t="s">
        <v>2228</v>
      </c>
      <c r="D2342" s="13"/>
      <c r="E2342" s="43" t="str">
        <f>HYPERLINK("https://www.google.ru/search?q=16143-2497&amp;newwindow=1&amp;tbm=isch","Еще фото")</f>
        <v>Еще фото</v>
      </c>
      <c r="F2342" s="14"/>
      <c r="G2342" s="11" t="s">
        <v>1534</v>
      </c>
      <c r="H2342" s="11" t="s">
        <v>27</v>
      </c>
      <c r="I2342" s="15" t="s">
        <v>2008</v>
      </c>
      <c r="J2342" s="15" t="s">
        <v>37</v>
      </c>
      <c r="K2342" s="16" t="s">
        <v>57</v>
      </c>
      <c r="L2342" s="15" t="s">
        <v>2038</v>
      </c>
      <c r="M2342" s="15"/>
      <c r="N2342" s="15" t="s">
        <v>87</v>
      </c>
      <c r="O2342" s="15"/>
      <c r="P2342" s="16" t="s">
        <v>32</v>
      </c>
      <c r="Q2342" s="17">
        <v>4799</v>
      </c>
      <c r="R2342" s="18">
        <v>45</v>
      </c>
      <c r="S2342" s="19">
        <v>3035.3674999999994</v>
      </c>
      <c r="T2342" s="20" t="s">
        <v>33</v>
      </c>
      <c r="U2342" s="21" t="s">
        <v>64</v>
      </c>
      <c r="V2342" s="22">
        <v>48</v>
      </c>
      <c r="W2342" s="22">
        <v>2</v>
      </c>
      <c r="X2342" s="23"/>
    </row>
    <row r="2343" spans="1:24" s="1" customFormat="1" ht="35" customHeight="1" x14ac:dyDescent="0.3">
      <c r="A2343" s="11" t="s">
        <v>23</v>
      </c>
      <c r="B2343" s="11" t="s">
        <v>2226</v>
      </c>
      <c r="C2343" s="12" t="s">
        <v>2229</v>
      </c>
      <c r="D2343" s="57"/>
      <c r="E2343" s="43" t="str">
        <f>HYPERLINK("https://www.google.ru/search?q=16143-2615&amp;newwindow=1&amp;tbm=isch","Еще фото")</f>
        <v>Еще фото</v>
      </c>
      <c r="F2343" s="14"/>
      <c r="G2343" s="11" t="s">
        <v>1534</v>
      </c>
      <c r="H2343" s="11" t="s">
        <v>27</v>
      </c>
      <c r="I2343" s="15" t="s">
        <v>2008</v>
      </c>
      <c r="J2343" s="15" t="s">
        <v>37</v>
      </c>
      <c r="K2343" s="16" t="s">
        <v>57</v>
      </c>
      <c r="L2343" s="60"/>
      <c r="M2343" s="15"/>
      <c r="N2343" s="15" t="s">
        <v>87</v>
      </c>
      <c r="O2343" s="15"/>
      <c r="P2343" s="16" t="s">
        <v>172</v>
      </c>
      <c r="Q2343" s="17">
        <v>4899</v>
      </c>
      <c r="R2343" s="18">
        <v>45</v>
      </c>
      <c r="S2343" s="19">
        <v>3098.6174999999994</v>
      </c>
      <c r="T2343" s="20" t="s">
        <v>33</v>
      </c>
      <c r="U2343" s="21" t="s">
        <v>62</v>
      </c>
      <c r="V2343" s="22">
        <v>46</v>
      </c>
      <c r="W2343" s="22">
        <v>5</v>
      </c>
      <c r="X2343" s="23"/>
    </row>
    <row r="2344" spans="1:24" s="1" customFormat="1" ht="35" customHeight="1" x14ac:dyDescent="0.3">
      <c r="A2344" s="24" t="s">
        <v>23</v>
      </c>
      <c r="B2344" s="24" t="s">
        <v>2226</v>
      </c>
      <c r="C2344" s="12" t="s">
        <v>2229</v>
      </c>
      <c r="D2344" s="58"/>
      <c r="E2344" s="43" t="str">
        <f>HYPERLINK("https://www.google.ru/search?q=16143-2615&amp;newwindow=1&amp;tbm=isch","Еще фото")</f>
        <v>Еще фото</v>
      </c>
      <c r="F2344" s="14"/>
      <c r="G2344" s="24" t="s">
        <v>1534</v>
      </c>
      <c r="H2344" s="24" t="s">
        <v>27</v>
      </c>
      <c r="I2344" s="24" t="s">
        <v>2008</v>
      </c>
      <c r="J2344" s="15" t="s">
        <v>37</v>
      </c>
      <c r="K2344" s="16" t="s">
        <v>57</v>
      </c>
      <c r="L2344" s="61"/>
      <c r="M2344" s="15"/>
      <c r="N2344" s="15" t="s">
        <v>87</v>
      </c>
      <c r="O2344" s="15"/>
      <c r="P2344" s="16" t="s">
        <v>172</v>
      </c>
      <c r="Q2344" s="17">
        <v>4899</v>
      </c>
      <c r="R2344" s="18">
        <v>45</v>
      </c>
      <c r="S2344" s="19">
        <v>3098.6174999999994</v>
      </c>
      <c r="T2344" s="20" t="s">
        <v>33</v>
      </c>
      <c r="U2344" s="21" t="s">
        <v>64</v>
      </c>
      <c r="V2344" s="22">
        <v>48</v>
      </c>
      <c r="W2344" s="22">
        <v>10</v>
      </c>
      <c r="X2344" s="23"/>
    </row>
    <row r="2345" spans="1:24" s="1" customFormat="1" ht="37.049999999999997" customHeight="1" x14ac:dyDescent="0.3">
      <c r="A2345" s="24" t="s">
        <v>23</v>
      </c>
      <c r="B2345" s="24" t="s">
        <v>2226</v>
      </c>
      <c r="C2345" s="12" t="s">
        <v>2229</v>
      </c>
      <c r="D2345" s="59"/>
      <c r="E2345" s="43" t="str">
        <f>HYPERLINK("https://www.google.ru/search?q=16143-2615&amp;newwindow=1&amp;tbm=isch","Еще фото")</f>
        <v>Еще фото</v>
      </c>
      <c r="F2345" s="14"/>
      <c r="G2345" s="24" t="s">
        <v>1534</v>
      </c>
      <c r="H2345" s="24" t="s">
        <v>27</v>
      </c>
      <c r="I2345" s="24" t="s">
        <v>2008</v>
      </c>
      <c r="J2345" s="15" t="s">
        <v>37</v>
      </c>
      <c r="K2345" s="16" t="s">
        <v>57</v>
      </c>
      <c r="L2345" s="62"/>
      <c r="M2345" s="15"/>
      <c r="N2345" s="15" t="s">
        <v>87</v>
      </c>
      <c r="O2345" s="15"/>
      <c r="P2345" s="16" t="s">
        <v>172</v>
      </c>
      <c r="Q2345" s="17">
        <v>4899</v>
      </c>
      <c r="R2345" s="18">
        <v>45</v>
      </c>
      <c r="S2345" s="19">
        <v>3098.6174999999994</v>
      </c>
      <c r="T2345" s="20" t="s">
        <v>33</v>
      </c>
      <c r="U2345" s="21" t="s">
        <v>34</v>
      </c>
      <c r="V2345" s="25" t="s">
        <v>90</v>
      </c>
      <c r="W2345" s="22">
        <v>12</v>
      </c>
      <c r="X2345" s="23"/>
    </row>
    <row r="2346" spans="1:24" s="1" customFormat="1" ht="35" customHeight="1" x14ac:dyDescent="0.3">
      <c r="A2346" s="11" t="s">
        <v>23</v>
      </c>
      <c r="B2346" s="11" t="s">
        <v>2230</v>
      </c>
      <c r="C2346" s="12" t="s">
        <v>2231</v>
      </c>
      <c r="D2346" s="57"/>
      <c r="E2346" s="43" t="str">
        <f>HYPERLINK("https://www.google.ru/search?q=17369-0053&amp;newwindow=1&amp;tbm=isch","Еще фото")</f>
        <v>Еще фото</v>
      </c>
      <c r="F2346" s="14"/>
      <c r="G2346" s="11" t="s">
        <v>1534</v>
      </c>
      <c r="H2346" s="11" t="s">
        <v>27</v>
      </c>
      <c r="I2346" s="15" t="s">
        <v>2008</v>
      </c>
      <c r="J2346" s="15" t="s">
        <v>28</v>
      </c>
      <c r="K2346" s="16" t="s">
        <v>29</v>
      </c>
      <c r="L2346" s="60" t="s">
        <v>2024</v>
      </c>
      <c r="M2346" s="15" t="s">
        <v>72</v>
      </c>
      <c r="N2346" s="15" t="s">
        <v>31</v>
      </c>
      <c r="O2346" s="15" t="s">
        <v>121</v>
      </c>
      <c r="P2346" s="16" t="s">
        <v>172</v>
      </c>
      <c r="Q2346" s="17">
        <v>4699</v>
      </c>
      <c r="R2346" s="18">
        <v>45</v>
      </c>
      <c r="S2346" s="19">
        <v>2972.1174999999994</v>
      </c>
      <c r="T2346" s="20" t="s">
        <v>33</v>
      </c>
      <c r="U2346" s="21" t="s">
        <v>62</v>
      </c>
      <c r="V2346" s="22">
        <v>44</v>
      </c>
      <c r="W2346" s="22">
        <v>2</v>
      </c>
      <c r="X2346" s="23"/>
    </row>
    <row r="2347" spans="1:24" s="1" customFormat="1" ht="35" customHeight="1" x14ac:dyDescent="0.3">
      <c r="A2347" s="24" t="s">
        <v>23</v>
      </c>
      <c r="B2347" s="24" t="s">
        <v>2230</v>
      </c>
      <c r="C2347" s="12" t="s">
        <v>2231</v>
      </c>
      <c r="D2347" s="58"/>
      <c r="E2347" s="43" t="str">
        <f>HYPERLINK("https://www.google.ru/search?q=17369-0053&amp;newwindow=1&amp;tbm=isch","Еще фото")</f>
        <v>Еще фото</v>
      </c>
      <c r="F2347" s="14"/>
      <c r="G2347" s="24" t="s">
        <v>1534</v>
      </c>
      <c r="H2347" s="24" t="s">
        <v>27</v>
      </c>
      <c r="I2347" s="24" t="s">
        <v>2008</v>
      </c>
      <c r="J2347" s="15" t="s">
        <v>28</v>
      </c>
      <c r="K2347" s="16" t="s">
        <v>29</v>
      </c>
      <c r="L2347" s="61"/>
      <c r="M2347" s="15" t="s">
        <v>72</v>
      </c>
      <c r="N2347" s="15" t="s">
        <v>31</v>
      </c>
      <c r="O2347" s="15" t="s">
        <v>121</v>
      </c>
      <c r="P2347" s="16" t="s">
        <v>172</v>
      </c>
      <c r="Q2347" s="17">
        <v>4699</v>
      </c>
      <c r="R2347" s="18">
        <v>45</v>
      </c>
      <c r="S2347" s="19">
        <v>2972.1174999999994</v>
      </c>
      <c r="T2347" s="20" t="s">
        <v>33</v>
      </c>
      <c r="U2347" s="21" t="s">
        <v>64</v>
      </c>
      <c r="V2347" s="22">
        <v>46</v>
      </c>
      <c r="W2347" s="22">
        <v>3</v>
      </c>
      <c r="X2347" s="23"/>
    </row>
    <row r="2348" spans="1:24" s="1" customFormat="1" ht="37.049999999999997" customHeight="1" x14ac:dyDescent="0.3">
      <c r="A2348" s="24" t="s">
        <v>23</v>
      </c>
      <c r="B2348" s="24" t="s">
        <v>2230</v>
      </c>
      <c r="C2348" s="12" t="s">
        <v>2231</v>
      </c>
      <c r="D2348" s="59"/>
      <c r="E2348" s="43" t="str">
        <f>HYPERLINK("https://www.google.ru/search?q=17369-0053&amp;newwindow=1&amp;tbm=isch","Еще фото")</f>
        <v>Еще фото</v>
      </c>
      <c r="F2348" s="14"/>
      <c r="G2348" s="24" t="s">
        <v>1534</v>
      </c>
      <c r="H2348" s="24" t="s">
        <v>27</v>
      </c>
      <c r="I2348" s="24" t="s">
        <v>2008</v>
      </c>
      <c r="J2348" s="15" t="s">
        <v>28</v>
      </c>
      <c r="K2348" s="16" t="s">
        <v>29</v>
      </c>
      <c r="L2348" s="62"/>
      <c r="M2348" s="15" t="s">
        <v>72</v>
      </c>
      <c r="N2348" s="15" t="s">
        <v>31</v>
      </c>
      <c r="O2348" s="15" t="s">
        <v>121</v>
      </c>
      <c r="P2348" s="16" t="s">
        <v>172</v>
      </c>
      <c r="Q2348" s="17">
        <v>4699</v>
      </c>
      <c r="R2348" s="18">
        <v>45</v>
      </c>
      <c r="S2348" s="19">
        <v>2972.1174999999994</v>
      </c>
      <c r="T2348" s="20" t="s">
        <v>33</v>
      </c>
      <c r="U2348" s="21" t="s">
        <v>34</v>
      </c>
      <c r="V2348" s="22">
        <v>48</v>
      </c>
      <c r="W2348" s="22">
        <v>29</v>
      </c>
      <c r="X2348" s="23"/>
    </row>
    <row r="2349" spans="1:24" s="1" customFormat="1" ht="26" customHeight="1" x14ac:dyDescent="0.3">
      <c r="A2349" s="11" t="s">
        <v>23</v>
      </c>
      <c r="B2349" s="11" t="s">
        <v>2232</v>
      </c>
      <c r="C2349" s="12" t="s">
        <v>2233</v>
      </c>
      <c r="D2349" s="57"/>
      <c r="E2349" s="43" t="str">
        <f>HYPERLINK("https://www.google.ru/search?q=17369-0201&amp;newwindow=1&amp;tbm=isch","Еще фото")</f>
        <v>Еще фото</v>
      </c>
      <c r="F2349" s="14" t="s">
        <v>182</v>
      </c>
      <c r="G2349" s="11" t="s">
        <v>1534</v>
      </c>
      <c r="H2349" s="11" t="s">
        <v>27</v>
      </c>
      <c r="I2349" s="15" t="s">
        <v>2008</v>
      </c>
      <c r="J2349" s="15" t="s">
        <v>28</v>
      </c>
      <c r="K2349" s="16" t="s">
        <v>29</v>
      </c>
      <c r="L2349" s="60" t="s">
        <v>2024</v>
      </c>
      <c r="M2349" s="15" t="s">
        <v>72</v>
      </c>
      <c r="N2349" s="15" t="s">
        <v>39</v>
      </c>
      <c r="O2349" s="15" t="s">
        <v>121</v>
      </c>
      <c r="P2349" s="16" t="s">
        <v>172</v>
      </c>
      <c r="Q2349" s="17">
        <v>4399</v>
      </c>
      <c r="R2349" s="18">
        <v>45</v>
      </c>
      <c r="S2349" s="19">
        <v>2782.3674999999994</v>
      </c>
      <c r="T2349" s="20" t="s">
        <v>33</v>
      </c>
      <c r="U2349" s="21" t="s">
        <v>61</v>
      </c>
      <c r="V2349" s="22">
        <v>42</v>
      </c>
      <c r="W2349" s="22">
        <v>2</v>
      </c>
      <c r="X2349" s="23"/>
    </row>
    <row r="2350" spans="1:24" s="1" customFormat="1" ht="26" customHeight="1" x14ac:dyDescent="0.3">
      <c r="A2350" s="24" t="s">
        <v>23</v>
      </c>
      <c r="B2350" s="24" t="s">
        <v>2232</v>
      </c>
      <c r="C2350" s="12" t="s">
        <v>2233</v>
      </c>
      <c r="D2350" s="58"/>
      <c r="E2350" s="43" t="str">
        <f>HYPERLINK("https://www.google.ru/search?q=17369-0201&amp;newwindow=1&amp;tbm=isch","Еще фото")</f>
        <v>Еще фото</v>
      </c>
      <c r="F2350" s="14" t="s">
        <v>182</v>
      </c>
      <c r="G2350" s="24" t="s">
        <v>1534</v>
      </c>
      <c r="H2350" s="24" t="s">
        <v>27</v>
      </c>
      <c r="I2350" s="24" t="s">
        <v>2008</v>
      </c>
      <c r="J2350" s="15" t="s">
        <v>28</v>
      </c>
      <c r="K2350" s="16" t="s">
        <v>29</v>
      </c>
      <c r="L2350" s="61"/>
      <c r="M2350" s="15" t="s">
        <v>72</v>
      </c>
      <c r="N2350" s="15" t="s">
        <v>39</v>
      </c>
      <c r="O2350" s="15" t="s">
        <v>121</v>
      </c>
      <c r="P2350" s="16" t="s">
        <v>172</v>
      </c>
      <c r="Q2350" s="17">
        <v>4399</v>
      </c>
      <c r="R2350" s="18">
        <v>45</v>
      </c>
      <c r="S2350" s="19">
        <v>2782.3674999999994</v>
      </c>
      <c r="T2350" s="20" t="s">
        <v>33</v>
      </c>
      <c r="U2350" s="21" t="s">
        <v>64</v>
      </c>
      <c r="V2350" s="22">
        <v>46</v>
      </c>
      <c r="W2350" s="22">
        <v>21</v>
      </c>
      <c r="X2350" s="23"/>
    </row>
    <row r="2351" spans="1:24" s="1" customFormat="1" ht="26" customHeight="1" x14ac:dyDescent="0.3">
      <c r="A2351" s="24" t="s">
        <v>23</v>
      </c>
      <c r="B2351" s="24" t="s">
        <v>2232</v>
      </c>
      <c r="C2351" s="12" t="s">
        <v>2233</v>
      </c>
      <c r="D2351" s="58"/>
      <c r="E2351" s="43" t="str">
        <f>HYPERLINK("https://www.google.ru/search?q=17369-0201&amp;newwindow=1&amp;tbm=isch","Еще фото")</f>
        <v>Еще фото</v>
      </c>
      <c r="F2351" s="14" t="s">
        <v>182</v>
      </c>
      <c r="G2351" s="24" t="s">
        <v>1534</v>
      </c>
      <c r="H2351" s="24" t="s">
        <v>27</v>
      </c>
      <c r="I2351" s="24" t="s">
        <v>2008</v>
      </c>
      <c r="J2351" s="15" t="s">
        <v>28</v>
      </c>
      <c r="K2351" s="16" t="s">
        <v>29</v>
      </c>
      <c r="L2351" s="61"/>
      <c r="M2351" s="15" t="s">
        <v>72</v>
      </c>
      <c r="N2351" s="15" t="s">
        <v>39</v>
      </c>
      <c r="O2351" s="15" t="s">
        <v>121</v>
      </c>
      <c r="P2351" s="16" t="s">
        <v>172</v>
      </c>
      <c r="Q2351" s="17">
        <v>4399</v>
      </c>
      <c r="R2351" s="18">
        <v>45</v>
      </c>
      <c r="S2351" s="19">
        <v>2782.3674999999994</v>
      </c>
      <c r="T2351" s="20" t="s">
        <v>33</v>
      </c>
      <c r="U2351" s="21" t="s">
        <v>34</v>
      </c>
      <c r="V2351" s="22">
        <v>48</v>
      </c>
      <c r="W2351" s="22">
        <v>20</v>
      </c>
      <c r="X2351" s="23"/>
    </row>
    <row r="2352" spans="1:24" s="1" customFormat="1" ht="26" customHeight="1" x14ac:dyDescent="0.3">
      <c r="A2352" s="24" t="s">
        <v>23</v>
      </c>
      <c r="B2352" s="24" t="s">
        <v>2232</v>
      </c>
      <c r="C2352" s="12" t="s">
        <v>2233</v>
      </c>
      <c r="D2352" s="59"/>
      <c r="E2352" s="43" t="str">
        <f>HYPERLINK("https://www.google.ru/search?q=17369-0201&amp;newwindow=1&amp;tbm=isch","Еще фото")</f>
        <v>Еще фото</v>
      </c>
      <c r="F2352" s="14" t="s">
        <v>182</v>
      </c>
      <c r="G2352" s="24" t="s">
        <v>1534</v>
      </c>
      <c r="H2352" s="24" t="s">
        <v>27</v>
      </c>
      <c r="I2352" s="24" t="s">
        <v>2008</v>
      </c>
      <c r="J2352" s="15" t="s">
        <v>28</v>
      </c>
      <c r="K2352" s="16" t="s">
        <v>29</v>
      </c>
      <c r="L2352" s="62"/>
      <c r="M2352" s="15" t="s">
        <v>72</v>
      </c>
      <c r="N2352" s="15" t="s">
        <v>39</v>
      </c>
      <c r="O2352" s="15" t="s">
        <v>121</v>
      </c>
      <c r="P2352" s="16" t="s">
        <v>172</v>
      </c>
      <c r="Q2352" s="17">
        <v>4399</v>
      </c>
      <c r="R2352" s="18">
        <v>45</v>
      </c>
      <c r="S2352" s="19">
        <v>2782.3674999999994</v>
      </c>
      <c r="T2352" s="20" t="s">
        <v>33</v>
      </c>
      <c r="U2352" s="21" t="s">
        <v>150</v>
      </c>
      <c r="V2352" s="25" t="s">
        <v>90</v>
      </c>
      <c r="W2352" s="22">
        <v>8</v>
      </c>
      <c r="X2352" s="23"/>
    </row>
    <row r="2353" spans="1:24" s="1" customFormat="1" ht="26" customHeight="1" x14ac:dyDescent="0.3">
      <c r="A2353" s="11" t="s">
        <v>23</v>
      </c>
      <c r="B2353" s="11" t="s">
        <v>2234</v>
      </c>
      <c r="C2353" s="12" t="s">
        <v>2235</v>
      </c>
      <c r="D2353" s="57"/>
      <c r="E2353" s="43" t="str">
        <f>HYPERLINK("https://www.google.ru/search?q=17369-0297&amp;newwindow=1&amp;tbm=isch","Еще фото")</f>
        <v>Еще фото</v>
      </c>
      <c r="F2353" s="14"/>
      <c r="G2353" s="11" t="s">
        <v>1534</v>
      </c>
      <c r="H2353" s="11" t="s">
        <v>27</v>
      </c>
      <c r="I2353" s="15" t="s">
        <v>2008</v>
      </c>
      <c r="J2353" s="15" t="s">
        <v>28</v>
      </c>
      <c r="K2353" s="16" t="s">
        <v>29</v>
      </c>
      <c r="L2353" s="60" t="s">
        <v>2236</v>
      </c>
      <c r="M2353" s="15" t="s">
        <v>72</v>
      </c>
      <c r="N2353" s="15" t="s">
        <v>31</v>
      </c>
      <c r="O2353" s="15" t="s">
        <v>121</v>
      </c>
      <c r="P2353" s="16" t="s">
        <v>172</v>
      </c>
      <c r="Q2353" s="17">
        <v>4899</v>
      </c>
      <c r="R2353" s="18">
        <v>45</v>
      </c>
      <c r="S2353" s="19">
        <v>3098.6174999999994</v>
      </c>
      <c r="T2353" s="20" t="s">
        <v>33</v>
      </c>
      <c r="U2353" s="21" t="s">
        <v>62</v>
      </c>
      <c r="V2353" s="22">
        <v>44</v>
      </c>
      <c r="W2353" s="22">
        <v>8</v>
      </c>
      <c r="X2353" s="23"/>
    </row>
    <row r="2354" spans="1:24" s="1" customFormat="1" ht="26" customHeight="1" x14ac:dyDescent="0.3">
      <c r="A2354" s="24" t="s">
        <v>23</v>
      </c>
      <c r="B2354" s="24" t="s">
        <v>2234</v>
      </c>
      <c r="C2354" s="12" t="s">
        <v>2235</v>
      </c>
      <c r="D2354" s="58"/>
      <c r="E2354" s="43" t="str">
        <f>HYPERLINK("https://www.google.ru/search?q=17369-0297&amp;newwindow=1&amp;tbm=isch","Еще фото")</f>
        <v>Еще фото</v>
      </c>
      <c r="F2354" s="14"/>
      <c r="G2354" s="24" t="s">
        <v>1534</v>
      </c>
      <c r="H2354" s="24" t="s">
        <v>27</v>
      </c>
      <c r="I2354" s="24" t="s">
        <v>2008</v>
      </c>
      <c r="J2354" s="15" t="s">
        <v>28</v>
      </c>
      <c r="K2354" s="16" t="s">
        <v>29</v>
      </c>
      <c r="L2354" s="61"/>
      <c r="M2354" s="15" t="s">
        <v>72</v>
      </c>
      <c r="N2354" s="15" t="s">
        <v>31</v>
      </c>
      <c r="O2354" s="15" t="s">
        <v>121</v>
      </c>
      <c r="P2354" s="16" t="s">
        <v>172</v>
      </c>
      <c r="Q2354" s="17">
        <v>4899</v>
      </c>
      <c r="R2354" s="18">
        <v>45</v>
      </c>
      <c r="S2354" s="19">
        <v>3098.6174999999994</v>
      </c>
      <c r="T2354" s="20" t="s">
        <v>33</v>
      </c>
      <c r="U2354" s="21" t="s">
        <v>64</v>
      </c>
      <c r="V2354" s="22">
        <v>46</v>
      </c>
      <c r="W2354" s="22">
        <v>14</v>
      </c>
      <c r="X2354" s="23"/>
    </row>
    <row r="2355" spans="1:24" s="1" customFormat="1" ht="26" customHeight="1" x14ac:dyDescent="0.3">
      <c r="A2355" s="24" t="s">
        <v>23</v>
      </c>
      <c r="B2355" s="24" t="s">
        <v>2234</v>
      </c>
      <c r="C2355" s="12" t="s">
        <v>2235</v>
      </c>
      <c r="D2355" s="58"/>
      <c r="E2355" s="43" t="str">
        <f>HYPERLINK("https://www.google.ru/search?q=17369-0297&amp;newwindow=1&amp;tbm=isch","Еще фото")</f>
        <v>Еще фото</v>
      </c>
      <c r="F2355" s="14"/>
      <c r="G2355" s="24" t="s">
        <v>1534</v>
      </c>
      <c r="H2355" s="24" t="s">
        <v>27</v>
      </c>
      <c r="I2355" s="24" t="s">
        <v>2008</v>
      </c>
      <c r="J2355" s="15" t="s">
        <v>28</v>
      </c>
      <c r="K2355" s="16" t="s">
        <v>29</v>
      </c>
      <c r="L2355" s="61"/>
      <c r="M2355" s="15" t="s">
        <v>72</v>
      </c>
      <c r="N2355" s="15" t="s">
        <v>31</v>
      </c>
      <c r="O2355" s="15" t="s">
        <v>121</v>
      </c>
      <c r="P2355" s="16" t="s">
        <v>172</v>
      </c>
      <c r="Q2355" s="17">
        <v>4899</v>
      </c>
      <c r="R2355" s="18">
        <v>45</v>
      </c>
      <c r="S2355" s="19">
        <v>3098.6174999999994</v>
      </c>
      <c r="T2355" s="20" t="s">
        <v>33</v>
      </c>
      <c r="U2355" s="21" t="s">
        <v>34</v>
      </c>
      <c r="V2355" s="22">
        <v>48</v>
      </c>
      <c r="W2355" s="22">
        <v>24</v>
      </c>
      <c r="X2355" s="23"/>
    </row>
    <row r="2356" spans="1:24" s="1" customFormat="1" ht="26" customHeight="1" x14ac:dyDescent="0.3">
      <c r="A2356" s="24" t="s">
        <v>23</v>
      </c>
      <c r="B2356" s="24" t="s">
        <v>2234</v>
      </c>
      <c r="C2356" s="12" t="s">
        <v>2235</v>
      </c>
      <c r="D2356" s="59"/>
      <c r="E2356" s="43" t="str">
        <f>HYPERLINK("https://www.google.ru/search?q=17369-0297&amp;newwindow=1&amp;tbm=isch","Еще фото")</f>
        <v>Еще фото</v>
      </c>
      <c r="F2356" s="14"/>
      <c r="G2356" s="24" t="s">
        <v>1534</v>
      </c>
      <c r="H2356" s="24" t="s">
        <v>27</v>
      </c>
      <c r="I2356" s="24" t="s">
        <v>2008</v>
      </c>
      <c r="J2356" s="15" t="s">
        <v>28</v>
      </c>
      <c r="K2356" s="16" t="s">
        <v>29</v>
      </c>
      <c r="L2356" s="62"/>
      <c r="M2356" s="15" t="s">
        <v>72</v>
      </c>
      <c r="N2356" s="15" t="s">
        <v>31</v>
      </c>
      <c r="O2356" s="15" t="s">
        <v>121</v>
      </c>
      <c r="P2356" s="16" t="s">
        <v>172</v>
      </c>
      <c r="Q2356" s="17">
        <v>4899</v>
      </c>
      <c r="R2356" s="18">
        <v>45</v>
      </c>
      <c r="S2356" s="19">
        <v>3098.6174999999994</v>
      </c>
      <c r="T2356" s="20" t="s">
        <v>33</v>
      </c>
      <c r="U2356" s="21" t="s">
        <v>150</v>
      </c>
      <c r="V2356" s="25" t="s">
        <v>90</v>
      </c>
      <c r="W2356" s="22">
        <v>7</v>
      </c>
      <c r="X2356" s="23"/>
    </row>
    <row r="2357" spans="1:24" s="1" customFormat="1" ht="52.05" customHeight="1" x14ac:dyDescent="0.3">
      <c r="A2357" s="11" t="s">
        <v>23</v>
      </c>
      <c r="B2357" s="11" t="s">
        <v>2234</v>
      </c>
      <c r="C2357" s="12" t="s">
        <v>2237</v>
      </c>
      <c r="D2357" s="63"/>
      <c r="E2357" s="43" t="str">
        <f>HYPERLINK("https://www.google.ru/search?q=17369-0303&amp;newwindow=1&amp;tbm=isch","Еще фото")</f>
        <v>Еще фото</v>
      </c>
      <c r="F2357" s="14"/>
      <c r="G2357" s="11" t="s">
        <v>1534</v>
      </c>
      <c r="H2357" s="11" t="s">
        <v>27</v>
      </c>
      <c r="I2357" s="15" t="s">
        <v>2008</v>
      </c>
      <c r="J2357" s="15" t="s">
        <v>28</v>
      </c>
      <c r="K2357" s="16" t="s">
        <v>29</v>
      </c>
      <c r="L2357" s="60" t="s">
        <v>2236</v>
      </c>
      <c r="M2357" s="15" t="s">
        <v>72</v>
      </c>
      <c r="N2357" s="15" t="s">
        <v>87</v>
      </c>
      <c r="O2357" s="15" t="s">
        <v>121</v>
      </c>
      <c r="P2357" s="16" t="s">
        <v>32</v>
      </c>
      <c r="Q2357" s="17">
        <v>3799</v>
      </c>
      <c r="R2357" s="18">
        <v>45</v>
      </c>
      <c r="S2357" s="19">
        <v>2402.8674999999994</v>
      </c>
      <c r="T2357" s="20" t="s">
        <v>33</v>
      </c>
      <c r="U2357" s="21" t="s">
        <v>61</v>
      </c>
      <c r="V2357" s="22">
        <v>42</v>
      </c>
      <c r="W2357" s="22">
        <v>9</v>
      </c>
      <c r="X2357" s="23"/>
    </row>
    <row r="2358" spans="1:24" s="1" customFormat="1" ht="61.05" customHeight="1" x14ac:dyDescent="0.3">
      <c r="A2358" s="24" t="s">
        <v>23</v>
      </c>
      <c r="B2358" s="24" t="s">
        <v>2234</v>
      </c>
      <c r="C2358" s="12" t="s">
        <v>2237</v>
      </c>
      <c r="D2358" s="64"/>
      <c r="E2358" s="43" t="str">
        <f>HYPERLINK("https://www.google.ru/search?q=17369-0303&amp;newwindow=1&amp;tbm=isch","Еще фото")</f>
        <v>Еще фото</v>
      </c>
      <c r="F2358" s="14"/>
      <c r="G2358" s="24" t="s">
        <v>1534</v>
      </c>
      <c r="H2358" s="24" t="s">
        <v>27</v>
      </c>
      <c r="I2358" s="24" t="s">
        <v>2008</v>
      </c>
      <c r="J2358" s="15" t="s">
        <v>28</v>
      </c>
      <c r="K2358" s="16" t="s">
        <v>29</v>
      </c>
      <c r="L2358" s="62"/>
      <c r="M2358" s="15" t="s">
        <v>72</v>
      </c>
      <c r="N2358" s="15" t="s">
        <v>87</v>
      </c>
      <c r="O2358" s="15" t="s">
        <v>121</v>
      </c>
      <c r="P2358" s="16" t="s">
        <v>32</v>
      </c>
      <c r="Q2358" s="17">
        <v>3799</v>
      </c>
      <c r="R2358" s="18">
        <v>45</v>
      </c>
      <c r="S2358" s="19">
        <v>2402.8674999999994</v>
      </c>
      <c r="T2358" s="20" t="s">
        <v>33</v>
      </c>
      <c r="U2358" s="21" t="s">
        <v>62</v>
      </c>
      <c r="V2358" s="22">
        <v>44</v>
      </c>
      <c r="W2358" s="22">
        <v>2</v>
      </c>
      <c r="X2358" s="23"/>
    </row>
    <row r="2359" spans="1:24" s="1" customFormat="1" ht="26" customHeight="1" x14ac:dyDescent="0.3">
      <c r="A2359" s="11" t="s">
        <v>23</v>
      </c>
      <c r="B2359" s="11" t="s">
        <v>2238</v>
      </c>
      <c r="C2359" s="12" t="s">
        <v>2239</v>
      </c>
      <c r="D2359" s="57"/>
      <c r="E2359" s="43" t="str">
        <f>HYPERLINK("https://www.google.ru/search?q=17369-0468&amp;newwindow=1&amp;tbm=isch","Еще фото")</f>
        <v>Еще фото</v>
      </c>
      <c r="F2359" s="14"/>
      <c r="G2359" s="11" t="s">
        <v>1534</v>
      </c>
      <c r="H2359" s="11" t="s">
        <v>27</v>
      </c>
      <c r="I2359" s="15" t="s">
        <v>2008</v>
      </c>
      <c r="J2359" s="15" t="s">
        <v>37</v>
      </c>
      <c r="K2359" s="16" t="s">
        <v>29</v>
      </c>
      <c r="L2359" s="60" t="s">
        <v>2021</v>
      </c>
      <c r="M2359" s="15"/>
      <c r="N2359" s="15" t="s">
        <v>31</v>
      </c>
      <c r="O2359" s="15"/>
      <c r="P2359" s="16" t="s">
        <v>172</v>
      </c>
      <c r="Q2359" s="17">
        <v>5399</v>
      </c>
      <c r="R2359" s="18">
        <v>45</v>
      </c>
      <c r="S2359" s="19">
        <v>3414.8674999999994</v>
      </c>
      <c r="T2359" s="20" t="s">
        <v>33</v>
      </c>
      <c r="U2359" s="21" t="s">
        <v>61</v>
      </c>
      <c r="V2359" s="22">
        <v>42</v>
      </c>
      <c r="W2359" s="22">
        <v>6</v>
      </c>
      <c r="X2359" s="23"/>
    </row>
    <row r="2360" spans="1:24" s="1" customFormat="1" ht="26" customHeight="1" x14ac:dyDescent="0.3">
      <c r="A2360" s="24" t="s">
        <v>23</v>
      </c>
      <c r="B2360" s="24" t="s">
        <v>2238</v>
      </c>
      <c r="C2360" s="12" t="s">
        <v>2239</v>
      </c>
      <c r="D2360" s="58"/>
      <c r="E2360" s="43" t="str">
        <f>HYPERLINK("https://www.google.ru/search?q=17369-0468&amp;newwindow=1&amp;tbm=isch","Еще фото")</f>
        <v>Еще фото</v>
      </c>
      <c r="F2360" s="14"/>
      <c r="G2360" s="24" t="s">
        <v>1534</v>
      </c>
      <c r="H2360" s="24" t="s">
        <v>27</v>
      </c>
      <c r="I2360" s="24" t="s">
        <v>2008</v>
      </c>
      <c r="J2360" s="15" t="s">
        <v>37</v>
      </c>
      <c r="K2360" s="16" t="s">
        <v>29</v>
      </c>
      <c r="L2360" s="61"/>
      <c r="M2360" s="15"/>
      <c r="N2360" s="15" t="s">
        <v>31</v>
      </c>
      <c r="O2360" s="15"/>
      <c r="P2360" s="16" t="s">
        <v>172</v>
      </c>
      <c r="Q2360" s="17">
        <v>5399</v>
      </c>
      <c r="R2360" s="18">
        <v>45</v>
      </c>
      <c r="S2360" s="19">
        <v>3414.8674999999994</v>
      </c>
      <c r="T2360" s="20" t="s">
        <v>33</v>
      </c>
      <c r="U2360" s="21" t="s">
        <v>62</v>
      </c>
      <c r="V2360" s="22">
        <v>44</v>
      </c>
      <c r="W2360" s="22">
        <v>8</v>
      </c>
      <c r="X2360" s="23"/>
    </row>
    <row r="2361" spans="1:24" s="1" customFormat="1" ht="26" customHeight="1" x14ac:dyDescent="0.3">
      <c r="A2361" s="24" t="s">
        <v>23</v>
      </c>
      <c r="B2361" s="24" t="s">
        <v>2238</v>
      </c>
      <c r="C2361" s="12" t="s">
        <v>2239</v>
      </c>
      <c r="D2361" s="58"/>
      <c r="E2361" s="43" t="str">
        <f>HYPERLINK("https://www.google.ru/search?q=17369-0468&amp;newwindow=1&amp;tbm=isch","Еще фото")</f>
        <v>Еще фото</v>
      </c>
      <c r="F2361" s="14"/>
      <c r="G2361" s="24" t="s">
        <v>1534</v>
      </c>
      <c r="H2361" s="24" t="s">
        <v>27</v>
      </c>
      <c r="I2361" s="24" t="s">
        <v>2008</v>
      </c>
      <c r="J2361" s="15" t="s">
        <v>37</v>
      </c>
      <c r="K2361" s="16" t="s">
        <v>29</v>
      </c>
      <c r="L2361" s="61"/>
      <c r="M2361" s="15"/>
      <c r="N2361" s="15" t="s">
        <v>31</v>
      </c>
      <c r="O2361" s="15"/>
      <c r="P2361" s="16" t="s">
        <v>172</v>
      </c>
      <c r="Q2361" s="17">
        <v>5399</v>
      </c>
      <c r="R2361" s="18">
        <v>45</v>
      </c>
      <c r="S2361" s="19">
        <v>3414.8674999999994</v>
      </c>
      <c r="T2361" s="20" t="s">
        <v>33</v>
      </c>
      <c r="U2361" s="21" t="s">
        <v>64</v>
      </c>
      <c r="V2361" s="22">
        <v>46</v>
      </c>
      <c r="W2361" s="22">
        <v>16</v>
      </c>
      <c r="X2361" s="23"/>
    </row>
    <row r="2362" spans="1:24" s="1" customFormat="1" ht="26" customHeight="1" x14ac:dyDescent="0.3">
      <c r="A2362" s="24" t="s">
        <v>23</v>
      </c>
      <c r="B2362" s="24" t="s">
        <v>2238</v>
      </c>
      <c r="C2362" s="12" t="s">
        <v>2239</v>
      </c>
      <c r="D2362" s="59"/>
      <c r="E2362" s="43" t="str">
        <f>HYPERLINK("https://www.google.ru/search?q=17369-0468&amp;newwindow=1&amp;tbm=isch","Еще фото")</f>
        <v>Еще фото</v>
      </c>
      <c r="F2362" s="14"/>
      <c r="G2362" s="24" t="s">
        <v>1534</v>
      </c>
      <c r="H2362" s="24" t="s">
        <v>27</v>
      </c>
      <c r="I2362" s="24" t="s">
        <v>2008</v>
      </c>
      <c r="J2362" s="15" t="s">
        <v>37</v>
      </c>
      <c r="K2362" s="16" t="s">
        <v>29</v>
      </c>
      <c r="L2362" s="62"/>
      <c r="M2362" s="15"/>
      <c r="N2362" s="15" t="s">
        <v>31</v>
      </c>
      <c r="O2362" s="15"/>
      <c r="P2362" s="16" t="s">
        <v>172</v>
      </c>
      <c r="Q2362" s="17">
        <v>5399</v>
      </c>
      <c r="R2362" s="18">
        <v>45</v>
      </c>
      <c r="S2362" s="19">
        <v>3414.8674999999994</v>
      </c>
      <c r="T2362" s="20" t="s">
        <v>33</v>
      </c>
      <c r="U2362" s="21" t="s">
        <v>34</v>
      </c>
      <c r="V2362" s="22">
        <v>48</v>
      </c>
      <c r="W2362" s="22">
        <v>14</v>
      </c>
      <c r="X2362" s="23"/>
    </row>
    <row r="2363" spans="1:24" s="1" customFormat="1" ht="52.05" customHeight="1" x14ac:dyDescent="0.3">
      <c r="A2363" s="11" t="s">
        <v>23</v>
      </c>
      <c r="B2363" s="11" t="s">
        <v>2234</v>
      </c>
      <c r="C2363" s="12" t="s">
        <v>2240</v>
      </c>
      <c r="D2363" s="63"/>
      <c r="E2363" s="43" t="str">
        <f>HYPERLINK("https://www.google.ru/search?q=17369-0483&amp;newwindow=1&amp;tbm=isch","Еще фото")</f>
        <v>Еще фото</v>
      </c>
      <c r="F2363" s="14"/>
      <c r="G2363" s="11" t="s">
        <v>1534</v>
      </c>
      <c r="H2363" s="11" t="s">
        <v>27</v>
      </c>
      <c r="I2363" s="15" t="s">
        <v>2008</v>
      </c>
      <c r="J2363" s="15" t="s">
        <v>28</v>
      </c>
      <c r="K2363" s="16" t="s">
        <v>29</v>
      </c>
      <c r="L2363" s="60" t="s">
        <v>2021</v>
      </c>
      <c r="M2363" s="15" t="s">
        <v>72</v>
      </c>
      <c r="N2363" s="15" t="s">
        <v>39</v>
      </c>
      <c r="O2363" s="15" t="s">
        <v>121</v>
      </c>
      <c r="P2363" s="16" t="s">
        <v>32</v>
      </c>
      <c r="Q2363" s="17">
        <v>5099</v>
      </c>
      <c r="R2363" s="18">
        <v>45</v>
      </c>
      <c r="S2363" s="19">
        <v>3225.1174999999994</v>
      </c>
      <c r="T2363" s="20" t="s">
        <v>33</v>
      </c>
      <c r="U2363" s="21" t="s">
        <v>62</v>
      </c>
      <c r="V2363" s="22">
        <v>44</v>
      </c>
      <c r="W2363" s="22">
        <v>4</v>
      </c>
      <c r="X2363" s="23"/>
    </row>
    <row r="2364" spans="1:24" s="1" customFormat="1" ht="61.05" customHeight="1" x14ac:dyDescent="0.3">
      <c r="A2364" s="24" t="s">
        <v>23</v>
      </c>
      <c r="B2364" s="24" t="s">
        <v>2234</v>
      </c>
      <c r="C2364" s="12" t="s">
        <v>2240</v>
      </c>
      <c r="D2364" s="64"/>
      <c r="E2364" s="43" t="str">
        <f>HYPERLINK("https://www.google.ru/search?q=17369-0483&amp;newwindow=1&amp;tbm=isch","Еще фото")</f>
        <v>Еще фото</v>
      </c>
      <c r="F2364" s="14"/>
      <c r="G2364" s="24" t="s">
        <v>1534</v>
      </c>
      <c r="H2364" s="24" t="s">
        <v>27</v>
      </c>
      <c r="I2364" s="24" t="s">
        <v>2008</v>
      </c>
      <c r="J2364" s="15" t="s">
        <v>28</v>
      </c>
      <c r="K2364" s="16" t="s">
        <v>29</v>
      </c>
      <c r="L2364" s="62"/>
      <c r="M2364" s="15" t="s">
        <v>72</v>
      </c>
      <c r="N2364" s="15" t="s">
        <v>39</v>
      </c>
      <c r="O2364" s="15" t="s">
        <v>121</v>
      </c>
      <c r="P2364" s="16" t="s">
        <v>32</v>
      </c>
      <c r="Q2364" s="17">
        <v>5099</v>
      </c>
      <c r="R2364" s="18">
        <v>45</v>
      </c>
      <c r="S2364" s="19">
        <v>3225.1174999999994</v>
      </c>
      <c r="T2364" s="20" t="s">
        <v>33</v>
      </c>
      <c r="U2364" s="21" t="s">
        <v>64</v>
      </c>
      <c r="V2364" s="22">
        <v>46</v>
      </c>
      <c r="W2364" s="22">
        <v>5</v>
      </c>
      <c r="X2364" s="23"/>
    </row>
    <row r="2365" spans="1:24" s="1" customFormat="1" ht="35" customHeight="1" x14ac:dyDescent="0.3">
      <c r="A2365" s="11" t="s">
        <v>23</v>
      </c>
      <c r="B2365" s="11" t="s">
        <v>2241</v>
      </c>
      <c r="C2365" s="12" t="s">
        <v>2242</v>
      </c>
      <c r="D2365" s="57"/>
      <c r="E2365" s="43" t="str">
        <f>HYPERLINK("https://www.google.ru/search?q=17369-1756&amp;newwindow=1&amp;tbm=isch","Еще фото")</f>
        <v>Еще фото</v>
      </c>
      <c r="F2365" s="14"/>
      <c r="G2365" s="11" t="s">
        <v>1534</v>
      </c>
      <c r="H2365" s="11" t="s">
        <v>27</v>
      </c>
      <c r="I2365" s="15" t="s">
        <v>2008</v>
      </c>
      <c r="J2365" s="15" t="s">
        <v>28</v>
      </c>
      <c r="K2365" s="16" t="s">
        <v>29</v>
      </c>
      <c r="L2365" s="60" t="s">
        <v>2243</v>
      </c>
      <c r="M2365" s="15" t="s">
        <v>72</v>
      </c>
      <c r="N2365" s="15" t="s">
        <v>39</v>
      </c>
      <c r="O2365" s="15" t="s">
        <v>121</v>
      </c>
      <c r="P2365" s="16" t="s">
        <v>32</v>
      </c>
      <c r="Q2365" s="17">
        <v>5299</v>
      </c>
      <c r="R2365" s="18">
        <v>45</v>
      </c>
      <c r="S2365" s="19">
        <v>3351.6174999999994</v>
      </c>
      <c r="T2365" s="20" t="s">
        <v>33</v>
      </c>
      <c r="U2365" s="21" t="s">
        <v>62</v>
      </c>
      <c r="V2365" s="22">
        <v>44</v>
      </c>
      <c r="W2365" s="22">
        <v>1</v>
      </c>
      <c r="X2365" s="23"/>
    </row>
    <row r="2366" spans="1:24" s="1" customFormat="1" ht="35" customHeight="1" x14ac:dyDescent="0.3">
      <c r="A2366" s="24" t="s">
        <v>23</v>
      </c>
      <c r="B2366" s="24" t="s">
        <v>2241</v>
      </c>
      <c r="C2366" s="12" t="s">
        <v>2242</v>
      </c>
      <c r="D2366" s="58"/>
      <c r="E2366" s="43" t="str">
        <f>HYPERLINK("https://www.google.ru/search?q=17369-1756&amp;newwindow=1&amp;tbm=isch","Еще фото")</f>
        <v>Еще фото</v>
      </c>
      <c r="F2366" s="14"/>
      <c r="G2366" s="24" t="s">
        <v>1534</v>
      </c>
      <c r="H2366" s="24" t="s">
        <v>27</v>
      </c>
      <c r="I2366" s="24" t="s">
        <v>2008</v>
      </c>
      <c r="J2366" s="15" t="s">
        <v>28</v>
      </c>
      <c r="K2366" s="16" t="s">
        <v>29</v>
      </c>
      <c r="L2366" s="61"/>
      <c r="M2366" s="15" t="s">
        <v>72</v>
      </c>
      <c r="N2366" s="15" t="s">
        <v>39</v>
      </c>
      <c r="O2366" s="15" t="s">
        <v>121</v>
      </c>
      <c r="P2366" s="16" t="s">
        <v>32</v>
      </c>
      <c r="Q2366" s="17">
        <v>5299</v>
      </c>
      <c r="R2366" s="18">
        <v>45</v>
      </c>
      <c r="S2366" s="19">
        <v>3351.6174999999994</v>
      </c>
      <c r="T2366" s="20" t="s">
        <v>33</v>
      </c>
      <c r="U2366" s="21" t="s">
        <v>64</v>
      </c>
      <c r="V2366" s="22">
        <v>46</v>
      </c>
      <c r="W2366" s="22">
        <v>18</v>
      </c>
      <c r="X2366" s="23"/>
    </row>
    <row r="2367" spans="1:24" s="1" customFormat="1" ht="37.049999999999997" customHeight="1" x14ac:dyDescent="0.3">
      <c r="A2367" s="24" t="s">
        <v>23</v>
      </c>
      <c r="B2367" s="24" t="s">
        <v>2241</v>
      </c>
      <c r="C2367" s="12" t="s">
        <v>2242</v>
      </c>
      <c r="D2367" s="59"/>
      <c r="E2367" s="43" t="str">
        <f>HYPERLINK("https://www.google.ru/search?q=17369-1756&amp;newwindow=1&amp;tbm=isch","Еще фото")</f>
        <v>Еще фото</v>
      </c>
      <c r="F2367" s="14"/>
      <c r="G2367" s="24" t="s">
        <v>1534</v>
      </c>
      <c r="H2367" s="24" t="s">
        <v>27</v>
      </c>
      <c r="I2367" s="24" t="s">
        <v>2008</v>
      </c>
      <c r="J2367" s="15" t="s">
        <v>28</v>
      </c>
      <c r="K2367" s="16" t="s">
        <v>29</v>
      </c>
      <c r="L2367" s="62"/>
      <c r="M2367" s="15" t="s">
        <v>72</v>
      </c>
      <c r="N2367" s="15" t="s">
        <v>39</v>
      </c>
      <c r="O2367" s="15" t="s">
        <v>121</v>
      </c>
      <c r="P2367" s="16" t="s">
        <v>32</v>
      </c>
      <c r="Q2367" s="17">
        <v>5299</v>
      </c>
      <c r="R2367" s="18">
        <v>45</v>
      </c>
      <c r="S2367" s="19">
        <v>3351.6174999999994</v>
      </c>
      <c r="T2367" s="20" t="s">
        <v>33</v>
      </c>
      <c r="U2367" s="21" t="s">
        <v>34</v>
      </c>
      <c r="V2367" s="22">
        <v>48</v>
      </c>
      <c r="W2367" s="22">
        <v>1</v>
      </c>
      <c r="X2367" s="23"/>
    </row>
    <row r="2368" spans="1:24" s="1" customFormat="1" ht="26" customHeight="1" x14ac:dyDescent="0.3">
      <c r="A2368" s="11" t="s">
        <v>23</v>
      </c>
      <c r="B2368" s="11" t="s">
        <v>2244</v>
      </c>
      <c r="C2368" s="12" t="s">
        <v>2245</v>
      </c>
      <c r="D2368" s="57"/>
      <c r="E2368" s="43" t="str">
        <f>HYPERLINK("https://www.google.ru/search?q=17369-1836&amp;newwindow=1&amp;tbm=isch","Еще фото")</f>
        <v>Еще фото</v>
      </c>
      <c r="F2368" s="14"/>
      <c r="G2368" s="11" t="s">
        <v>1534</v>
      </c>
      <c r="H2368" s="11" t="s">
        <v>27</v>
      </c>
      <c r="I2368" s="15" t="s">
        <v>2008</v>
      </c>
      <c r="J2368" s="15" t="s">
        <v>28</v>
      </c>
      <c r="K2368" s="16" t="s">
        <v>29</v>
      </c>
      <c r="L2368" s="60" t="s">
        <v>2024</v>
      </c>
      <c r="M2368" s="15"/>
      <c r="N2368" s="15" t="s">
        <v>73</v>
      </c>
      <c r="O2368" s="15"/>
      <c r="P2368" s="16" t="s">
        <v>32</v>
      </c>
      <c r="Q2368" s="17">
        <v>3699</v>
      </c>
      <c r="R2368" s="18">
        <v>45</v>
      </c>
      <c r="S2368" s="19">
        <v>2339.6174999999998</v>
      </c>
      <c r="T2368" s="20" t="s">
        <v>33</v>
      </c>
      <c r="U2368" s="21" t="s">
        <v>61</v>
      </c>
      <c r="V2368" s="22">
        <v>42</v>
      </c>
      <c r="W2368" s="22">
        <v>2</v>
      </c>
      <c r="X2368" s="23"/>
    </row>
    <row r="2369" spans="1:24" s="1" customFormat="1" ht="26" customHeight="1" x14ac:dyDescent="0.3">
      <c r="A2369" s="24" t="s">
        <v>23</v>
      </c>
      <c r="B2369" s="24" t="s">
        <v>2244</v>
      </c>
      <c r="C2369" s="12" t="s">
        <v>2245</v>
      </c>
      <c r="D2369" s="58"/>
      <c r="E2369" s="43" t="str">
        <f>HYPERLINK("https://www.google.ru/search?q=17369-1836&amp;newwindow=1&amp;tbm=isch","Еще фото")</f>
        <v>Еще фото</v>
      </c>
      <c r="F2369" s="14"/>
      <c r="G2369" s="24" t="s">
        <v>1534</v>
      </c>
      <c r="H2369" s="24" t="s">
        <v>27</v>
      </c>
      <c r="I2369" s="24" t="s">
        <v>2008</v>
      </c>
      <c r="J2369" s="15" t="s">
        <v>28</v>
      </c>
      <c r="K2369" s="16" t="s">
        <v>29</v>
      </c>
      <c r="L2369" s="61"/>
      <c r="M2369" s="15"/>
      <c r="N2369" s="15" t="s">
        <v>73</v>
      </c>
      <c r="O2369" s="15"/>
      <c r="P2369" s="16" t="s">
        <v>32</v>
      </c>
      <c r="Q2369" s="17">
        <v>3699</v>
      </c>
      <c r="R2369" s="18">
        <v>45</v>
      </c>
      <c r="S2369" s="19">
        <v>2339.6174999999998</v>
      </c>
      <c r="T2369" s="20" t="s">
        <v>33</v>
      </c>
      <c r="U2369" s="21" t="s">
        <v>62</v>
      </c>
      <c r="V2369" s="22">
        <v>44</v>
      </c>
      <c r="W2369" s="22">
        <v>5</v>
      </c>
      <c r="X2369" s="23"/>
    </row>
    <row r="2370" spans="1:24" s="1" customFormat="1" ht="26" customHeight="1" x14ac:dyDescent="0.3">
      <c r="A2370" s="24" t="s">
        <v>23</v>
      </c>
      <c r="B2370" s="24" t="s">
        <v>2244</v>
      </c>
      <c r="C2370" s="12" t="s">
        <v>2245</v>
      </c>
      <c r="D2370" s="58"/>
      <c r="E2370" s="43" t="str">
        <f>HYPERLINK("https://www.google.ru/search?q=17369-1836&amp;newwindow=1&amp;tbm=isch","Еще фото")</f>
        <v>Еще фото</v>
      </c>
      <c r="F2370" s="14"/>
      <c r="G2370" s="24" t="s">
        <v>1534</v>
      </c>
      <c r="H2370" s="24" t="s">
        <v>27</v>
      </c>
      <c r="I2370" s="24" t="s">
        <v>2008</v>
      </c>
      <c r="J2370" s="15" t="s">
        <v>28</v>
      </c>
      <c r="K2370" s="16" t="s">
        <v>29</v>
      </c>
      <c r="L2370" s="61"/>
      <c r="M2370" s="15"/>
      <c r="N2370" s="15" t="s">
        <v>73</v>
      </c>
      <c r="O2370" s="15"/>
      <c r="P2370" s="16" t="s">
        <v>32</v>
      </c>
      <c r="Q2370" s="17">
        <v>3699</v>
      </c>
      <c r="R2370" s="18">
        <v>45</v>
      </c>
      <c r="S2370" s="19">
        <v>2339.6174999999998</v>
      </c>
      <c r="T2370" s="20" t="s">
        <v>33</v>
      </c>
      <c r="U2370" s="21" t="s">
        <v>64</v>
      </c>
      <c r="V2370" s="22">
        <v>46</v>
      </c>
      <c r="W2370" s="22">
        <v>6</v>
      </c>
      <c r="X2370" s="23"/>
    </row>
    <row r="2371" spans="1:24" s="1" customFormat="1" ht="26" customHeight="1" x14ac:dyDescent="0.3">
      <c r="A2371" s="24" t="s">
        <v>23</v>
      </c>
      <c r="B2371" s="24" t="s">
        <v>2244</v>
      </c>
      <c r="C2371" s="12" t="s">
        <v>2245</v>
      </c>
      <c r="D2371" s="59"/>
      <c r="E2371" s="43" t="str">
        <f>HYPERLINK("https://www.google.ru/search?q=17369-1836&amp;newwindow=1&amp;tbm=isch","Еще фото")</f>
        <v>Еще фото</v>
      </c>
      <c r="F2371" s="14"/>
      <c r="G2371" s="24" t="s">
        <v>1534</v>
      </c>
      <c r="H2371" s="24" t="s">
        <v>27</v>
      </c>
      <c r="I2371" s="24" t="s">
        <v>2008</v>
      </c>
      <c r="J2371" s="15" t="s">
        <v>28</v>
      </c>
      <c r="K2371" s="16" t="s">
        <v>29</v>
      </c>
      <c r="L2371" s="62"/>
      <c r="M2371" s="15"/>
      <c r="N2371" s="15" t="s">
        <v>73</v>
      </c>
      <c r="O2371" s="15"/>
      <c r="P2371" s="16" t="s">
        <v>32</v>
      </c>
      <c r="Q2371" s="17">
        <v>3699</v>
      </c>
      <c r="R2371" s="18">
        <v>45</v>
      </c>
      <c r="S2371" s="19">
        <v>2339.6174999999998</v>
      </c>
      <c r="T2371" s="20" t="s">
        <v>33</v>
      </c>
      <c r="U2371" s="21" t="s">
        <v>34</v>
      </c>
      <c r="V2371" s="22">
        <v>48</v>
      </c>
      <c r="W2371" s="22">
        <v>1</v>
      </c>
      <c r="X2371" s="23"/>
    </row>
    <row r="2372" spans="1:24" s="1" customFormat="1" ht="52.05" customHeight="1" x14ac:dyDescent="0.3">
      <c r="A2372" s="11" t="s">
        <v>23</v>
      </c>
      <c r="B2372" s="11" t="s">
        <v>2246</v>
      </c>
      <c r="C2372" s="12" t="s">
        <v>2247</v>
      </c>
      <c r="D2372" s="63"/>
      <c r="E2372" s="43" t="str">
        <f>HYPERLINK("https://www.google.ru/search?q=17369-1913&amp;newwindow=1&amp;tbm=isch","Еще фото")</f>
        <v>Еще фото</v>
      </c>
      <c r="F2372" s="14"/>
      <c r="G2372" s="11" t="s">
        <v>1534</v>
      </c>
      <c r="H2372" s="11" t="s">
        <v>27</v>
      </c>
      <c r="I2372" s="15" t="s">
        <v>2008</v>
      </c>
      <c r="J2372" s="15" t="s">
        <v>37</v>
      </c>
      <c r="K2372" s="16" t="s">
        <v>29</v>
      </c>
      <c r="L2372" s="60" t="s">
        <v>2248</v>
      </c>
      <c r="M2372" s="15"/>
      <c r="N2372" s="15" t="s">
        <v>31</v>
      </c>
      <c r="O2372" s="15"/>
      <c r="P2372" s="16" t="s">
        <v>32</v>
      </c>
      <c r="Q2372" s="17">
        <v>4999</v>
      </c>
      <c r="R2372" s="18">
        <v>45</v>
      </c>
      <c r="S2372" s="19">
        <v>3161.8674999999994</v>
      </c>
      <c r="T2372" s="20" t="s">
        <v>33</v>
      </c>
      <c r="U2372" s="21" t="s">
        <v>64</v>
      </c>
      <c r="V2372" s="22">
        <v>46</v>
      </c>
      <c r="W2372" s="22">
        <v>8</v>
      </c>
      <c r="X2372" s="23"/>
    </row>
    <row r="2373" spans="1:24" s="1" customFormat="1" ht="61.05" customHeight="1" x14ac:dyDescent="0.3">
      <c r="A2373" s="24" t="s">
        <v>23</v>
      </c>
      <c r="B2373" s="24" t="s">
        <v>2246</v>
      </c>
      <c r="C2373" s="12" t="s">
        <v>2247</v>
      </c>
      <c r="D2373" s="64"/>
      <c r="E2373" s="43" t="str">
        <f>HYPERLINK("https://www.google.ru/search?q=17369-1913&amp;newwindow=1&amp;tbm=isch","Еще фото")</f>
        <v>Еще фото</v>
      </c>
      <c r="F2373" s="14"/>
      <c r="G2373" s="24" t="s">
        <v>1534</v>
      </c>
      <c r="H2373" s="24" t="s">
        <v>27</v>
      </c>
      <c r="I2373" s="24" t="s">
        <v>2008</v>
      </c>
      <c r="J2373" s="15" t="s">
        <v>37</v>
      </c>
      <c r="K2373" s="16" t="s">
        <v>29</v>
      </c>
      <c r="L2373" s="62"/>
      <c r="M2373" s="15"/>
      <c r="N2373" s="15" t="s">
        <v>31</v>
      </c>
      <c r="O2373" s="15"/>
      <c r="P2373" s="16" t="s">
        <v>32</v>
      </c>
      <c r="Q2373" s="17">
        <v>4999</v>
      </c>
      <c r="R2373" s="18">
        <v>45</v>
      </c>
      <c r="S2373" s="19">
        <v>3161.8674999999994</v>
      </c>
      <c r="T2373" s="20" t="s">
        <v>33</v>
      </c>
      <c r="U2373" s="21" t="s">
        <v>34</v>
      </c>
      <c r="V2373" s="22">
        <v>48</v>
      </c>
      <c r="W2373" s="22">
        <v>2</v>
      </c>
      <c r="X2373" s="23"/>
    </row>
    <row r="2374" spans="1:24" s="1" customFormat="1" ht="35" customHeight="1" x14ac:dyDescent="0.3">
      <c r="A2374" s="11" t="s">
        <v>23</v>
      </c>
      <c r="B2374" s="11" t="s">
        <v>2249</v>
      </c>
      <c r="C2374" s="12" t="s">
        <v>2250</v>
      </c>
      <c r="D2374" s="57"/>
      <c r="E2374" s="43" t="str">
        <f>HYPERLINK("https://www.google.ru/search?q=17369-2024&amp;newwindow=1&amp;tbm=isch","Еще фото")</f>
        <v>Еще фото</v>
      </c>
      <c r="F2374" s="14"/>
      <c r="G2374" s="11" t="s">
        <v>1534</v>
      </c>
      <c r="H2374" s="11" t="s">
        <v>27</v>
      </c>
      <c r="I2374" s="15" t="s">
        <v>2008</v>
      </c>
      <c r="J2374" s="15" t="s">
        <v>28</v>
      </c>
      <c r="K2374" s="16" t="s">
        <v>29</v>
      </c>
      <c r="L2374" s="60" t="s">
        <v>2024</v>
      </c>
      <c r="M2374" s="15"/>
      <c r="N2374" s="15" t="s">
        <v>288</v>
      </c>
      <c r="O2374" s="15"/>
      <c r="P2374" s="16" t="s">
        <v>32</v>
      </c>
      <c r="Q2374" s="17">
        <v>5299</v>
      </c>
      <c r="R2374" s="18">
        <v>45</v>
      </c>
      <c r="S2374" s="19">
        <v>3351.6174999999994</v>
      </c>
      <c r="T2374" s="20" t="s">
        <v>33</v>
      </c>
      <c r="U2374" s="21" t="s">
        <v>62</v>
      </c>
      <c r="V2374" s="22">
        <v>44</v>
      </c>
      <c r="W2374" s="22">
        <v>2</v>
      </c>
      <c r="X2374" s="23"/>
    </row>
    <row r="2375" spans="1:24" s="1" customFormat="1" ht="35" customHeight="1" x14ac:dyDescent="0.3">
      <c r="A2375" s="24" t="s">
        <v>23</v>
      </c>
      <c r="B2375" s="24" t="s">
        <v>2249</v>
      </c>
      <c r="C2375" s="12" t="s">
        <v>2250</v>
      </c>
      <c r="D2375" s="58"/>
      <c r="E2375" s="43" t="str">
        <f>HYPERLINK("https://www.google.ru/search?q=17369-2024&amp;newwindow=1&amp;tbm=isch","Еще фото")</f>
        <v>Еще фото</v>
      </c>
      <c r="F2375" s="14"/>
      <c r="G2375" s="24" t="s">
        <v>1534</v>
      </c>
      <c r="H2375" s="24" t="s">
        <v>27</v>
      </c>
      <c r="I2375" s="24" t="s">
        <v>2008</v>
      </c>
      <c r="J2375" s="15" t="s">
        <v>28</v>
      </c>
      <c r="K2375" s="16" t="s">
        <v>29</v>
      </c>
      <c r="L2375" s="61"/>
      <c r="M2375" s="15"/>
      <c r="N2375" s="15" t="s">
        <v>288</v>
      </c>
      <c r="O2375" s="15"/>
      <c r="P2375" s="16" t="s">
        <v>32</v>
      </c>
      <c r="Q2375" s="17">
        <v>5299</v>
      </c>
      <c r="R2375" s="18">
        <v>45</v>
      </c>
      <c r="S2375" s="19">
        <v>3351.6174999999994</v>
      </c>
      <c r="T2375" s="20" t="s">
        <v>33</v>
      </c>
      <c r="U2375" s="21" t="s">
        <v>64</v>
      </c>
      <c r="V2375" s="22">
        <v>46</v>
      </c>
      <c r="W2375" s="22">
        <v>2</v>
      </c>
      <c r="X2375" s="23"/>
    </row>
    <row r="2376" spans="1:24" s="1" customFormat="1" ht="37.049999999999997" customHeight="1" x14ac:dyDescent="0.3">
      <c r="A2376" s="24" t="s">
        <v>23</v>
      </c>
      <c r="B2376" s="24" t="s">
        <v>2249</v>
      </c>
      <c r="C2376" s="12" t="s">
        <v>2250</v>
      </c>
      <c r="D2376" s="59"/>
      <c r="E2376" s="43" t="str">
        <f>HYPERLINK("https://www.google.ru/search?q=17369-2024&amp;newwindow=1&amp;tbm=isch","Еще фото")</f>
        <v>Еще фото</v>
      </c>
      <c r="F2376" s="14"/>
      <c r="G2376" s="24" t="s">
        <v>1534</v>
      </c>
      <c r="H2376" s="24" t="s">
        <v>27</v>
      </c>
      <c r="I2376" s="24" t="s">
        <v>2008</v>
      </c>
      <c r="J2376" s="15" t="s">
        <v>28</v>
      </c>
      <c r="K2376" s="16" t="s">
        <v>29</v>
      </c>
      <c r="L2376" s="62"/>
      <c r="M2376" s="15"/>
      <c r="N2376" s="15" t="s">
        <v>288</v>
      </c>
      <c r="O2376" s="15"/>
      <c r="P2376" s="16" t="s">
        <v>32</v>
      </c>
      <c r="Q2376" s="17">
        <v>5299</v>
      </c>
      <c r="R2376" s="18">
        <v>45</v>
      </c>
      <c r="S2376" s="19">
        <v>3351.6174999999994</v>
      </c>
      <c r="T2376" s="20" t="s">
        <v>33</v>
      </c>
      <c r="U2376" s="21" t="s">
        <v>34</v>
      </c>
      <c r="V2376" s="22">
        <v>48</v>
      </c>
      <c r="W2376" s="22">
        <v>2</v>
      </c>
      <c r="X2376" s="23"/>
    </row>
    <row r="2377" spans="1:24" s="1" customFormat="1" ht="52.05" customHeight="1" x14ac:dyDescent="0.3">
      <c r="A2377" s="11" t="s">
        <v>23</v>
      </c>
      <c r="B2377" s="11" t="s">
        <v>2251</v>
      </c>
      <c r="C2377" s="12" t="s">
        <v>2252</v>
      </c>
      <c r="D2377" s="63"/>
      <c r="E2377" s="43" t="str">
        <f>HYPERLINK("https://www.google.ru/search?q=17369-2051&amp;newwindow=1&amp;tbm=isch","Еще фото")</f>
        <v>Еще фото</v>
      </c>
      <c r="F2377" s="14"/>
      <c r="G2377" s="11" t="s">
        <v>1534</v>
      </c>
      <c r="H2377" s="11" t="s">
        <v>27</v>
      </c>
      <c r="I2377" s="15" t="s">
        <v>2008</v>
      </c>
      <c r="J2377" s="15" t="s">
        <v>37</v>
      </c>
      <c r="K2377" s="16" t="s">
        <v>29</v>
      </c>
      <c r="L2377" s="60" t="s">
        <v>2253</v>
      </c>
      <c r="M2377" s="15"/>
      <c r="N2377" s="15" t="s">
        <v>138</v>
      </c>
      <c r="O2377" s="15"/>
      <c r="P2377" s="16" t="s">
        <v>32</v>
      </c>
      <c r="Q2377" s="17">
        <v>5299</v>
      </c>
      <c r="R2377" s="18">
        <v>45</v>
      </c>
      <c r="S2377" s="19">
        <v>3351.6174999999994</v>
      </c>
      <c r="T2377" s="20" t="s">
        <v>33</v>
      </c>
      <c r="U2377" s="21" t="s">
        <v>62</v>
      </c>
      <c r="V2377" s="22">
        <v>44</v>
      </c>
      <c r="W2377" s="22">
        <v>1</v>
      </c>
      <c r="X2377" s="23"/>
    </row>
    <row r="2378" spans="1:24" s="1" customFormat="1" ht="61.05" customHeight="1" x14ac:dyDescent="0.3">
      <c r="A2378" s="24" t="s">
        <v>23</v>
      </c>
      <c r="B2378" s="24" t="s">
        <v>2251</v>
      </c>
      <c r="C2378" s="12" t="s">
        <v>2252</v>
      </c>
      <c r="D2378" s="64"/>
      <c r="E2378" s="43" t="str">
        <f>HYPERLINK("https://www.google.ru/search?q=17369-2051&amp;newwindow=1&amp;tbm=isch","Еще фото")</f>
        <v>Еще фото</v>
      </c>
      <c r="F2378" s="14"/>
      <c r="G2378" s="24" t="s">
        <v>1534</v>
      </c>
      <c r="H2378" s="24" t="s">
        <v>27</v>
      </c>
      <c r="I2378" s="24" t="s">
        <v>2008</v>
      </c>
      <c r="J2378" s="15" t="s">
        <v>37</v>
      </c>
      <c r="K2378" s="16" t="s">
        <v>29</v>
      </c>
      <c r="L2378" s="62"/>
      <c r="M2378" s="15"/>
      <c r="N2378" s="15" t="s">
        <v>138</v>
      </c>
      <c r="O2378" s="15"/>
      <c r="P2378" s="16" t="s">
        <v>32</v>
      </c>
      <c r="Q2378" s="17">
        <v>5299</v>
      </c>
      <c r="R2378" s="18">
        <v>45</v>
      </c>
      <c r="S2378" s="19">
        <v>3351.6174999999994</v>
      </c>
      <c r="T2378" s="20" t="s">
        <v>33</v>
      </c>
      <c r="U2378" s="21" t="s">
        <v>64</v>
      </c>
      <c r="V2378" s="22">
        <v>46</v>
      </c>
      <c r="W2378" s="22">
        <v>1</v>
      </c>
      <c r="X2378" s="23"/>
    </row>
    <row r="2379" spans="1:24" s="1" customFormat="1" ht="52.05" customHeight="1" x14ac:dyDescent="0.3">
      <c r="A2379" s="11" t="s">
        <v>23</v>
      </c>
      <c r="B2379" s="11" t="s">
        <v>2254</v>
      </c>
      <c r="C2379" s="12" t="s">
        <v>2255</v>
      </c>
      <c r="D2379" s="63"/>
      <c r="E2379" s="43" t="str">
        <f>HYPERLINK("https://www.google.ru/search?q=17369-2118&amp;newwindow=1&amp;tbm=isch","Еще фото")</f>
        <v>Еще фото</v>
      </c>
      <c r="F2379" s="14"/>
      <c r="G2379" s="11" t="s">
        <v>1534</v>
      </c>
      <c r="H2379" s="11" t="s">
        <v>27</v>
      </c>
      <c r="I2379" s="15" t="s">
        <v>2008</v>
      </c>
      <c r="J2379" s="15" t="s">
        <v>28</v>
      </c>
      <c r="K2379" s="16" t="s">
        <v>29</v>
      </c>
      <c r="L2379" s="60" t="s">
        <v>2253</v>
      </c>
      <c r="M2379" s="15"/>
      <c r="N2379" s="15" t="s">
        <v>39</v>
      </c>
      <c r="O2379" s="15"/>
      <c r="P2379" s="16" t="s">
        <v>32</v>
      </c>
      <c r="Q2379" s="17">
        <v>4699</v>
      </c>
      <c r="R2379" s="18">
        <v>45</v>
      </c>
      <c r="S2379" s="19">
        <v>2972.1174999999994</v>
      </c>
      <c r="T2379" s="20" t="s">
        <v>33</v>
      </c>
      <c r="U2379" s="21" t="s">
        <v>61</v>
      </c>
      <c r="V2379" s="22">
        <v>42</v>
      </c>
      <c r="W2379" s="22">
        <v>1</v>
      </c>
      <c r="X2379" s="23"/>
    </row>
    <row r="2380" spans="1:24" s="1" customFormat="1" ht="61.05" customHeight="1" x14ac:dyDescent="0.3">
      <c r="A2380" s="24" t="s">
        <v>23</v>
      </c>
      <c r="B2380" s="24" t="s">
        <v>2254</v>
      </c>
      <c r="C2380" s="12" t="s">
        <v>2255</v>
      </c>
      <c r="D2380" s="64"/>
      <c r="E2380" s="43" t="str">
        <f>HYPERLINK("https://www.google.ru/search?q=17369-2118&amp;newwindow=1&amp;tbm=isch","Еще фото")</f>
        <v>Еще фото</v>
      </c>
      <c r="F2380" s="14"/>
      <c r="G2380" s="24" t="s">
        <v>1534</v>
      </c>
      <c r="H2380" s="24" t="s">
        <v>27</v>
      </c>
      <c r="I2380" s="24" t="s">
        <v>2008</v>
      </c>
      <c r="J2380" s="15" t="s">
        <v>28</v>
      </c>
      <c r="K2380" s="16" t="s">
        <v>29</v>
      </c>
      <c r="L2380" s="62"/>
      <c r="M2380" s="15"/>
      <c r="N2380" s="15" t="s">
        <v>39</v>
      </c>
      <c r="O2380" s="15"/>
      <c r="P2380" s="16" t="s">
        <v>32</v>
      </c>
      <c r="Q2380" s="17">
        <v>4699</v>
      </c>
      <c r="R2380" s="18">
        <v>45</v>
      </c>
      <c r="S2380" s="19">
        <v>2972.1174999999994</v>
      </c>
      <c r="T2380" s="20" t="s">
        <v>33</v>
      </c>
      <c r="U2380" s="21" t="s">
        <v>62</v>
      </c>
      <c r="V2380" s="22">
        <v>44</v>
      </c>
      <c r="W2380" s="22">
        <v>3</v>
      </c>
      <c r="X2380" s="23"/>
    </row>
    <row r="2381" spans="1:24" s="1" customFormat="1" ht="108" customHeight="1" x14ac:dyDescent="0.3">
      <c r="A2381" s="11" t="s">
        <v>23</v>
      </c>
      <c r="B2381" s="11" t="s">
        <v>2256</v>
      </c>
      <c r="C2381" s="12" t="s">
        <v>2257</v>
      </c>
      <c r="D2381" s="13"/>
      <c r="E2381" s="43" t="str">
        <f>HYPERLINK("https://www.google.ru/search?q=17369-3350&amp;newwindow=1&amp;tbm=isch","Еще фото")</f>
        <v>Еще фото</v>
      </c>
      <c r="F2381" s="14"/>
      <c r="G2381" s="11" t="s">
        <v>1534</v>
      </c>
      <c r="H2381" s="11" t="s">
        <v>27</v>
      </c>
      <c r="I2381" s="15" t="s">
        <v>2008</v>
      </c>
      <c r="J2381" s="15" t="s">
        <v>37</v>
      </c>
      <c r="K2381" s="16" t="s">
        <v>29</v>
      </c>
      <c r="L2381" s="15" t="s">
        <v>2024</v>
      </c>
      <c r="M2381" s="15"/>
      <c r="N2381" s="15" t="s">
        <v>39</v>
      </c>
      <c r="O2381" s="15"/>
      <c r="P2381" s="16" t="s">
        <v>32</v>
      </c>
      <c r="Q2381" s="17">
        <v>3399</v>
      </c>
      <c r="R2381" s="18">
        <v>45</v>
      </c>
      <c r="S2381" s="19">
        <v>2149.8674999999998</v>
      </c>
      <c r="T2381" s="20" t="s">
        <v>33</v>
      </c>
      <c r="U2381" s="21" t="s">
        <v>150</v>
      </c>
      <c r="V2381" s="25" t="s">
        <v>90</v>
      </c>
      <c r="W2381" s="22">
        <v>1</v>
      </c>
      <c r="X2381" s="23"/>
    </row>
    <row r="2382" spans="1:24" s="1" customFormat="1" ht="108" customHeight="1" x14ac:dyDescent="0.3">
      <c r="A2382" s="11" t="s">
        <v>23</v>
      </c>
      <c r="B2382" s="11" t="s">
        <v>2258</v>
      </c>
      <c r="C2382" s="12" t="s">
        <v>2259</v>
      </c>
      <c r="D2382" s="13"/>
      <c r="E2382" s="43" t="str">
        <f>HYPERLINK("https://www.google.ru/search?q=17369-3385&amp;newwindow=1&amp;tbm=isch","Еще фото")</f>
        <v>Еще фото</v>
      </c>
      <c r="F2382" s="14"/>
      <c r="G2382" s="11" t="s">
        <v>1534</v>
      </c>
      <c r="H2382" s="11" t="s">
        <v>27</v>
      </c>
      <c r="I2382" s="15" t="s">
        <v>2008</v>
      </c>
      <c r="J2382" s="15" t="s">
        <v>37</v>
      </c>
      <c r="K2382" s="16" t="s">
        <v>29</v>
      </c>
      <c r="L2382" s="15" t="s">
        <v>2024</v>
      </c>
      <c r="M2382" s="15"/>
      <c r="N2382" s="15" t="s">
        <v>31</v>
      </c>
      <c r="O2382" s="15"/>
      <c r="P2382" s="16" t="s">
        <v>32</v>
      </c>
      <c r="Q2382" s="17">
        <v>3399</v>
      </c>
      <c r="R2382" s="18">
        <v>45</v>
      </c>
      <c r="S2382" s="19">
        <v>2149.8674999999998</v>
      </c>
      <c r="T2382" s="20" t="s">
        <v>33</v>
      </c>
      <c r="U2382" s="21" t="s">
        <v>64</v>
      </c>
      <c r="V2382" s="22">
        <v>46</v>
      </c>
      <c r="W2382" s="22">
        <v>1</v>
      </c>
      <c r="X2382" s="23"/>
    </row>
    <row r="2383" spans="1:24" s="1" customFormat="1" ht="108" customHeight="1" x14ac:dyDescent="0.3">
      <c r="A2383" s="11" t="s">
        <v>23</v>
      </c>
      <c r="B2383" s="11" t="s">
        <v>2260</v>
      </c>
      <c r="C2383" s="12" t="s">
        <v>2261</v>
      </c>
      <c r="D2383" s="13"/>
      <c r="E2383" s="43" t="str">
        <f>HYPERLINK("https://www.google.ru/search?q=17369-3399&amp;newwindow=1&amp;tbm=isch","Еще фото")</f>
        <v>Еще фото</v>
      </c>
      <c r="F2383" s="14"/>
      <c r="G2383" s="11" t="s">
        <v>1534</v>
      </c>
      <c r="H2383" s="11" t="s">
        <v>27</v>
      </c>
      <c r="I2383" s="15" t="s">
        <v>2008</v>
      </c>
      <c r="J2383" s="15" t="s">
        <v>37</v>
      </c>
      <c r="K2383" s="16" t="s">
        <v>29</v>
      </c>
      <c r="L2383" s="15" t="s">
        <v>2024</v>
      </c>
      <c r="M2383" s="15"/>
      <c r="N2383" s="15" t="s">
        <v>138</v>
      </c>
      <c r="O2383" s="15"/>
      <c r="P2383" s="16" t="s">
        <v>32</v>
      </c>
      <c r="Q2383" s="17">
        <v>3399</v>
      </c>
      <c r="R2383" s="18">
        <v>45</v>
      </c>
      <c r="S2383" s="19">
        <v>2149.8674999999998</v>
      </c>
      <c r="T2383" s="20" t="s">
        <v>33</v>
      </c>
      <c r="U2383" s="21" t="s">
        <v>34</v>
      </c>
      <c r="V2383" s="22">
        <v>48</v>
      </c>
      <c r="W2383" s="22">
        <v>1</v>
      </c>
      <c r="X2383" s="23"/>
    </row>
    <row r="2384" spans="1:24" s="1" customFormat="1" ht="52.05" customHeight="1" x14ac:dyDescent="0.3">
      <c r="A2384" s="11" t="s">
        <v>23</v>
      </c>
      <c r="B2384" s="11" t="s">
        <v>2262</v>
      </c>
      <c r="C2384" s="12" t="s">
        <v>2263</v>
      </c>
      <c r="D2384" s="63"/>
      <c r="E2384" s="43" t="str">
        <f>HYPERLINK("https://www.google.ru/search?q=17783-0137&amp;newwindow=1&amp;tbm=isch","Еще фото")</f>
        <v>Еще фото</v>
      </c>
      <c r="F2384" s="14" t="s">
        <v>182</v>
      </c>
      <c r="G2384" s="11" t="s">
        <v>1534</v>
      </c>
      <c r="H2384" s="11" t="s">
        <v>27</v>
      </c>
      <c r="I2384" s="15" t="s">
        <v>2008</v>
      </c>
      <c r="J2384" s="15" t="s">
        <v>28</v>
      </c>
      <c r="K2384" s="16" t="s">
        <v>57</v>
      </c>
      <c r="L2384" s="60" t="s">
        <v>2264</v>
      </c>
      <c r="M2384" s="15" t="s">
        <v>72</v>
      </c>
      <c r="N2384" s="15" t="s">
        <v>39</v>
      </c>
      <c r="O2384" s="15" t="s">
        <v>121</v>
      </c>
      <c r="P2384" s="16" t="s">
        <v>32</v>
      </c>
      <c r="Q2384" s="17">
        <v>4399</v>
      </c>
      <c r="R2384" s="18">
        <v>45</v>
      </c>
      <c r="S2384" s="19">
        <v>2782.3674999999994</v>
      </c>
      <c r="T2384" s="20" t="s">
        <v>33</v>
      </c>
      <c r="U2384" s="21" t="s">
        <v>34</v>
      </c>
      <c r="V2384" s="25" t="s">
        <v>90</v>
      </c>
      <c r="W2384" s="22">
        <v>1</v>
      </c>
      <c r="X2384" s="23"/>
    </row>
    <row r="2385" spans="1:24" s="1" customFormat="1" ht="61.05" customHeight="1" x14ac:dyDescent="0.3">
      <c r="A2385" s="24" t="s">
        <v>23</v>
      </c>
      <c r="B2385" s="24" t="s">
        <v>2262</v>
      </c>
      <c r="C2385" s="12" t="s">
        <v>2263</v>
      </c>
      <c r="D2385" s="64"/>
      <c r="E2385" s="43" t="str">
        <f>HYPERLINK("https://www.google.ru/search?q=17783-0137&amp;newwindow=1&amp;tbm=isch","Еще фото")</f>
        <v>Еще фото</v>
      </c>
      <c r="F2385" s="14" t="s">
        <v>182</v>
      </c>
      <c r="G2385" s="24" t="s">
        <v>1534</v>
      </c>
      <c r="H2385" s="24" t="s">
        <v>27</v>
      </c>
      <c r="I2385" s="24" t="s">
        <v>2008</v>
      </c>
      <c r="J2385" s="15" t="s">
        <v>28</v>
      </c>
      <c r="K2385" s="16" t="s">
        <v>57</v>
      </c>
      <c r="L2385" s="62"/>
      <c r="M2385" s="15" t="s">
        <v>72</v>
      </c>
      <c r="N2385" s="15" t="s">
        <v>39</v>
      </c>
      <c r="O2385" s="15" t="s">
        <v>121</v>
      </c>
      <c r="P2385" s="16" t="s">
        <v>32</v>
      </c>
      <c r="Q2385" s="17">
        <v>4399</v>
      </c>
      <c r="R2385" s="18">
        <v>45</v>
      </c>
      <c r="S2385" s="19">
        <v>2782.3674999999994</v>
      </c>
      <c r="T2385" s="20" t="s">
        <v>33</v>
      </c>
      <c r="U2385" s="21" t="s">
        <v>150</v>
      </c>
      <c r="V2385" s="25" t="s">
        <v>761</v>
      </c>
      <c r="W2385" s="22">
        <v>1</v>
      </c>
      <c r="X2385" s="23"/>
    </row>
    <row r="2386" spans="1:24" s="1" customFormat="1" ht="52.05" customHeight="1" x14ac:dyDescent="0.3">
      <c r="A2386" s="11" t="s">
        <v>23</v>
      </c>
      <c r="B2386" s="11" t="s">
        <v>2265</v>
      </c>
      <c r="C2386" s="12" t="s">
        <v>2266</v>
      </c>
      <c r="D2386" s="63"/>
      <c r="E2386" s="43" t="str">
        <f>HYPERLINK("https://www.google.ru/search?q=17783-0138&amp;newwindow=1&amp;tbm=isch","Еще фото")</f>
        <v>Еще фото</v>
      </c>
      <c r="F2386" s="14" t="s">
        <v>182</v>
      </c>
      <c r="G2386" s="11" t="s">
        <v>1534</v>
      </c>
      <c r="H2386" s="11" t="s">
        <v>27</v>
      </c>
      <c r="I2386" s="15" t="s">
        <v>2008</v>
      </c>
      <c r="J2386" s="15" t="s">
        <v>28</v>
      </c>
      <c r="K2386" s="16" t="s">
        <v>57</v>
      </c>
      <c r="L2386" s="60" t="s">
        <v>2264</v>
      </c>
      <c r="M2386" s="15" t="s">
        <v>72</v>
      </c>
      <c r="N2386" s="15" t="s">
        <v>87</v>
      </c>
      <c r="O2386" s="15" t="s">
        <v>121</v>
      </c>
      <c r="P2386" s="16" t="s">
        <v>32</v>
      </c>
      <c r="Q2386" s="17">
        <v>4699</v>
      </c>
      <c r="R2386" s="18">
        <v>45</v>
      </c>
      <c r="S2386" s="19">
        <v>2972.1174999999994</v>
      </c>
      <c r="T2386" s="20" t="s">
        <v>33</v>
      </c>
      <c r="U2386" s="21" t="s">
        <v>62</v>
      </c>
      <c r="V2386" s="22">
        <v>46</v>
      </c>
      <c r="W2386" s="22">
        <v>37</v>
      </c>
      <c r="X2386" s="23"/>
    </row>
    <row r="2387" spans="1:24" s="1" customFormat="1" ht="61.05" customHeight="1" x14ac:dyDescent="0.3">
      <c r="A2387" s="24" t="s">
        <v>23</v>
      </c>
      <c r="B2387" s="24" t="s">
        <v>2265</v>
      </c>
      <c r="C2387" s="12" t="s">
        <v>2266</v>
      </c>
      <c r="D2387" s="64"/>
      <c r="E2387" s="43" t="str">
        <f>HYPERLINK("https://www.google.ru/search?q=17783-0138&amp;newwindow=1&amp;tbm=isch","Еще фото")</f>
        <v>Еще фото</v>
      </c>
      <c r="F2387" s="14" t="s">
        <v>182</v>
      </c>
      <c r="G2387" s="24" t="s">
        <v>1534</v>
      </c>
      <c r="H2387" s="24" t="s">
        <v>27</v>
      </c>
      <c r="I2387" s="24" t="s">
        <v>2008</v>
      </c>
      <c r="J2387" s="15" t="s">
        <v>28</v>
      </c>
      <c r="K2387" s="16" t="s">
        <v>57</v>
      </c>
      <c r="L2387" s="62"/>
      <c r="M2387" s="15" t="s">
        <v>72</v>
      </c>
      <c r="N2387" s="15" t="s">
        <v>87</v>
      </c>
      <c r="O2387" s="15" t="s">
        <v>121</v>
      </c>
      <c r="P2387" s="16" t="s">
        <v>32</v>
      </c>
      <c r="Q2387" s="17">
        <v>4699</v>
      </c>
      <c r="R2387" s="18">
        <v>45</v>
      </c>
      <c r="S2387" s="19">
        <v>2972.1174999999994</v>
      </c>
      <c r="T2387" s="20" t="s">
        <v>33</v>
      </c>
      <c r="U2387" s="21" t="s">
        <v>64</v>
      </c>
      <c r="V2387" s="22">
        <v>48</v>
      </c>
      <c r="W2387" s="22">
        <v>1</v>
      </c>
      <c r="X2387" s="23"/>
    </row>
    <row r="2388" spans="1:24" s="1" customFormat="1" ht="52.05" customHeight="1" x14ac:dyDescent="0.3">
      <c r="A2388" s="11" t="s">
        <v>23</v>
      </c>
      <c r="B2388" s="11" t="s">
        <v>2267</v>
      </c>
      <c r="C2388" s="12" t="s">
        <v>2268</v>
      </c>
      <c r="D2388" s="63"/>
      <c r="E2388" s="43" t="str">
        <f>HYPERLINK("https://www.google.ru/search?q=17783-0139&amp;newwindow=1&amp;tbm=isch","Еще фото")</f>
        <v>Еще фото</v>
      </c>
      <c r="F2388" s="14" t="s">
        <v>182</v>
      </c>
      <c r="G2388" s="11" t="s">
        <v>1534</v>
      </c>
      <c r="H2388" s="11" t="s">
        <v>27</v>
      </c>
      <c r="I2388" s="15" t="s">
        <v>2008</v>
      </c>
      <c r="J2388" s="15" t="s">
        <v>28</v>
      </c>
      <c r="K2388" s="16" t="s">
        <v>57</v>
      </c>
      <c r="L2388" s="60" t="s">
        <v>2264</v>
      </c>
      <c r="M2388" s="15" t="s">
        <v>72</v>
      </c>
      <c r="N2388" s="15" t="s">
        <v>130</v>
      </c>
      <c r="O2388" s="15" t="s">
        <v>121</v>
      </c>
      <c r="P2388" s="16" t="s">
        <v>32</v>
      </c>
      <c r="Q2388" s="17">
        <v>4699</v>
      </c>
      <c r="R2388" s="18">
        <v>45</v>
      </c>
      <c r="S2388" s="19">
        <v>2972.1174999999994</v>
      </c>
      <c r="T2388" s="20" t="s">
        <v>75</v>
      </c>
      <c r="U2388" s="21" t="s">
        <v>62</v>
      </c>
      <c r="V2388" s="22">
        <v>46</v>
      </c>
      <c r="W2388" s="22">
        <v>40</v>
      </c>
      <c r="X2388" s="23"/>
    </row>
    <row r="2389" spans="1:24" s="1" customFormat="1" ht="61.05" customHeight="1" x14ac:dyDescent="0.3">
      <c r="A2389" s="24" t="s">
        <v>23</v>
      </c>
      <c r="B2389" s="24" t="s">
        <v>2267</v>
      </c>
      <c r="C2389" s="12" t="s">
        <v>2268</v>
      </c>
      <c r="D2389" s="64"/>
      <c r="E2389" s="43" t="str">
        <f>HYPERLINK("https://www.google.ru/search?q=17783-0139&amp;newwindow=1&amp;tbm=isch","Еще фото")</f>
        <v>Еще фото</v>
      </c>
      <c r="F2389" s="14" t="s">
        <v>182</v>
      </c>
      <c r="G2389" s="24" t="s">
        <v>1534</v>
      </c>
      <c r="H2389" s="24" t="s">
        <v>27</v>
      </c>
      <c r="I2389" s="24" t="s">
        <v>2008</v>
      </c>
      <c r="J2389" s="15" t="s">
        <v>28</v>
      </c>
      <c r="K2389" s="16" t="s">
        <v>57</v>
      </c>
      <c r="L2389" s="62"/>
      <c r="M2389" s="15" t="s">
        <v>72</v>
      </c>
      <c r="N2389" s="15" t="s">
        <v>130</v>
      </c>
      <c r="O2389" s="15" t="s">
        <v>121</v>
      </c>
      <c r="P2389" s="16" t="s">
        <v>32</v>
      </c>
      <c r="Q2389" s="17">
        <v>4699</v>
      </c>
      <c r="R2389" s="18">
        <v>45</v>
      </c>
      <c r="S2389" s="19">
        <v>2972.1174999999994</v>
      </c>
      <c r="T2389" s="20" t="s">
        <v>75</v>
      </c>
      <c r="U2389" s="21" t="s">
        <v>64</v>
      </c>
      <c r="V2389" s="22">
        <v>48</v>
      </c>
      <c r="W2389" s="22">
        <v>1</v>
      </c>
      <c r="X2389" s="23"/>
    </row>
    <row r="2390" spans="1:24" s="1" customFormat="1" ht="108" customHeight="1" x14ac:dyDescent="0.3">
      <c r="A2390" s="11" t="s">
        <v>23</v>
      </c>
      <c r="B2390" s="11" t="s">
        <v>2269</v>
      </c>
      <c r="C2390" s="12" t="s">
        <v>2270</v>
      </c>
      <c r="D2390" s="13"/>
      <c r="E2390" s="43" t="str">
        <f>HYPERLINK("https://www.google.ru/search?q=17783-0140&amp;newwindow=1&amp;tbm=isch","Еще фото")</f>
        <v>Еще фото</v>
      </c>
      <c r="F2390" s="14" t="s">
        <v>182</v>
      </c>
      <c r="G2390" s="11" t="s">
        <v>1534</v>
      </c>
      <c r="H2390" s="11" t="s">
        <v>27</v>
      </c>
      <c r="I2390" s="15" t="s">
        <v>2008</v>
      </c>
      <c r="J2390" s="15" t="s">
        <v>28</v>
      </c>
      <c r="K2390" s="16" t="s">
        <v>57</v>
      </c>
      <c r="L2390" s="15" t="s">
        <v>2271</v>
      </c>
      <c r="M2390" s="15" t="s">
        <v>72</v>
      </c>
      <c r="N2390" s="15" t="s">
        <v>31</v>
      </c>
      <c r="O2390" s="15" t="s">
        <v>121</v>
      </c>
      <c r="P2390" s="16" t="s">
        <v>32</v>
      </c>
      <c r="Q2390" s="17">
        <v>4399</v>
      </c>
      <c r="R2390" s="18">
        <v>45</v>
      </c>
      <c r="S2390" s="19">
        <v>2782.3674999999994</v>
      </c>
      <c r="T2390" s="20" t="s">
        <v>75</v>
      </c>
      <c r="U2390" s="21" t="s">
        <v>64</v>
      </c>
      <c r="V2390" s="22">
        <v>48</v>
      </c>
      <c r="W2390" s="22">
        <v>1</v>
      </c>
      <c r="X2390" s="23"/>
    </row>
    <row r="2391" spans="1:24" s="1" customFormat="1" ht="108" customHeight="1" x14ac:dyDescent="0.3">
      <c r="A2391" s="11" t="s">
        <v>23</v>
      </c>
      <c r="B2391" s="11" t="s">
        <v>2272</v>
      </c>
      <c r="C2391" s="12" t="s">
        <v>2273</v>
      </c>
      <c r="D2391" s="13"/>
      <c r="E2391" s="43" t="str">
        <f>HYPERLINK("https://www.google.ru/search?q=19342-0483&amp;newwindow=1&amp;tbm=isch","Еще фото")</f>
        <v>Еще фото</v>
      </c>
      <c r="F2391" s="14"/>
      <c r="G2391" s="11" t="s">
        <v>1534</v>
      </c>
      <c r="H2391" s="11" t="s">
        <v>27</v>
      </c>
      <c r="I2391" s="15" t="s">
        <v>2008</v>
      </c>
      <c r="J2391" s="15" t="s">
        <v>37</v>
      </c>
      <c r="K2391" s="16" t="s">
        <v>57</v>
      </c>
      <c r="L2391" s="15" t="s">
        <v>2274</v>
      </c>
      <c r="M2391" s="15"/>
      <c r="N2391" s="15" t="s">
        <v>87</v>
      </c>
      <c r="O2391" s="15"/>
      <c r="P2391" s="16" t="s">
        <v>32</v>
      </c>
      <c r="Q2391" s="17">
        <v>5299</v>
      </c>
      <c r="R2391" s="18">
        <v>45</v>
      </c>
      <c r="S2391" s="19">
        <v>3351.6174999999994</v>
      </c>
      <c r="T2391" s="20" t="s">
        <v>33</v>
      </c>
      <c r="U2391" s="21" t="s">
        <v>64</v>
      </c>
      <c r="V2391" s="22">
        <v>48</v>
      </c>
      <c r="W2391" s="22">
        <v>1</v>
      </c>
      <c r="X2391" s="23"/>
    </row>
    <row r="2392" spans="1:24" s="1" customFormat="1" ht="35" customHeight="1" x14ac:dyDescent="0.3">
      <c r="A2392" s="11" t="s">
        <v>23</v>
      </c>
      <c r="B2392" s="11" t="s">
        <v>2275</v>
      </c>
      <c r="C2392" s="12" t="s">
        <v>2276</v>
      </c>
      <c r="D2392" s="57"/>
      <c r="E2392" s="43" t="str">
        <f>HYPERLINK("https://www.google.ru/search?q=19342-0484&amp;newwindow=1&amp;tbm=isch","Еще фото")</f>
        <v>Еще фото</v>
      </c>
      <c r="F2392" s="14"/>
      <c r="G2392" s="11" t="s">
        <v>1534</v>
      </c>
      <c r="H2392" s="11" t="s">
        <v>27</v>
      </c>
      <c r="I2392" s="15" t="s">
        <v>2008</v>
      </c>
      <c r="J2392" s="15" t="s">
        <v>37</v>
      </c>
      <c r="K2392" s="16" t="s">
        <v>57</v>
      </c>
      <c r="L2392" s="60" t="s">
        <v>2274</v>
      </c>
      <c r="M2392" s="15"/>
      <c r="N2392" s="15" t="s">
        <v>1636</v>
      </c>
      <c r="O2392" s="15"/>
      <c r="P2392" s="16" t="s">
        <v>32</v>
      </c>
      <c r="Q2392" s="17">
        <v>4799</v>
      </c>
      <c r="R2392" s="18">
        <v>45</v>
      </c>
      <c r="S2392" s="19">
        <v>3035.3674999999994</v>
      </c>
      <c r="T2392" s="20" t="s">
        <v>33</v>
      </c>
      <c r="U2392" s="21" t="s">
        <v>62</v>
      </c>
      <c r="V2392" s="22">
        <v>46</v>
      </c>
      <c r="W2392" s="22">
        <v>3</v>
      </c>
      <c r="X2392" s="23"/>
    </row>
    <row r="2393" spans="1:24" s="1" customFormat="1" ht="35" customHeight="1" x14ac:dyDescent="0.3">
      <c r="A2393" s="24" t="s">
        <v>23</v>
      </c>
      <c r="B2393" s="24" t="s">
        <v>2275</v>
      </c>
      <c r="C2393" s="12" t="s">
        <v>2276</v>
      </c>
      <c r="D2393" s="58"/>
      <c r="E2393" s="43" t="str">
        <f>HYPERLINK("https://www.google.ru/search?q=19342-0484&amp;newwindow=1&amp;tbm=isch","Еще фото")</f>
        <v>Еще фото</v>
      </c>
      <c r="F2393" s="14"/>
      <c r="G2393" s="24" t="s">
        <v>1534</v>
      </c>
      <c r="H2393" s="24" t="s">
        <v>27</v>
      </c>
      <c r="I2393" s="24" t="s">
        <v>2008</v>
      </c>
      <c r="J2393" s="15" t="s">
        <v>37</v>
      </c>
      <c r="K2393" s="16" t="s">
        <v>57</v>
      </c>
      <c r="L2393" s="61"/>
      <c r="M2393" s="15"/>
      <c r="N2393" s="15" t="s">
        <v>1636</v>
      </c>
      <c r="O2393" s="15"/>
      <c r="P2393" s="16" t="s">
        <v>32</v>
      </c>
      <c r="Q2393" s="17">
        <v>4799</v>
      </c>
      <c r="R2393" s="18">
        <v>45</v>
      </c>
      <c r="S2393" s="19">
        <v>3035.3674999999994</v>
      </c>
      <c r="T2393" s="20" t="s">
        <v>33</v>
      </c>
      <c r="U2393" s="21" t="s">
        <v>64</v>
      </c>
      <c r="V2393" s="22">
        <v>48</v>
      </c>
      <c r="W2393" s="22">
        <v>7</v>
      </c>
      <c r="X2393" s="23"/>
    </row>
    <row r="2394" spans="1:24" s="1" customFormat="1" ht="37.049999999999997" customHeight="1" x14ac:dyDescent="0.3">
      <c r="A2394" s="24" t="s">
        <v>23</v>
      </c>
      <c r="B2394" s="24" t="s">
        <v>2275</v>
      </c>
      <c r="C2394" s="12" t="s">
        <v>2276</v>
      </c>
      <c r="D2394" s="59"/>
      <c r="E2394" s="43" t="str">
        <f>HYPERLINK("https://www.google.ru/search?q=19342-0484&amp;newwindow=1&amp;tbm=isch","Еще фото")</f>
        <v>Еще фото</v>
      </c>
      <c r="F2394" s="14"/>
      <c r="G2394" s="24" t="s">
        <v>1534</v>
      </c>
      <c r="H2394" s="24" t="s">
        <v>27</v>
      </c>
      <c r="I2394" s="24" t="s">
        <v>2008</v>
      </c>
      <c r="J2394" s="15" t="s">
        <v>37</v>
      </c>
      <c r="K2394" s="16" t="s">
        <v>57</v>
      </c>
      <c r="L2394" s="62"/>
      <c r="M2394" s="15"/>
      <c r="N2394" s="15" t="s">
        <v>1636</v>
      </c>
      <c r="O2394" s="15"/>
      <c r="P2394" s="16" t="s">
        <v>32</v>
      </c>
      <c r="Q2394" s="17">
        <v>4799</v>
      </c>
      <c r="R2394" s="18">
        <v>45</v>
      </c>
      <c r="S2394" s="19">
        <v>3035.3674999999994</v>
      </c>
      <c r="T2394" s="20" t="s">
        <v>33</v>
      </c>
      <c r="U2394" s="21" t="s">
        <v>34</v>
      </c>
      <c r="V2394" s="25" t="s">
        <v>90</v>
      </c>
      <c r="W2394" s="22">
        <v>2</v>
      </c>
      <c r="X2394" s="23"/>
    </row>
    <row r="2395" spans="1:24" s="1" customFormat="1" ht="52.05" customHeight="1" x14ac:dyDescent="0.3">
      <c r="A2395" s="11" t="s">
        <v>23</v>
      </c>
      <c r="B2395" s="11" t="s">
        <v>2277</v>
      </c>
      <c r="C2395" s="12" t="s">
        <v>2278</v>
      </c>
      <c r="D2395" s="63"/>
      <c r="E2395" s="43" t="str">
        <f>HYPERLINK("https://www.google.ru/search?q=22489-0163&amp;newwindow=1&amp;tbm=isch","Еще фото")</f>
        <v>Еще фото</v>
      </c>
      <c r="F2395" s="34" t="s">
        <v>469</v>
      </c>
      <c r="G2395" s="11" t="s">
        <v>1534</v>
      </c>
      <c r="H2395" s="11" t="s">
        <v>27</v>
      </c>
      <c r="I2395" s="15" t="s">
        <v>2008</v>
      </c>
      <c r="J2395" s="15" t="s">
        <v>37</v>
      </c>
      <c r="K2395" s="16" t="s">
        <v>57</v>
      </c>
      <c r="L2395" s="60" t="s">
        <v>2279</v>
      </c>
      <c r="M2395" s="15"/>
      <c r="N2395" s="15" t="s">
        <v>31</v>
      </c>
      <c r="O2395" s="15"/>
      <c r="P2395" s="16" t="s">
        <v>32</v>
      </c>
      <c r="Q2395" s="17">
        <v>4199</v>
      </c>
      <c r="R2395" s="18">
        <v>45</v>
      </c>
      <c r="S2395" s="19">
        <v>2655.8674999999994</v>
      </c>
      <c r="T2395" s="20" t="s">
        <v>33</v>
      </c>
      <c r="U2395" s="21" t="s">
        <v>64</v>
      </c>
      <c r="V2395" s="22">
        <v>48</v>
      </c>
      <c r="W2395" s="22">
        <v>3</v>
      </c>
      <c r="X2395" s="23"/>
    </row>
    <row r="2396" spans="1:24" s="1" customFormat="1" ht="61.05" customHeight="1" x14ac:dyDescent="0.3">
      <c r="A2396" s="24" t="s">
        <v>23</v>
      </c>
      <c r="B2396" s="24" t="s">
        <v>2277</v>
      </c>
      <c r="C2396" s="12" t="s">
        <v>2278</v>
      </c>
      <c r="D2396" s="64"/>
      <c r="E2396" s="43" t="str">
        <f>HYPERLINK("https://www.google.ru/search?q=22489-0163&amp;newwindow=1&amp;tbm=isch","Еще фото")</f>
        <v>Еще фото</v>
      </c>
      <c r="F2396" s="34" t="s">
        <v>469</v>
      </c>
      <c r="G2396" s="24" t="s">
        <v>1534</v>
      </c>
      <c r="H2396" s="24" t="s">
        <v>27</v>
      </c>
      <c r="I2396" s="24" t="s">
        <v>2008</v>
      </c>
      <c r="J2396" s="15" t="s">
        <v>37</v>
      </c>
      <c r="K2396" s="16" t="s">
        <v>57</v>
      </c>
      <c r="L2396" s="62"/>
      <c r="M2396" s="15"/>
      <c r="N2396" s="15" t="s">
        <v>31</v>
      </c>
      <c r="O2396" s="15"/>
      <c r="P2396" s="16" t="s">
        <v>32</v>
      </c>
      <c r="Q2396" s="17">
        <v>4199</v>
      </c>
      <c r="R2396" s="18">
        <v>45</v>
      </c>
      <c r="S2396" s="19">
        <v>2655.8674999999994</v>
      </c>
      <c r="T2396" s="20" t="s">
        <v>33</v>
      </c>
      <c r="U2396" s="21" t="s">
        <v>34</v>
      </c>
      <c r="V2396" s="25" t="s">
        <v>90</v>
      </c>
      <c r="W2396" s="22">
        <v>1</v>
      </c>
      <c r="X2396" s="23"/>
    </row>
    <row r="2397" spans="1:24" s="1" customFormat="1" ht="52.05" customHeight="1" x14ac:dyDescent="0.3">
      <c r="A2397" s="11" t="s">
        <v>23</v>
      </c>
      <c r="B2397" s="11" t="s">
        <v>2280</v>
      </c>
      <c r="C2397" s="12" t="s">
        <v>2281</v>
      </c>
      <c r="D2397" s="63"/>
      <c r="E2397" s="43" t="str">
        <f>HYPERLINK("https://www.google.ru/search?q=22491-1318&amp;newwindow=1&amp;tbm=isch","Еще фото")</f>
        <v>Еще фото</v>
      </c>
      <c r="F2397" s="14"/>
      <c r="G2397" s="11" t="s">
        <v>1534</v>
      </c>
      <c r="H2397" s="11" t="s">
        <v>27</v>
      </c>
      <c r="I2397" s="15" t="s">
        <v>2008</v>
      </c>
      <c r="J2397" s="15" t="s">
        <v>37</v>
      </c>
      <c r="K2397" s="16" t="s">
        <v>57</v>
      </c>
      <c r="L2397" s="60" t="s">
        <v>2282</v>
      </c>
      <c r="M2397" s="15"/>
      <c r="N2397" s="15" t="s">
        <v>39</v>
      </c>
      <c r="O2397" s="15"/>
      <c r="P2397" s="16" t="s">
        <v>32</v>
      </c>
      <c r="Q2397" s="17">
        <v>4799</v>
      </c>
      <c r="R2397" s="18">
        <v>45</v>
      </c>
      <c r="S2397" s="19">
        <v>3035.3674999999994</v>
      </c>
      <c r="T2397" s="20" t="s">
        <v>33</v>
      </c>
      <c r="U2397" s="21" t="s">
        <v>62</v>
      </c>
      <c r="V2397" s="22">
        <v>46</v>
      </c>
      <c r="W2397" s="22">
        <v>8</v>
      </c>
      <c r="X2397" s="23"/>
    </row>
    <row r="2398" spans="1:24" s="1" customFormat="1" ht="61.05" customHeight="1" x14ac:dyDescent="0.3">
      <c r="A2398" s="24" t="s">
        <v>23</v>
      </c>
      <c r="B2398" s="24" t="s">
        <v>2280</v>
      </c>
      <c r="C2398" s="12" t="s">
        <v>2281</v>
      </c>
      <c r="D2398" s="64"/>
      <c r="E2398" s="43" t="str">
        <f>HYPERLINK("https://www.google.ru/search?q=22491-1318&amp;newwindow=1&amp;tbm=isch","Еще фото")</f>
        <v>Еще фото</v>
      </c>
      <c r="F2398" s="14"/>
      <c r="G2398" s="24" t="s">
        <v>1534</v>
      </c>
      <c r="H2398" s="24" t="s">
        <v>27</v>
      </c>
      <c r="I2398" s="24" t="s">
        <v>2008</v>
      </c>
      <c r="J2398" s="15" t="s">
        <v>37</v>
      </c>
      <c r="K2398" s="16" t="s">
        <v>57</v>
      </c>
      <c r="L2398" s="62"/>
      <c r="M2398" s="15"/>
      <c r="N2398" s="15" t="s">
        <v>39</v>
      </c>
      <c r="O2398" s="15"/>
      <c r="P2398" s="16" t="s">
        <v>32</v>
      </c>
      <c r="Q2398" s="17">
        <v>4799</v>
      </c>
      <c r="R2398" s="18">
        <v>45</v>
      </c>
      <c r="S2398" s="19">
        <v>3035.3674999999994</v>
      </c>
      <c r="T2398" s="20" t="s">
        <v>33</v>
      </c>
      <c r="U2398" s="21" t="s">
        <v>64</v>
      </c>
      <c r="V2398" s="22">
        <v>48</v>
      </c>
      <c r="W2398" s="22">
        <v>3</v>
      </c>
      <c r="X2398" s="23"/>
    </row>
    <row r="2399" spans="1:24" s="1" customFormat="1" ht="52.05" customHeight="1" x14ac:dyDescent="0.3">
      <c r="A2399" s="11" t="s">
        <v>23</v>
      </c>
      <c r="B2399" s="11" t="s">
        <v>2283</v>
      </c>
      <c r="C2399" s="12" t="s">
        <v>2284</v>
      </c>
      <c r="D2399" s="63"/>
      <c r="E2399" s="43" t="str">
        <f>HYPERLINK("https://www.google.ru/search?q=22491-2104&amp;newwindow=1&amp;tbm=isch","Еще фото")</f>
        <v>Еще фото</v>
      </c>
      <c r="F2399" s="14"/>
      <c r="G2399" s="11" t="s">
        <v>1534</v>
      </c>
      <c r="H2399" s="11" t="s">
        <v>27</v>
      </c>
      <c r="I2399" s="15" t="s">
        <v>2008</v>
      </c>
      <c r="J2399" s="15" t="s">
        <v>37</v>
      </c>
      <c r="K2399" s="16" t="s">
        <v>57</v>
      </c>
      <c r="L2399" s="60" t="s">
        <v>2285</v>
      </c>
      <c r="M2399" s="15"/>
      <c r="N2399" s="15" t="s">
        <v>31</v>
      </c>
      <c r="O2399" s="15"/>
      <c r="P2399" s="16" t="s">
        <v>32</v>
      </c>
      <c r="Q2399" s="17">
        <v>5599</v>
      </c>
      <c r="R2399" s="18">
        <v>45</v>
      </c>
      <c r="S2399" s="19">
        <v>3541.3674999999994</v>
      </c>
      <c r="T2399" s="20" t="s">
        <v>33</v>
      </c>
      <c r="U2399" s="21" t="s">
        <v>34</v>
      </c>
      <c r="V2399" s="25" t="s">
        <v>90</v>
      </c>
      <c r="W2399" s="22">
        <v>5</v>
      </c>
      <c r="X2399" s="23"/>
    </row>
    <row r="2400" spans="1:24" s="1" customFormat="1" ht="61.05" customHeight="1" x14ac:dyDescent="0.3">
      <c r="A2400" s="24" t="s">
        <v>23</v>
      </c>
      <c r="B2400" s="24" t="s">
        <v>2283</v>
      </c>
      <c r="C2400" s="12" t="s">
        <v>2284</v>
      </c>
      <c r="D2400" s="64"/>
      <c r="E2400" s="43" t="str">
        <f>HYPERLINK("https://www.google.ru/search?q=22491-2104&amp;newwindow=1&amp;tbm=isch","Еще фото")</f>
        <v>Еще фото</v>
      </c>
      <c r="F2400" s="14"/>
      <c r="G2400" s="24" t="s">
        <v>1534</v>
      </c>
      <c r="H2400" s="24" t="s">
        <v>27</v>
      </c>
      <c r="I2400" s="24" t="s">
        <v>2008</v>
      </c>
      <c r="J2400" s="15" t="s">
        <v>37</v>
      </c>
      <c r="K2400" s="16" t="s">
        <v>57</v>
      </c>
      <c r="L2400" s="62"/>
      <c r="M2400" s="15"/>
      <c r="N2400" s="15" t="s">
        <v>31</v>
      </c>
      <c r="O2400" s="15"/>
      <c r="P2400" s="16" t="s">
        <v>32</v>
      </c>
      <c r="Q2400" s="17">
        <v>5599</v>
      </c>
      <c r="R2400" s="18">
        <v>45</v>
      </c>
      <c r="S2400" s="19">
        <v>3541.3674999999994</v>
      </c>
      <c r="T2400" s="20" t="s">
        <v>33</v>
      </c>
      <c r="U2400" s="21" t="s">
        <v>150</v>
      </c>
      <c r="V2400" s="25" t="s">
        <v>761</v>
      </c>
      <c r="W2400" s="22">
        <v>2</v>
      </c>
      <c r="X2400" s="23"/>
    </row>
    <row r="2401" spans="1:24" s="1" customFormat="1" ht="35" customHeight="1" x14ac:dyDescent="0.3">
      <c r="A2401" s="11" t="s">
        <v>23</v>
      </c>
      <c r="B2401" s="11" t="s">
        <v>2286</v>
      </c>
      <c r="C2401" s="12" t="s">
        <v>2287</v>
      </c>
      <c r="D2401" s="57"/>
      <c r="E2401" s="43" t="str">
        <f>HYPERLINK("https://www.google.ru/search?q=35883-0004&amp;newwindow=1&amp;tbm=isch","Еще фото")</f>
        <v>Еще фото</v>
      </c>
      <c r="F2401" s="14" t="s">
        <v>182</v>
      </c>
      <c r="G2401" s="11" t="s">
        <v>2062</v>
      </c>
      <c r="H2401" s="11" t="s">
        <v>27</v>
      </c>
      <c r="I2401" s="15" t="s">
        <v>2008</v>
      </c>
      <c r="J2401" s="15" t="s">
        <v>28</v>
      </c>
      <c r="K2401" s="16" t="s">
        <v>57</v>
      </c>
      <c r="L2401" s="60" t="s">
        <v>2288</v>
      </c>
      <c r="M2401" s="15"/>
      <c r="N2401" s="15" t="s">
        <v>87</v>
      </c>
      <c r="O2401" s="15"/>
      <c r="P2401" s="16" t="s">
        <v>32</v>
      </c>
      <c r="Q2401" s="17">
        <v>7699</v>
      </c>
      <c r="R2401" s="18">
        <v>45</v>
      </c>
      <c r="S2401" s="19">
        <v>4869.6174999999994</v>
      </c>
      <c r="T2401" s="20" t="s">
        <v>33</v>
      </c>
      <c r="U2401" s="21" t="s">
        <v>62</v>
      </c>
      <c r="V2401" s="22">
        <v>46</v>
      </c>
      <c r="W2401" s="22">
        <v>8</v>
      </c>
      <c r="X2401" s="23"/>
    </row>
    <row r="2402" spans="1:24" s="1" customFormat="1" ht="35" customHeight="1" x14ac:dyDescent="0.3">
      <c r="A2402" s="24" t="s">
        <v>23</v>
      </c>
      <c r="B2402" s="24" t="s">
        <v>2286</v>
      </c>
      <c r="C2402" s="12" t="s">
        <v>2287</v>
      </c>
      <c r="D2402" s="58"/>
      <c r="E2402" s="43" t="str">
        <f>HYPERLINK("https://www.google.ru/search?q=35883-0004&amp;newwindow=1&amp;tbm=isch","Еще фото")</f>
        <v>Еще фото</v>
      </c>
      <c r="F2402" s="14" t="s">
        <v>182</v>
      </c>
      <c r="G2402" s="24" t="s">
        <v>2062</v>
      </c>
      <c r="H2402" s="24" t="s">
        <v>27</v>
      </c>
      <c r="I2402" s="24" t="s">
        <v>2008</v>
      </c>
      <c r="J2402" s="15" t="s">
        <v>28</v>
      </c>
      <c r="K2402" s="16" t="s">
        <v>57</v>
      </c>
      <c r="L2402" s="61"/>
      <c r="M2402" s="15"/>
      <c r="N2402" s="15" t="s">
        <v>87</v>
      </c>
      <c r="O2402" s="15"/>
      <c r="P2402" s="16" t="s">
        <v>32</v>
      </c>
      <c r="Q2402" s="17">
        <v>7699</v>
      </c>
      <c r="R2402" s="18">
        <v>45</v>
      </c>
      <c r="S2402" s="19">
        <v>4869.6174999999994</v>
      </c>
      <c r="T2402" s="20" t="s">
        <v>33</v>
      </c>
      <c r="U2402" s="21" t="s">
        <v>64</v>
      </c>
      <c r="V2402" s="22">
        <v>48</v>
      </c>
      <c r="W2402" s="22">
        <v>8</v>
      </c>
      <c r="X2402" s="23"/>
    </row>
    <row r="2403" spans="1:24" s="1" customFormat="1" ht="37.049999999999997" customHeight="1" x14ac:dyDescent="0.3">
      <c r="A2403" s="24" t="s">
        <v>23</v>
      </c>
      <c r="B2403" s="24" t="s">
        <v>2286</v>
      </c>
      <c r="C2403" s="12" t="s">
        <v>2287</v>
      </c>
      <c r="D2403" s="59"/>
      <c r="E2403" s="43" t="str">
        <f>HYPERLINK("https://www.google.ru/search?q=35883-0004&amp;newwindow=1&amp;tbm=isch","Еще фото")</f>
        <v>Еще фото</v>
      </c>
      <c r="F2403" s="14" t="s">
        <v>182</v>
      </c>
      <c r="G2403" s="24" t="s">
        <v>2062</v>
      </c>
      <c r="H2403" s="24" t="s">
        <v>27</v>
      </c>
      <c r="I2403" s="24" t="s">
        <v>2008</v>
      </c>
      <c r="J2403" s="15" t="s">
        <v>28</v>
      </c>
      <c r="K2403" s="16" t="s">
        <v>57</v>
      </c>
      <c r="L2403" s="62"/>
      <c r="M2403" s="15"/>
      <c r="N2403" s="15" t="s">
        <v>87</v>
      </c>
      <c r="O2403" s="15"/>
      <c r="P2403" s="16" t="s">
        <v>32</v>
      </c>
      <c r="Q2403" s="17">
        <v>7699</v>
      </c>
      <c r="R2403" s="18">
        <v>45</v>
      </c>
      <c r="S2403" s="19">
        <v>4869.6174999999994</v>
      </c>
      <c r="T2403" s="20" t="s">
        <v>33</v>
      </c>
      <c r="U2403" s="21" t="s">
        <v>34</v>
      </c>
      <c r="V2403" s="25" t="s">
        <v>90</v>
      </c>
      <c r="W2403" s="22">
        <v>7</v>
      </c>
      <c r="X2403" s="23"/>
    </row>
    <row r="2404" spans="1:24" s="1" customFormat="1" ht="21" customHeight="1" x14ac:dyDescent="0.3">
      <c r="A2404" s="11" t="s">
        <v>23</v>
      </c>
      <c r="B2404" s="11" t="s">
        <v>2289</v>
      </c>
      <c r="C2404" s="30" t="s">
        <v>2290</v>
      </c>
      <c r="D2404" s="57"/>
      <c r="E2404" s="43" t="str">
        <f>HYPERLINK("https://www.google.ru/search?q=35883-0005&amp;newwindow=1&amp;tbm=isch","Еще фото")</f>
        <v>Еще фото</v>
      </c>
      <c r="F2404" s="14" t="s">
        <v>182</v>
      </c>
      <c r="G2404" s="11" t="s">
        <v>2062</v>
      </c>
      <c r="H2404" s="11" t="s">
        <v>27</v>
      </c>
      <c r="I2404" s="15" t="s">
        <v>2008</v>
      </c>
      <c r="J2404" s="15" t="s">
        <v>28</v>
      </c>
      <c r="K2404" s="16" t="s">
        <v>57</v>
      </c>
      <c r="L2404" s="60" t="s">
        <v>2291</v>
      </c>
      <c r="M2404" s="15"/>
      <c r="N2404" s="15" t="s">
        <v>130</v>
      </c>
      <c r="O2404" s="15"/>
      <c r="P2404" s="16" t="s">
        <v>172</v>
      </c>
      <c r="Q2404" s="17">
        <v>7699</v>
      </c>
      <c r="R2404" s="18">
        <v>45</v>
      </c>
      <c r="S2404" s="19">
        <v>4869.6174999999994</v>
      </c>
      <c r="T2404" s="20" t="s">
        <v>33</v>
      </c>
      <c r="U2404" s="21" t="s">
        <v>61</v>
      </c>
      <c r="V2404" s="22">
        <v>44</v>
      </c>
      <c r="W2404" s="22">
        <v>1</v>
      </c>
      <c r="X2404" s="23"/>
    </row>
    <row r="2405" spans="1:24" s="1" customFormat="1" ht="21" customHeight="1" x14ac:dyDescent="0.3">
      <c r="A2405" s="24" t="s">
        <v>23</v>
      </c>
      <c r="B2405" s="24" t="s">
        <v>2289</v>
      </c>
      <c r="C2405" s="31" t="s">
        <v>2290</v>
      </c>
      <c r="D2405" s="58"/>
      <c r="E2405" s="43" t="str">
        <f>HYPERLINK("https://www.google.ru/search?q=35883-0005&amp;newwindow=1&amp;tbm=isch","Еще фото")</f>
        <v>Еще фото</v>
      </c>
      <c r="F2405" s="14" t="s">
        <v>182</v>
      </c>
      <c r="G2405" s="24" t="s">
        <v>2062</v>
      </c>
      <c r="H2405" s="24" t="s">
        <v>27</v>
      </c>
      <c r="I2405" s="24" t="s">
        <v>2008</v>
      </c>
      <c r="J2405" s="15" t="s">
        <v>28</v>
      </c>
      <c r="K2405" s="16" t="s">
        <v>57</v>
      </c>
      <c r="L2405" s="61"/>
      <c r="M2405" s="15"/>
      <c r="N2405" s="15" t="s">
        <v>130</v>
      </c>
      <c r="O2405" s="15"/>
      <c r="P2405" s="16" t="s">
        <v>172</v>
      </c>
      <c r="Q2405" s="17">
        <v>7699</v>
      </c>
      <c r="R2405" s="18">
        <v>45</v>
      </c>
      <c r="S2405" s="19">
        <v>4869.6174999999994</v>
      </c>
      <c r="T2405" s="20" t="s">
        <v>33</v>
      </c>
      <c r="U2405" s="21" t="s">
        <v>62</v>
      </c>
      <c r="V2405" s="22">
        <v>46</v>
      </c>
      <c r="W2405" s="22">
        <v>5</v>
      </c>
      <c r="X2405" s="23"/>
    </row>
    <row r="2406" spans="1:24" s="1" customFormat="1" ht="21" customHeight="1" x14ac:dyDescent="0.3">
      <c r="A2406" s="24" t="s">
        <v>23</v>
      </c>
      <c r="B2406" s="24" t="s">
        <v>2289</v>
      </c>
      <c r="C2406" s="31" t="s">
        <v>2290</v>
      </c>
      <c r="D2406" s="58"/>
      <c r="E2406" s="43" t="str">
        <f>HYPERLINK("https://www.google.ru/search?q=35883-0005&amp;newwindow=1&amp;tbm=isch","Еще фото")</f>
        <v>Еще фото</v>
      </c>
      <c r="F2406" s="14" t="s">
        <v>182</v>
      </c>
      <c r="G2406" s="24" t="s">
        <v>2062</v>
      </c>
      <c r="H2406" s="24" t="s">
        <v>27</v>
      </c>
      <c r="I2406" s="24" t="s">
        <v>2008</v>
      </c>
      <c r="J2406" s="15" t="s">
        <v>28</v>
      </c>
      <c r="K2406" s="16" t="s">
        <v>57</v>
      </c>
      <c r="L2406" s="61"/>
      <c r="M2406" s="15"/>
      <c r="N2406" s="15" t="s">
        <v>130</v>
      </c>
      <c r="O2406" s="15"/>
      <c r="P2406" s="16" t="s">
        <v>172</v>
      </c>
      <c r="Q2406" s="17">
        <v>7699</v>
      </c>
      <c r="R2406" s="18">
        <v>45</v>
      </c>
      <c r="S2406" s="19">
        <v>4869.6174999999994</v>
      </c>
      <c r="T2406" s="20" t="s">
        <v>33</v>
      </c>
      <c r="U2406" s="21" t="s">
        <v>64</v>
      </c>
      <c r="V2406" s="22">
        <v>48</v>
      </c>
      <c r="W2406" s="22">
        <v>6</v>
      </c>
      <c r="X2406" s="23"/>
    </row>
    <row r="2407" spans="1:24" s="1" customFormat="1" ht="21" customHeight="1" x14ac:dyDescent="0.3">
      <c r="A2407" s="24" t="s">
        <v>23</v>
      </c>
      <c r="B2407" s="24" t="s">
        <v>2289</v>
      </c>
      <c r="C2407" s="31" t="s">
        <v>2290</v>
      </c>
      <c r="D2407" s="58"/>
      <c r="E2407" s="43" t="str">
        <f>HYPERLINK("https://www.google.ru/search?q=35883-0005&amp;newwindow=1&amp;tbm=isch","Еще фото")</f>
        <v>Еще фото</v>
      </c>
      <c r="F2407" s="14" t="s">
        <v>182</v>
      </c>
      <c r="G2407" s="24" t="s">
        <v>2062</v>
      </c>
      <c r="H2407" s="24" t="s">
        <v>27</v>
      </c>
      <c r="I2407" s="24" t="s">
        <v>2008</v>
      </c>
      <c r="J2407" s="15" t="s">
        <v>28</v>
      </c>
      <c r="K2407" s="16" t="s">
        <v>57</v>
      </c>
      <c r="L2407" s="61"/>
      <c r="M2407" s="15"/>
      <c r="N2407" s="15" t="s">
        <v>130</v>
      </c>
      <c r="O2407" s="15"/>
      <c r="P2407" s="16" t="s">
        <v>172</v>
      </c>
      <c r="Q2407" s="17">
        <v>7699</v>
      </c>
      <c r="R2407" s="18">
        <v>45</v>
      </c>
      <c r="S2407" s="19">
        <v>4869.6174999999994</v>
      </c>
      <c r="T2407" s="20" t="s">
        <v>33</v>
      </c>
      <c r="U2407" s="21" t="s">
        <v>34</v>
      </c>
      <c r="V2407" s="25" t="s">
        <v>90</v>
      </c>
      <c r="W2407" s="22">
        <v>2</v>
      </c>
      <c r="X2407" s="23"/>
    </row>
    <row r="2408" spans="1:24" s="1" customFormat="1" ht="32" customHeight="1" x14ac:dyDescent="0.3">
      <c r="A2408" s="24" t="s">
        <v>23</v>
      </c>
      <c r="B2408" s="24" t="s">
        <v>2289</v>
      </c>
      <c r="C2408" s="31" t="s">
        <v>2290</v>
      </c>
      <c r="D2408" s="59"/>
      <c r="E2408" s="43" t="str">
        <f>HYPERLINK("https://www.google.ru/search?q=35883-0005&amp;newwindow=1&amp;tbm=isch","Еще фото")</f>
        <v>Еще фото</v>
      </c>
      <c r="F2408" s="14" t="s">
        <v>182</v>
      </c>
      <c r="G2408" s="24" t="s">
        <v>2062</v>
      </c>
      <c r="H2408" s="24" t="s">
        <v>27</v>
      </c>
      <c r="I2408" s="24" t="s">
        <v>2008</v>
      </c>
      <c r="J2408" s="15" t="s">
        <v>28</v>
      </c>
      <c r="K2408" s="16" t="s">
        <v>57</v>
      </c>
      <c r="L2408" s="62"/>
      <c r="M2408" s="15"/>
      <c r="N2408" s="15" t="s">
        <v>130</v>
      </c>
      <c r="O2408" s="15"/>
      <c r="P2408" s="16" t="s">
        <v>172</v>
      </c>
      <c r="Q2408" s="17">
        <v>7699</v>
      </c>
      <c r="R2408" s="18">
        <v>45</v>
      </c>
      <c r="S2408" s="19">
        <v>4869.6174999999994</v>
      </c>
      <c r="T2408" s="20" t="s">
        <v>33</v>
      </c>
      <c r="U2408" s="21" t="s">
        <v>1494</v>
      </c>
      <c r="V2408" s="22">
        <v>54</v>
      </c>
      <c r="W2408" s="22">
        <v>1</v>
      </c>
      <c r="X2408" s="23"/>
    </row>
    <row r="2409" spans="1:24" s="1" customFormat="1" ht="26" customHeight="1" x14ac:dyDescent="0.3">
      <c r="A2409" s="11" t="s">
        <v>23</v>
      </c>
      <c r="B2409" s="11" t="s">
        <v>2292</v>
      </c>
      <c r="C2409" s="12" t="s">
        <v>2293</v>
      </c>
      <c r="D2409" s="57"/>
      <c r="E2409" s="43" t="str">
        <f>HYPERLINK("https://www.google.ru/search?q=35883-0007&amp;newwindow=1&amp;tbm=isch","Еще фото")</f>
        <v>Еще фото</v>
      </c>
      <c r="F2409" s="14" t="s">
        <v>182</v>
      </c>
      <c r="G2409" s="11" t="s">
        <v>2062</v>
      </c>
      <c r="H2409" s="11" t="s">
        <v>27</v>
      </c>
      <c r="I2409" s="15" t="s">
        <v>2008</v>
      </c>
      <c r="J2409" s="15" t="s">
        <v>28</v>
      </c>
      <c r="K2409" s="16" t="s">
        <v>57</v>
      </c>
      <c r="L2409" s="60" t="s">
        <v>2294</v>
      </c>
      <c r="M2409" s="15"/>
      <c r="N2409" s="15" t="s">
        <v>39</v>
      </c>
      <c r="O2409" s="15"/>
      <c r="P2409" s="16" t="s">
        <v>172</v>
      </c>
      <c r="Q2409" s="17">
        <v>7699</v>
      </c>
      <c r="R2409" s="18">
        <v>45</v>
      </c>
      <c r="S2409" s="19">
        <v>4869.6174999999994</v>
      </c>
      <c r="T2409" s="20" t="s">
        <v>33</v>
      </c>
      <c r="U2409" s="21" t="s">
        <v>62</v>
      </c>
      <c r="V2409" s="22">
        <v>46</v>
      </c>
      <c r="W2409" s="22">
        <v>6</v>
      </c>
      <c r="X2409" s="23"/>
    </row>
    <row r="2410" spans="1:24" s="1" customFormat="1" ht="26" customHeight="1" x14ac:dyDescent="0.3">
      <c r="A2410" s="24" t="s">
        <v>23</v>
      </c>
      <c r="B2410" s="24" t="s">
        <v>2292</v>
      </c>
      <c r="C2410" s="12" t="s">
        <v>2293</v>
      </c>
      <c r="D2410" s="58"/>
      <c r="E2410" s="43" t="str">
        <f>HYPERLINK("https://www.google.ru/search?q=35883-0007&amp;newwindow=1&amp;tbm=isch","Еще фото")</f>
        <v>Еще фото</v>
      </c>
      <c r="F2410" s="14" t="s">
        <v>182</v>
      </c>
      <c r="G2410" s="24" t="s">
        <v>2062</v>
      </c>
      <c r="H2410" s="24" t="s">
        <v>27</v>
      </c>
      <c r="I2410" s="24" t="s">
        <v>2008</v>
      </c>
      <c r="J2410" s="15" t="s">
        <v>28</v>
      </c>
      <c r="K2410" s="16" t="s">
        <v>57</v>
      </c>
      <c r="L2410" s="61"/>
      <c r="M2410" s="15"/>
      <c r="N2410" s="15" t="s">
        <v>39</v>
      </c>
      <c r="O2410" s="15"/>
      <c r="P2410" s="16" t="s">
        <v>172</v>
      </c>
      <c r="Q2410" s="17">
        <v>7699</v>
      </c>
      <c r="R2410" s="18">
        <v>45</v>
      </c>
      <c r="S2410" s="19">
        <v>4869.6174999999994</v>
      </c>
      <c r="T2410" s="20" t="s">
        <v>33</v>
      </c>
      <c r="U2410" s="21" t="s">
        <v>64</v>
      </c>
      <c r="V2410" s="22">
        <v>48</v>
      </c>
      <c r="W2410" s="22">
        <v>11</v>
      </c>
      <c r="X2410" s="23"/>
    </row>
    <row r="2411" spans="1:24" s="1" customFormat="1" ht="26" customHeight="1" x14ac:dyDescent="0.3">
      <c r="A2411" s="24" t="s">
        <v>23</v>
      </c>
      <c r="B2411" s="24" t="s">
        <v>2292</v>
      </c>
      <c r="C2411" s="12" t="s">
        <v>2293</v>
      </c>
      <c r="D2411" s="58"/>
      <c r="E2411" s="43" t="str">
        <f>HYPERLINK("https://www.google.ru/search?q=35883-0007&amp;newwindow=1&amp;tbm=isch","Еще фото")</f>
        <v>Еще фото</v>
      </c>
      <c r="F2411" s="14" t="s">
        <v>182</v>
      </c>
      <c r="G2411" s="24" t="s">
        <v>2062</v>
      </c>
      <c r="H2411" s="24" t="s">
        <v>27</v>
      </c>
      <c r="I2411" s="24" t="s">
        <v>2008</v>
      </c>
      <c r="J2411" s="15" t="s">
        <v>28</v>
      </c>
      <c r="K2411" s="16" t="s">
        <v>57</v>
      </c>
      <c r="L2411" s="61"/>
      <c r="M2411" s="15"/>
      <c r="N2411" s="15" t="s">
        <v>39</v>
      </c>
      <c r="O2411" s="15"/>
      <c r="P2411" s="16" t="s">
        <v>172</v>
      </c>
      <c r="Q2411" s="17">
        <v>7699</v>
      </c>
      <c r="R2411" s="18">
        <v>45</v>
      </c>
      <c r="S2411" s="19">
        <v>4869.6174999999994</v>
      </c>
      <c r="T2411" s="20" t="s">
        <v>33</v>
      </c>
      <c r="U2411" s="21" t="s">
        <v>34</v>
      </c>
      <c r="V2411" s="25" t="s">
        <v>90</v>
      </c>
      <c r="W2411" s="22">
        <v>9</v>
      </c>
      <c r="X2411" s="23"/>
    </row>
    <row r="2412" spans="1:24" s="1" customFormat="1" ht="26" customHeight="1" x14ac:dyDescent="0.3">
      <c r="A2412" s="24" t="s">
        <v>23</v>
      </c>
      <c r="B2412" s="24" t="s">
        <v>2292</v>
      </c>
      <c r="C2412" s="12" t="s">
        <v>2293</v>
      </c>
      <c r="D2412" s="59"/>
      <c r="E2412" s="43" t="str">
        <f>HYPERLINK("https://www.google.ru/search?q=35883-0007&amp;newwindow=1&amp;tbm=isch","Еще фото")</f>
        <v>Еще фото</v>
      </c>
      <c r="F2412" s="14" t="s">
        <v>182</v>
      </c>
      <c r="G2412" s="24" t="s">
        <v>2062</v>
      </c>
      <c r="H2412" s="24" t="s">
        <v>27</v>
      </c>
      <c r="I2412" s="24" t="s">
        <v>2008</v>
      </c>
      <c r="J2412" s="15" t="s">
        <v>28</v>
      </c>
      <c r="K2412" s="16" t="s">
        <v>57</v>
      </c>
      <c r="L2412" s="62"/>
      <c r="M2412" s="15"/>
      <c r="N2412" s="15" t="s">
        <v>39</v>
      </c>
      <c r="O2412" s="15"/>
      <c r="P2412" s="16" t="s">
        <v>172</v>
      </c>
      <c r="Q2412" s="17">
        <v>7699</v>
      </c>
      <c r="R2412" s="18">
        <v>45</v>
      </c>
      <c r="S2412" s="19">
        <v>4869.6174999999994</v>
      </c>
      <c r="T2412" s="20" t="s">
        <v>33</v>
      </c>
      <c r="U2412" s="21" t="s">
        <v>150</v>
      </c>
      <c r="V2412" s="25" t="s">
        <v>761</v>
      </c>
      <c r="W2412" s="22">
        <v>1</v>
      </c>
      <c r="X2412" s="23"/>
    </row>
    <row r="2413" spans="1:24" s="1" customFormat="1" ht="35" customHeight="1" x14ac:dyDescent="0.3">
      <c r="A2413" s="11" t="s">
        <v>23</v>
      </c>
      <c r="B2413" s="11" t="s">
        <v>2295</v>
      </c>
      <c r="C2413" s="12" t="s">
        <v>2296</v>
      </c>
      <c r="D2413" s="57"/>
      <c r="E2413" s="43" t="str">
        <f>HYPERLINK("https://www.google.ru/search?q=35883-0326&amp;newwindow=1&amp;tbm=isch","Еще фото")</f>
        <v>Еще фото</v>
      </c>
      <c r="F2413" s="14"/>
      <c r="G2413" s="11" t="s">
        <v>2062</v>
      </c>
      <c r="H2413" s="11" t="s">
        <v>27</v>
      </c>
      <c r="I2413" s="15" t="s">
        <v>2008</v>
      </c>
      <c r="J2413" s="15" t="s">
        <v>37</v>
      </c>
      <c r="K2413" s="16" t="s">
        <v>57</v>
      </c>
      <c r="L2413" s="60" t="s">
        <v>2288</v>
      </c>
      <c r="M2413" s="15"/>
      <c r="N2413" s="15" t="s">
        <v>130</v>
      </c>
      <c r="O2413" s="15"/>
      <c r="P2413" s="16" t="s">
        <v>32</v>
      </c>
      <c r="Q2413" s="17">
        <v>5399</v>
      </c>
      <c r="R2413" s="18">
        <v>45</v>
      </c>
      <c r="S2413" s="19">
        <v>3414.8674999999994</v>
      </c>
      <c r="T2413" s="20" t="s">
        <v>33</v>
      </c>
      <c r="U2413" s="21" t="s">
        <v>61</v>
      </c>
      <c r="V2413" s="22">
        <v>44</v>
      </c>
      <c r="W2413" s="22">
        <v>3</v>
      </c>
      <c r="X2413" s="23"/>
    </row>
    <row r="2414" spans="1:24" s="1" customFormat="1" ht="35" customHeight="1" x14ac:dyDescent="0.3">
      <c r="A2414" s="24" t="s">
        <v>23</v>
      </c>
      <c r="B2414" s="24" t="s">
        <v>2295</v>
      </c>
      <c r="C2414" s="12" t="s">
        <v>2296</v>
      </c>
      <c r="D2414" s="58"/>
      <c r="E2414" s="43" t="str">
        <f>HYPERLINK("https://www.google.ru/search?q=35883-0326&amp;newwindow=1&amp;tbm=isch","Еще фото")</f>
        <v>Еще фото</v>
      </c>
      <c r="F2414" s="14"/>
      <c r="G2414" s="24" t="s">
        <v>2062</v>
      </c>
      <c r="H2414" s="24" t="s">
        <v>27</v>
      </c>
      <c r="I2414" s="24" t="s">
        <v>2008</v>
      </c>
      <c r="J2414" s="15" t="s">
        <v>37</v>
      </c>
      <c r="K2414" s="16" t="s">
        <v>57</v>
      </c>
      <c r="L2414" s="61"/>
      <c r="M2414" s="15"/>
      <c r="N2414" s="15" t="s">
        <v>130</v>
      </c>
      <c r="O2414" s="15"/>
      <c r="P2414" s="16" t="s">
        <v>32</v>
      </c>
      <c r="Q2414" s="17">
        <v>5399</v>
      </c>
      <c r="R2414" s="18">
        <v>45</v>
      </c>
      <c r="S2414" s="19">
        <v>3414.8674999999994</v>
      </c>
      <c r="T2414" s="20" t="s">
        <v>33</v>
      </c>
      <c r="U2414" s="21" t="s">
        <v>34</v>
      </c>
      <c r="V2414" s="25" t="s">
        <v>90</v>
      </c>
      <c r="W2414" s="22">
        <v>1</v>
      </c>
      <c r="X2414" s="23"/>
    </row>
    <row r="2415" spans="1:24" s="1" customFormat="1" ht="37.049999999999997" customHeight="1" x14ac:dyDescent="0.3">
      <c r="A2415" s="24" t="s">
        <v>23</v>
      </c>
      <c r="B2415" s="24" t="s">
        <v>2295</v>
      </c>
      <c r="C2415" s="12" t="s">
        <v>2296</v>
      </c>
      <c r="D2415" s="59"/>
      <c r="E2415" s="43" t="str">
        <f>HYPERLINK("https://www.google.ru/search?q=35883-0326&amp;newwindow=1&amp;tbm=isch","Еще фото")</f>
        <v>Еще фото</v>
      </c>
      <c r="F2415" s="14"/>
      <c r="G2415" s="24" t="s">
        <v>2062</v>
      </c>
      <c r="H2415" s="24" t="s">
        <v>27</v>
      </c>
      <c r="I2415" s="24" t="s">
        <v>2008</v>
      </c>
      <c r="J2415" s="15" t="s">
        <v>37</v>
      </c>
      <c r="K2415" s="16" t="s">
        <v>57</v>
      </c>
      <c r="L2415" s="62"/>
      <c r="M2415" s="15"/>
      <c r="N2415" s="15" t="s">
        <v>130</v>
      </c>
      <c r="O2415" s="15"/>
      <c r="P2415" s="16" t="s">
        <v>32</v>
      </c>
      <c r="Q2415" s="17">
        <v>5399</v>
      </c>
      <c r="R2415" s="18">
        <v>45</v>
      </c>
      <c r="S2415" s="19">
        <v>3414.8674999999994</v>
      </c>
      <c r="T2415" s="20" t="s">
        <v>33</v>
      </c>
      <c r="U2415" s="21" t="s">
        <v>150</v>
      </c>
      <c r="V2415" s="25" t="s">
        <v>761</v>
      </c>
      <c r="W2415" s="22">
        <v>1</v>
      </c>
      <c r="X2415" s="23"/>
    </row>
    <row r="2416" spans="1:24" s="1" customFormat="1" ht="52.05" customHeight="1" x14ac:dyDescent="0.3">
      <c r="A2416" s="11" t="s">
        <v>23</v>
      </c>
      <c r="B2416" s="11" t="s">
        <v>2297</v>
      </c>
      <c r="C2416" s="12" t="s">
        <v>2298</v>
      </c>
      <c r="D2416" s="63"/>
      <c r="E2416" s="43" t="str">
        <f>HYPERLINK("https://www.google.ru/search?q=35883-0347&amp;newwindow=1&amp;tbm=isch","Еще фото")</f>
        <v>Еще фото</v>
      </c>
      <c r="F2416" s="14"/>
      <c r="G2416" s="11" t="s">
        <v>2062</v>
      </c>
      <c r="H2416" s="11" t="s">
        <v>27</v>
      </c>
      <c r="I2416" s="15" t="s">
        <v>2008</v>
      </c>
      <c r="J2416" s="15" t="s">
        <v>37</v>
      </c>
      <c r="K2416" s="16" t="s">
        <v>57</v>
      </c>
      <c r="L2416" s="60"/>
      <c r="M2416" s="15"/>
      <c r="N2416" s="15" t="s">
        <v>87</v>
      </c>
      <c r="O2416" s="15"/>
      <c r="P2416" s="16" t="s">
        <v>32</v>
      </c>
      <c r="Q2416" s="17">
        <v>4799</v>
      </c>
      <c r="R2416" s="18">
        <v>45</v>
      </c>
      <c r="S2416" s="19">
        <v>3035.3674999999994</v>
      </c>
      <c r="T2416" s="20" t="s">
        <v>33</v>
      </c>
      <c r="U2416" s="21" t="s">
        <v>64</v>
      </c>
      <c r="V2416" s="22">
        <v>48</v>
      </c>
      <c r="W2416" s="22">
        <v>2</v>
      </c>
      <c r="X2416" s="23"/>
    </row>
    <row r="2417" spans="1:24" s="1" customFormat="1" ht="61.05" customHeight="1" x14ac:dyDescent="0.3">
      <c r="A2417" s="24" t="s">
        <v>23</v>
      </c>
      <c r="B2417" s="24" t="s">
        <v>2297</v>
      </c>
      <c r="C2417" s="12" t="s">
        <v>2298</v>
      </c>
      <c r="D2417" s="64"/>
      <c r="E2417" s="43" t="str">
        <f>HYPERLINK("https://www.google.ru/search?q=35883-0347&amp;newwindow=1&amp;tbm=isch","Еще фото")</f>
        <v>Еще фото</v>
      </c>
      <c r="F2417" s="14"/>
      <c r="G2417" s="24" t="s">
        <v>2062</v>
      </c>
      <c r="H2417" s="24" t="s">
        <v>27</v>
      </c>
      <c r="I2417" s="24" t="s">
        <v>2008</v>
      </c>
      <c r="J2417" s="15" t="s">
        <v>37</v>
      </c>
      <c r="K2417" s="16" t="s">
        <v>57</v>
      </c>
      <c r="L2417" s="62"/>
      <c r="M2417" s="15"/>
      <c r="N2417" s="15" t="s">
        <v>87</v>
      </c>
      <c r="O2417" s="15"/>
      <c r="P2417" s="16" t="s">
        <v>32</v>
      </c>
      <c r="Q2417" s="17">
        <v>4799</v>
      </c>
      <c r="R2417" s="18">
        <v>45</v>
      </c>
      <c r="S2417" s="19">
        <v>3035.3674999999994</v>
      </c>
      <c r="T2417" s="20" t="s">
        <v>33</v>
      </c>
      <c r="U2417" s="21" t="s">
        <v>34</v>
      </c>
      <c r="V2417" s="25" t="s">
        <v>90</v>
      </c>
      <c r="W2417" s="22">
        <v>2</v>
      </c>
      <c r="X2417" s="23"/>
    </row>
    <row r="2418" spans="1:24" s="1" customFormat="1" ht="108" customHeight="1" x14ac:dyDescent="0.3">
      <c r="A2418" s="11" t="s">
        <v>23</v>
      </c>
      <c r="B2418" s="11" t="s">
        <v>2299</v>
      </c>
      <c r="C2418" s="12" t="s">
        <v>2300</v>
      </c>
      <c r="D2418" s="13"/>
      <c r="E2418" s="43" t="str">
        <f>HYPERLINK("https://www.google.ru/search?q=35883-0370&amp;newwindow=1&amp;tbm=isch","Еще фото")</f>
        <v>Еще фото</v>
      </c>
      <c r="F2418" s="14"/>
      <c r="G2418" s="11" t="s">
        <v>2062</v>
      </c>
      <c r="H2418" s="11" t="s">
        <v>27</v>
      </c>
      <c r="I2418" s="15" t="s">
        <v>2008</v>
      </c>
      <c r="J2418" s="15" t="s">
        <v>37</v>
      </c>
      <c r="K2418" s="16" t="s">
        <v>57</v>
      </c>
      <c r="L2418" s="15" t="s">
        <v>2288</v>
      </c>
      <c r="M2418" s="15"/>
      <c r="N2418" s="15" t="s">
        <v>138</v>
      </c>
      <c r="O2418" s="15"/>
      <c r="P2418" s="16" t="s">
        <v>32</v>
      </c>
      <c r="Q2418" s="17">
        <v>5099</v>
      </c>
      <c r="R2418" s="18">
        <v>45</v>
      </c>
      <c r="S2418" s="19">
        <v>3225.1174999999994</v>
      </c>
      <c r="T2418" s="20" t="s">
        <v>33</v>
      </c>
      <c r="U2418" s="21" t="s">
        <v>34</v>
      </c>
      <c r="V2418" s="25" t="s">
        <v>90</v>
      </c>
      <c r="W2418" s="22">
        <v>1</v>
      </c>
      <c r="X2418" s="23"/>
    </row>
    <row r="2419" spans="1:24" s="1" customFormat="1" ht="52.05" customHeight="1" x14ac:dyDescent="0.3">
      <c r="A2419" s="11" t="s">
        <v>23</v>
      </c>
      <c r="B2419" s="11" t="s">
        <v>2301</v>
      </c>
      <c r="C2419" s="12" t="s">
        <v>2302</v>
      </c>
      <c r="D2419" s="63"/>
      <c r="E2419" s="43" t="str">
        <f>HYPERLINK("https://www.google.ru/search?q=35883-0371&amp;newwindow=1&amp;tbm=isch","Еще фото")</f>
        <v>Еще фото</v>
      </c>
      <c r="F2419" s="14"/>
      <c r="G2419" s="11" t="s">
        <v>2062</v>
      </c>
      <c r="H2419" s="11" t="s">
        <v>27</v>
      </c>
      <c r="I2419" s="15" t="s">
        <v>2008</v>
      </c>
      <c r="J2419" s="15" t="s">
        <v>37</v>
      </c>
      <c r="K2419" s="16" t="s">
        <v>57</v>
      </c>
      <c r="L2419" s="60" t="s">
        <v>2288</v>
      </c>
      <c r="M2419" s="15"/>
      <c r="N2419" s="15" t="s">
        <v>83</v>
      </c>
      <c r="O2419" s="15"/>
      <c r="P2419" s="16" t="s">
        <v>32</v>
      </c>
      <c r="Q2419" s="17">
        <v>7499</v>
      </c>
      <c r="R2419" s="18">
        <v>45</v>
      </c>
      <c r="S2419" s="19">
        <v>4743.1174999999994</v>
      </c>
      <c r="T2419" s="20" t="s">
        <v>33</v>
      </c>
      <c r="U2419" s="21" t="s">
        <v>34</v>
      </c>
      <c r="V2419" s="25" t="s">
        <v>90</v>
      </c>
      <c r="W2419" s="22">
        <v>2</v>
      </c>
      <c r="X2419" s="23"/>
    </row>
    <row r="2420" spans="1:24" s="1" customFormat="1" ht="61.05" customHeight="1" x14ac:dyDescent="0.3">
      <c r="A2420" s="24" t="s">
        <v>23</v>
      </c>
      <c r="B2420" s="24" t="s">
        <v>2301</v>
      </c>
      <c r="C2420" s="12" t="s">
        <v>2302</v>
      </c>
      <c r="D2420" s="64"/>
      <c r="E2420" s="43" t="str">
        <f>HYPERLINK("https://www.google.ru/search?q=35883-0371&amp;newwindow=1&amp;tbm=isch","Еще фото")</f>
        <v>Еще фото</v>
      </c>
      <c r="F2420" s="14"/>
      <c r="G2420" s="24" t="s">
        <v>2062</v>
      </c>
      <c r="H2420" s="24" t="s">
        <v>27</v>
      </c>
      <c r="I2420" s="24" t="s">
        <v>2008</v>
      </c>
      <c r="J2420" s="15" t="s">
        <v>37</v>
      </c>
      <c r="K2420" s="16" t="s">
        <v>57</v>
      </c>
      <c r="L2420" s="62"/>
      <c r="M2420" s="15"/>
      <c r="N2420" s="15" t="s">
        <v>83</v>
      </c>
      <c r="O2420" s="15"/>
      <c r="P2420" s="16" t="s">
        <v>32</v>
      </c>
      <c r="Q2420" s="17">
        <v>7499</v>
      </c>
      <c r="R2420" s="18">
        <v>45</v>
      </c>
      <c r="S2420" s="19">
        <v>4743.1174999999994</v>
      </c>
      <c r="T2420" s="20" t="s">
        <v>33</v>
      </c>
      <c r="U2420" s="21" t="s">
        <v>1494</v>
      </c>
      <c r="V2420" s="22">
        <v>54</v>
      </c>
      <c r="W2420" s="22">
        <v>1</v>
      </c>
      <c r="X2420" s="23"/>
    </row>
    <row r="2421" spans="1:24" s="1" customFormat="1" ht="52.05" customHeight="1" x14ac:dyDescent="0.3">
      <c r="A2421" s="11" t="s">
        <v>23</v>
      </c>
      <c r="B2421" s="11" t="s">
        <v>2303</v>
      </c>
      <c r="C2421" s="12" t="s">
        <v>2304</v>
      </c>
      <c r="D2421" s="63"/>
      <c r="E2421" s="43" t="str">
        <f>HYPERLINK("https://www.google.ru/search?q=39185-0006&amp;newwindow=1&amp;tbm=isch","Еще фото")</f>
        <v>Еще фото</v>
      </c>
      <c r="F2421" s="14" t="s">
        <v>182</v>
      </c>
      <c r="G2421" s="11" t="s">
        <v>1534</v>
      </c>
      <c r="H2421" s="11" t="s">
        <v>27</v>
      </c>
      <c r="I2421" s="15" t="s">
        <v>2008</v>
      </c>
      <c r="J2421" s="15" t="s">
        <v>28</v>
      </c>
      <c r="K2421" s="16" t="s">
        <v>29</v>
      </c>
      <c r="L2421" s="60" t="s">
        <v>2305</v>
      </c>
      <c r="M2421" s="15" t="s">
        <v>72</v>
      </c>
      <c r="N2421" s="15" t="s">
        <v>31</v>
      </c>
      <c r="O2421" s="15" t="s">
        <v>121</v>
      </c>
      <c r="P2421" s="16" t="s">
        <v>32</v>
      </c>
      <c r="Q2421" s="17">
        <v>2899</v>
      </c>
      <c r="R2421" s="18">
        <v>45</v>
      </c>
      <c r="S2421" s="19">
        <v>1833.6174999999998</v>
      </c>
      <c r="T2421" s="20" t="s">
        <v>33</v>
      </c>
      <c r="U2421" s="21" t="s">
        <v>64</v>
      </c>
      <c r="V2421" s="22">
        <v>46</v>
      </c>
      <c r="W2421" s="22">
        <v>2</v>
      </c>
      <c r="X2421" s="23"/>
    </row>
    <row r="2422" spans="1:24" s="1" customFormat="1" ht="61.05" customHeight="1" x14ac:dyDescent="0.3">
      <c r="A2422" s="24" t="s">
        <v>23</v>
      </c>
      <c r="B2422" s="24" t="s">
        <v>2303</v>
      </c>
      <c r="C2422" s="12" t="s">
        <v>2304</v>
      </c>
      <c r="D2422" s="64"/>
      <c r="E2422" s="43" t="str">
        <f>HYPERLINK("https://www.google.ru/search?q=39185-0006&amp;newwindow=1&amp;tbm=isch","Еще фото")</f>
        <v>Еще фото</v>
      </c>
      <c r="F2422" s="14" t="s">
        <v>182</v>
      </c>
      <c r="G2422" s="24" t="s">
        <v>1534</v>
      </c>
      <c r="H2422" s="24" t="s">
        <v>27</v>
      </c>
      <c r="I2422" s="24" t="s">
        <v>2008</v>
      </c>
      <c r="J2422" s="15" t="s">
        <v>28</v>
      </c>
      <c r="K2422" s="16" t="s">
        <v>29</v>
      </c>
      <c r="L2422" s="62"/>
      <c r="M2422" s="15" t="s">
        <v>72</v>
      </c>
      <c r="N2422" s="15" t="s">
        <v>31</v>
      </c>
      <c r="O2422" s="15" t="s">
        <v>121</v>
      </c>
      <c r="P2422" s="16" t="s">
        <v>32</v>
      </c>
      <c r="Q2422" s="17">
        <v>2899</v>
      </c>
      <c r="R2422" s="18">
        <v>45</v>
      </c>
      <c r="S2422" s="19">
        <v>1833.6174999999998</v>
      </c>
      <c r="T2422" s="20" t="s">
        <v>33</v>
      </c>
      <c r="U2422" s="21" t="s">
        <v>34</v>
      </c>
      <c r="V2422" s="22">
        <v>48</v>
      </c>
      <c r="W2422" s="22">
        <v>5</v>
      </c>
      <c r="X2422" s="23"/>
    </row>
    <row r="2423" spans="1:24" s="1" customFormat="1" ht="52.05" customHeight="1" x14ac:dyDescent="0.3">
      <c r="A2423" s="11" t="s">
        <v>23</v>
      </c>
      <c r="B2423" s="11" t="s">
        <v>2306</v>
      </c>
      <c r="C2423" s="12" t="s">
        <v>2307</v>
      </c>
      <c r="D2423" s="63"/>
      <c r="E2423" s="43" t="str">
        <f>HYPERLINK("https://www.google.ru/search?q=39185-0008&amp;newwindow=1&amp;tbm=isch","Еще фото")</f>
        <v>Еще фото</v>
      </c>
      <c r="F2423" s="14" t="s">
        <v>182</v>
      </c>
      <c r="G2423" s="11" t="s">
        <v>1534</v>
      </c>
      <c r="H2423" s="11" t="s">
        <v>27</v>
      </c>
      <c r="I2423" s="15" t="s">
        <v>2008</v>
      </c>
      <c r="J2423" s="15" t="s">
        <v>28</v>
      </c>
      <c r="K2423" s="16" t="s">
        <v>29</v>
      </c>
      <c r="L2423" s="60" t="s">
        <v>2308</v>
      </c>
      <c r="M2423" s="15" t="s">
        <v>72</v>
      </c>
      <c r="N2423" s="15" t="s">
        <v>39</v>
      </c>
      <c r="O2423" s="15" t="s">
        <v>121</v>
      </c>
      <c r="P2423" s="16" t="s">
        <v>32</v>
      </c>
      <c r="Q2423" s="17">
        <v>2899</v>
      </c>
      <c r="R2423" s="18">
        <v>45</v>
      </c>
      <c r="S2423" s="19">
        <v>1833.6174999999998</v>
      </c>
      <c r="T2423" s="20" t="s">
        <v>33</v>
      </c>
      <c r="U2423" s="21" t="s">
        <v>64</v>
      </c>
      <c r="V2423" s="22">
        <v>46</v>
      </c>
      <c r="W2423" s="22">
        <v>1</v>
      </c>
      <c r="X2423" s="23"/>
    </row>
    <row r="2424" spans="1:24" s="1" customFormat="1" ht="61.05" customHeight="1" x14ac:dyDescent="0.3">
      <c r="A2424" s="24" t="s">
        <v>23</v>
      </c>
      <c r="B2424" s="24" t="s">
        <v>2306</v>
      </c>
      <c r="C2424" s="12" t="s">
        <v>2307</v>
      </c>
      <c r="D2424" s="64"/>
      <c r="E2424" s="43" t="str">
        <f>HYPERLINK("https://www.google.ru/search?q=39185-0008&amp;newwindow=1&amp;tbm=isch","Еще фото")</f>
        <v>Еще фото</v>
      </c>
      <c r="F2424" s="14" t="s">
        <v>182</v>
      </c>
      <c r="G2424" s="24" t="s">
        <v>1534</v>
      </c>
      <c r="H2424" s="24" t="s">
        <v>27</v>
      </c>
      <c r="I2424" s="24" t="s">
        <v>2008</v>
      </c>
      <c r="J2424" s="15" t="s">
        <v>28</v>
      </c>
      <c r="K2424" s="16" t="s">
        <v>29</v>
      </c>
      <c r="L2424" s="62"/>
      <c r="M2424" s="15" t="s">
        <v>72</v>
      </c>
      <c r="N2424" s="15" t="s">
        <v>39</v>
      </c>
      <c r="O2424" s="15" t="s">
        <v>121</v>
      </c>
      <c r="P2424" s="16" t="s">
        <v>32</v>
      </c>
      <c r="Q2424" s="17">
        <v>2899</v>
      </c>
      <c r="R2424" s="18">
        <v>45</v>
      </c>
      <c r="S2424" s="19">
        <v>1833.6174999999998</v>
      </c>
      <c r="T2424" s="20" t="s">
        <v>33</v>
      </c>
      <c r="U2424" s="21" t="s">
        <v>34</v>
      </c>
      <c r="V2424" s="22">
        <v>48</v>
      </c>
      <c r="W2424" s="22">
        <v>2</v>
      </c>
      <c r="X2424" s="23"/>
    </row>
    <row r="2425" spans="1:24" s="1" customFormat="1" ht="108" customHeight="1" x14ac:dyDescent="0.3">
      <c r="A2425" s="11" t="s">
        <v>23</v>
      </c>
      <c r="B2425" s="11" t="s">
        <v>2309</v>
      </c>
      <c r="C2425" s="12" t="s">
        <v>2310</v>
      </c>
      <c r="D2425" s="13"/>
      <c r="E2425" s="43" t="str">
        <f>HYPERLINK("https://www.google.ru/search?q=39185-0087&amp;newwindow=1&amp;tbm=isch","Еще фото")</f>
        <v>Еще фото</v>
      </c>
      <c r="F2425" s="14"/>
      <c r="G2425" s="11" t="s">
        <v>1534</v>
      </c>
      <c r="H2425" s="11" t="s">
        <v>27</v>
      </c>
      <c r="I2425" s="15" t="s">
        <v>2008</v>
      </c>
      <c r="J2425" s="15" t="s">
        <v>28</v>
      </c>
      <c r="K2425" s="16" t="s">
        <v>29</v>
      </c>
      <c r="L2425" s="15" t="s">
        <v>2305</v>
      </c>
      <c r="M2425" s="15"/>
      <c r="N2425" s="15" t="s">
        <v>39</v>
      </c>
      <c r="O2425" s="15"/>
      <c r="P2425" s="16" t="s">
        <v>32</v>
      </c>
      <c r="Q2425" s="17">
        <v>2899</v>
      </c>
      <c r="R2425" s="18">
        <v>45</v>
      </c>
      <c r="S2425" s="19">
        <v>1833.6174999999998</v>
      </c>
      <c r="T2425" s="20" t="s">
        <v>33</v>
      </c>
      <c r="U2425" s="21" t="s">
        <v>62</v>
      </c>
      <c r="V2425" s="22">
        <v>44</v>
      </c>
      <c r="W2425" s="22">
        <v>1</v>
      </c>
      <c r="X2425" s="23"/>
    </row>
    <row r="2426" spans="1:24" s="1" customFormat="1" ht="26" customHeight="1" x14ac:dyDescent="0.3">
      <c r="A2426" s="11" t="s">
        <v>23</v>
      </c>
      <c r="B2426" s="11" t="s">
        <v>2311</v>
      </c>
      <c r="C2426" s="12" t="s">
        <v>2312</v>
      </c>
      <c r="D2426" s="57"/>
      <c r="E2426" s="43" t="str">
        <f>HYPERLINK("https://www.google.ru/search?q=39185-0323&amp;newwindow=1&amp;tbm=isch","Еще фото")</f>
        <v>Еще фото</v>
      </c>
      <c r="F2426" s="14"/>
      <c r="G2426" s="11" t="s">
        <v>1534</v>
      </c>
      <c r="H2426" s="11" t="s">
        <v>27</v>
      </c>
      <c r="I2426" s="15" t="s">
        <v>2008</v>
      </c>
      <c r="J2426" s="15" t="s">
        <v>28</v>
      </c>
      <c r="K2426" s="16" t="s">
        <v>29</v>
      </c>
      <c r="L2426" s="60"/>
      <c r="M2426" s="15"/>
      <c r="N2426" s="15" t="s">
        <v>59</v>
      </c>
      <c r="O2426" s="15"/>
      <c r="P2426" s="16" t="s">
        <v>32</v>
      </c>
      <c r="Q2426" s="17">
        <v>2899</v>
      </c>
      <c r="R2426" s="18">
        <v>45</v>
      </c>
      <c r="S2426" s="19">
        <v>1833.6174999999998</v>
      </c>
      <c r="T2426" s="20" t="s">
        <v>33</v>
      </c>
      <c r="U2426" s="21" t="s">
        <v>62</v>
      </c>
      <c r="V2426" s="22">
        <v>44</v>
      </c>
      <c r="W2426" s="22">
        <v>14</v>
      </c>
      <c r="X2426" s="23"/>
    </row>
    <row r="2427" spans="1:24" s="1" customFormat="1" ht="26" customHeight="1" x14ac:dyDescent="0.3">
      <c r="A2427" s="24" t="s">
        <v>23</v>
      </c>
      <c r="B2427" s="24" t="s">
        <v>2311</v>
      </c>
      <c r="C2427" s="12" t="s">
        <v>2312</v>
      </c>
      <c r="D2427" s="58"/>
      <c r="E2427" s="43" t="str">
        <f>HYPERLINK("https://www.google.ru/search?q=39185-0323&amp;newwindow=1&amp;tbm=isch","Еще фото")</f>
        <v>Еще фото</v>
      </c>
      <c r="F2427" s="14"/>
      <c r="G2427" s="24" t="s">
        <v>1534</v>
      </c>
      <c r="H2427" s="24" t="s">
        <v>27</v>
      </c>
      <c r="I2427" s="24" t="s">
        <v>2008</v>
      </c>
      <c r="J2427" s="15" t="s">
        <v>28</v>
      </c>
      <c r="K2427" s="16" t="s">
        <v>29</v>
      </c>
      <c r="L2427" s="61"/>
      <c r="M2427" s="15"/>
      <c r="N2427" s="15" t="s">
        <v>59</v>
      </c>
      <c r="O2427" s="15"/>
      <c r="P2427" s="16" t="s">
        <v>32</v>
      </c>
      <c r="Q2427" s="17">
        <v>2899</v>
      </c>
      <c r="R2427" s="18">
        <v>45</v>
      </c>
      <c r="S2427" s="19">
        <v>1833.6174999999998</v>
      </c>
      <c r="T2427" s="20" t="s">
        <v>33</v>
      </c>
      <c r="U2427" s="21" t="s">
        <v>64</v>
      </c>
      <c r="V2427" s="22">
        <v>46</v>
      </c>
      <c r="W2427" s="22">
        <v>20</v>
      </c>
      <c r="X2427" s="23"/>
    </row>
    <row r="2428" spans="1:24" s="1" customFormat="1" ht="26" customHeight="1" x14ac:dyDescent="0.3">
      <c r="A2428" s="24" t="s">
        <v>23</v>
      </c>
      <c r="B2428" s="24" t="s">
        <v>2311</v>
      </c>
      <c r="C2428" s="12" t="s">
        <v>2312</v>
      </c>
      <c r="D2428" s="58"/>
      <c r="E2428" s="43" t="str">
        <f>HYPERLINK("https://www.google.ru/search?q=39185-0323&amp;newwindow=1&amp;tbm=isch","Еще фото")</f>
        <v>Еще фото</v>
      </c>
      <c r="F2428" s="14"/>
      <c r="G2428" s="24" t="s">
        <v>1534</v>
      </c>
      <c r="H2428" s="24" t="s">
        <v>27</v>
      </c>
      <c r="I2428" s="24" t="s">
        <v>2008</v>
      </c>
      <c r="J2428" s="15" t="s">
        <v>28</v>
      </c>
      <c r="K2428" s="16" t="s">
        <v>29</v>
      </c>
      <c r="L2428" s="61"/>
      <c r="M2428" s="15"/>
      <c r="N2428" s="15" t="s">
        <v>59</v>
      </c>
      <c r="O2428" s="15"/>
      <c r="P2428" s="16" t="s">
        <v>32</v>
      </c>
      <c r="Q2428" s="17">
        <v>2899</v>
      </c>
      <c r="R2428" s="18">
        <v>45</v>
      </c>
      <c r="S2428" s="19">
        <v>1833.6174999999998</v>
      </c>
      <c r="T2428" s="20" t="s">
        <v>33</v>
      </c>
      <c r="U2428" s="21" t="s">
        <v>34</v>
      </c>
      <c r="V2428" s="22">
        <v>48</v>
      </c>
      <c r="W2428" s="22">
        <v>19</v>
      </c>
      <c r="X2428" s="23"/>
    </row>
    <row r="2429" spans="1:24" s="1" customFormat="1" ht="26" customHeight="1" x14ac:dyDescent="0.3">
      <c r="A2429" s="24" t="s">
        <v>23</v>
      </c>
      <c r="B2429" s="24" t="s">
        <v>2311</v>
      </c>
      <c r="C2429" s="12" t="s">
        <v>2312</v>
      </c>
      <c r="D2429" s="59"/>
      <c r="E2429" s="43" t="str">
        <f>HYPERLINK("https://www.google.ru/search?q=39185-0323&amp;newwindow=1&amp;tbm=isch","Еще фото")</f>
        <v>Еще фото</v>
      </c>
      <c r="F2429" s="14"/>
      <c r="G2429" s="24" t="s">
        <v>1534</v>
      </c>
      <c r="H2429" s="24" t="s">
        <v>27</v>
      </c>
      <c r="I2429" s="24" t="s">
        <v>2008</v>
      </c>
      <c r="J2429" s="15" t="s">
        <v>28</v>
      </c>
      <c r="K2429" s="16" t="s">
        <v>29</v>
      </c>
      <c r="L2429" s="62"/>
      <c r="M2429" s="15"/>
      <c r="N2429" s="15" t="s">
        <v>59</v>
      </c>
      <c r="O2429" s="15"/>
      <c r="P2429" s="16" t="s">
        <v>32</v>
      </c>
      <c r="Q2429" s="17">
        <v>2899</v>
      </c>
      <c r="R2429" s="18">
        <v>45</v>
      </c>
      <c r="S2429" s="19">
        <v>1833.6174999999998</v>
      </c>
      <c r="T2429" s="20" t="s">
        <v>33</v>
      </c>
      <c r="U2429" s="21" t="s">
        <v>150</v>
      </c>
      <c r="V2429" s="25" t="s">
        <v>90</v>
      </c>
      <c r="W2429" s="22">
        <v>11</v>
      </c>
      <c r="X2429" s="23"/>
    </row>
    <row r="2430" spans="1:24" s="1" customFormat="1" ht="108" customHeight="1" x14ac:dyDescent="0.3">
      <c r="A2430" s="11" t="s">
        <v>23</v>
      </c>
      <c r="B2430" s="11" t="s">
        <v>2313</v>
      </c>
      <c r="C2430" s="12" t="s">
        <v>2314</v>
      </c>
      <c r="D2430" s="13"/>
      <c r="E2430" s="43" t="str">
        <f>HYPERLINK("https://www.google.ru/search?q=39185-0416&amp;newwindow=1&amp;tbm=isch","Еще фото")</f>
        <v>Еще фото</v>
      </c>
      <c r="F2430" s="14"/>
      <c r="G2430" s="11" t="s">
        <v>1534</v>
      </c>
      <c r="H2430" s="11" t="s">
        <v>27</v>
      </c>
      <c r="I2430" s="15" t="s">
        <v>2008</v>
      </c>
      <c r="J2430" s="15" t="s">
        <v>37</v>
      </c>
      <c r="K2430" s="16" t="s">
        <v>29</v>
      </c>
      <c r="L2430" s="15" t="s">
        <v>2305</v>
      </c>
      <c r="M2430" s="15"/>
      <c r="N2430" s="15" t="s">
        <v>59</v>
      </c>
      <c r="O2430" s="15"/>
      <c r="P2430" s="16" t="s">
        <v>32</v>
      </c>
      <c r="Q2430" s="17">
        <v>2799</v>
      </c>
      <c r="R2430" s="18">
        <v>45</v>
      </c>
      <c r="S2430" s="19">
        <v>1770.3674999999998</v>
      </c>
      <c r="T2430" s="20" t="s">
        <v>33</v>
      </c>
      <c r="U2430" s="21" t="s">
        <v>34</v>
      </c>
      <c r="V2430" s="22">
        <v>48</v>
      </c>
      <c r="W2430" s="22">
        <v>2</v>
      </c>
      <c r="X2430" s="23"/>
    </row>
    <row r="2431" spans="1:24" s="1" customFormat="1" ht="52.05" customHeight="1" x14ac:dyDescent="0.3">
      <c r="A2431" s="11" t="s">
        <v>23</v>
      </c>
      <c r="B2431" s="11" t="s">
        <v>2315</v>
      </c>
      <c r="C2431" s="12" t="s">
        <v>2316</v>
      </c>
      <c r="D2431" s="63"/>
      <c r="E2431" s="43" t="str">
        <f>HYPERLINK("https://www.google.ru/search?q=39636-0003&amp;newwindow=1&amp;tbm=isch","Еще фото")</f>
        <v>Еще фото</v>
      </c>
      <c r="F2431" s="14" t="s">
        <v>182</v>
      </c>
      <c r="G2431" s="11" t="s">
        <v>1534</v>
      </c>
      <c r="H2431" s="11" t="s">
        <v>27</v>
      </c>
      <c r="I2431" s="15" t="s">
        <v>2008</v>
      </c>
      <c r="J2431" s="15" t="s">
        <v>28</v>
      </c>
      <c r="K2431" s="16" t="s">
        <v>57</v>
      </c>
      <c r="L2431" s="60" t="s">
        <v>2305</v>
      </c>
      <c r="M2431" s="15"/>
      <c r="N2431" s="15" t="s">
        <v>249</v>
      </c>
      <c r="O2431" s="15"/>
      <c r="P2431" s="16" t="s">
        <v>32</v>
      </c>
      <c r="Q2431" s="17">
        <v>5899</v>
      </c>
      <c r="R2431" s="18">
        <v>45</v>
      </c>
      <c r="S2431" s="19">
        <v>3731.1174999999994</v>
      </c>
      <c r="T2431" s="20" t="s">
        <v>75</v>
      </c>
      <c r="U2431" s="21" t="s">
        <v>62</v>
      </c>
      <c r="V2431" s="22">
        <v>46</v>
      </c>
      <c r="W2431" s="22">
        <v>1</v>
      </c>
      <c r="X2431" s="23"/>
    </row>
    <row r="2432" spans="1:24" s="1" customFormat="1" ht="61.05" customHeight="1" x14ac:dyDescent="0.3">
      <c r="A2432" s="24" t="s">
        <v>23</v>
      </c>
      <c r="B2432" s="24" t="s">
        <v>2315</v>
      </c>
      <c r="C2432" s="12" t="s">
        <v>2316</v>
      </c>
      <c r="D2432" s="64"/>
      <c r="E2432" s="43" t="str">
        <f>HYPERLINK("https://www.google.ru/search?q=39636-0003&amp;newwindow=1&amp;tbm=isch","Еще фото")</f>
        <v>Еще фото</v>
      </c>
      <c r="F2432" s="14" t="s">
        <v>182</v>
      </c>
      <c r="G2432" s="24" t="s">
        <v>1534</v>
      </c>
      <c r="H2432" s="24" t="s">
        <v>27</v>
      </c>
      <c r="I2432" s="24" t="s">
        <v>2008</v>
      </c>
      <c r="J2432" s="15" t="s">
        <v>28</v>
      </c>
      <c r="K2432" s="16" t="s">
        <v>57</v>
      </c>
      <c r="L2432" s="62"/>
      <c r="M2432" s="15"/>
      <c r="N2432" s="15" t="s">
        <v>249</v>
      </c>
      <c r="O2432" s="15"/>
      <c r="P2432" s="16" t="s">
        <v>32</v>
      </c>
      <c r="Q2432" s="17">
        <v>5899</v>
      </c>
      <c r="R2432" s="18">
        <v>45</v>
      </c>
      <c r="S2432" s="19">
        <v>3731.1174999999994</v>
      </c>
      <c r="T2432" s="20" t="s">
        <v>75</v>
      </c>
      <c r="U2432" s="21" t="s">
        <v>64</v>
      </c>
      <c r="V2432" s="22">
        <v>48</v>
      </c>
      <c r="W2432" s="22">
        <v>1</v>
      </c>
      <c r="X2432" s="23"/>
    </row>
    <row r="2433" spans="1:24" s="1" customFormat="1" ht="108" customHeight="1" x14ac:dyDescent="0.3">
      <c r="A2433" s="11" t="s">
        <v>23</v>
      </c>
      <c r="B2433" s="11" t="s">
        <v>2317</v>
      </c>
      <c r="C2433" s="12" t="s">
        <v>2318</v>
      </c>
      <c r="D2433" s="13"/>
      <c r="E2433" s="43" t="str">
        <f>HYPERLINK("https://www.google.ru/search?q=39636-0050&amp;newwindow=1&amp;tbm=isch","Еще фото")</f>
        <v>Еще фото</v>
      </c>
      <c r="F2433" s="14" t="s">
        <v>182</v>
      </c>
      <c r="G2433" s="11" t="s">
        <v>1534</v>
      </c>
      <c r="H2433" s="11" t="s">
        <v>27</v>
      </c>
      <c r="I2433" s="15" t="s">
        <v>2008</v>
      </c>
      <c r="J2433" s="15" t="s">
        <v>28</v>
      </c>
      <c r="K2433" s="16" t="s">
        <v>57</v>
      </c>
      <c r="L2433" s="15" t="s">
        <v>2319</v>
      </c>
      <c r="M2433" s="15"/>
      <c r="N2433" s="15" t="s">
        <v>39</v>
      </c>
      <c r="O2433" s="15"/>
      <c r="P2433" s="16" t="s">
        <v>32</v>
      </c>
      <c r="Q2433" s="17">
        <v>4399</v>
      </c>
      <c r="R2433" s="18">
        <v>45</v>
      </c>
      <c r="S2433" s="19">
        <v>2782.3674999999994</v>
      </c>
      <c r="T2433" s="20" t="s">
        <v>33</v>
      </c>
      <c r="U2433" s="21" t="s">
        <v>34</v>
      </c>
      <c r="V2433" s="25" t="s">
        <v>90</v>
      </c>
      <c r="W2433" s="22">
        <v>1</v>
      </c>
      <c r="X2433" s="23"/>
    </row>
    <row r="2434" spans="1:24" s="1" customFormat="1" ht="26" customHeight="1" x14ac:dyDescent="0.3">
      <c r="A2434" s="11" t="s">
        <v>23</v>
      </c>
      <c r="B2434" s="11" t="s">
        <v>2320</v>
      </c>
      <c r="C2434" s="12" t="s">
        <v>2321</v>
      </c>
      <c r="D2434" s="57"/>
      <c r="E2434" s="43" t="str">
        <f>HYPERLINK("https://www.google.ru/search?q=52599-0000&amp;newwindow=1&amp;tbm=isch","Еще фото")</f>
        <v>Еще фото</v>
      </c>
      <c r="F2434" s="14" t="s">
        <v>182</v>
      </c>
      <c r="G2434" s="11" t="s">
        <v>2062</v>
      </c>
      <c r="H2434" s="11" t="s">
        <v>27</v>
      </c>
      <c r="I2434" s="15" t="s">
        <v>2008</v>
      </c>
      <c r="J2434" s="15" t="s">
        <v>37</v>
      </c>
      <c r="K2434" s="16" t="s">
        <v>29</v>
      </c>
      <c r="L2434" s="60" t="s">
        <v>2322</v>
      </c>
      <c r="M2434" s="15"/>
      <c r="N2434" s="15" t="s">
        <v>31</v>
      </c>
      <c r="O2434" s="15"/>
      <c r="P2434" s="16" t="s">
        <v>1516</v>
      </c>
      <c r="Q2434" s="17">
        <v>5199</v>
      </c>
      <c r="R2434" s="18">
        <v>45</v>
      </c>
      <c r="S2434" s="19">
        <v>3288.3674999999994</v>
      </c>
      <c r="T2434" s="20" t="s">
        <v>33</v>
      </c>
      <c r="U2434" s="21" t="s">
        <v>61</v>
      </c>
      <c r="V2434" s="22">
        <v>42</v>
      </c>
      <c r="W2434" s="22">
        <v>1</v>
      </c>
      <c r="X2434" s="23"/>
    </row>
    <row r="2435" spans="1:24" s="1" customFormat="1" ht="26" customHeight="1" x14ac:dyDescent="0.3">
      <c r="A2435" s="24" t="s">
        <v>23</v>
      </c>
      <c r="B2435" s="24" t="s">
        <v>2320</v>
      </c>
      <c r="C2435" s="12" t="s">
        <v>2321</v>
      </c>
      <c r="D2435" s="58"/>
      <c r="E2435" s="43" t="str">
        <f>HYPERLINK("https://www.google.ru/search?q=52599-0000&amp;newwindow=1&amp;tbm=isch","Еще фото")</f>
        <v>Еще фото</v>
      </c>
      <c r="F2435" s="14" t="s">
        <v>182</v>
      </c>
      <c r="G2435" s="24" t="s">
        <v>2062</v>
      </c>
      <c r="H2435" s="24" t="s">
        <v>27</v>
      </c>
      <c r="I2435" s="24" t="s">
        <v>2008</v>
      </c>
      <c r="J2435" s="15" t="s">
        <v>37</v>
      </c>
      <c r="K2435" s="16" t="s">
        <v>29</v>
      </c>
      <c r="L2435" s="61"/>
      <c r="M2435" s="15"/>
      <c r="N2435" s="15" t="s">
        <v>31</v>
      </c>
      <c r="O2435" s="15"/>
      <c r="P2435" s="16" t="s">
        <v>1516</v>
      </c>
      <c r="Q2435" s="17">
        <v>5199</v>
      </c>
      <c r="R2435" s="18">
        <v>45</v>
      </c>
      <c r="S2435" s="19">
        <v>3288.3674999999994</v>
      </c>
      <c r="T2435" s="20" t="s">
        <v>33</v>
      </c>
      <c r="U2435" s="21" t="s">
        <v>62</v>
      </c>
      <c r="V2435" s="22">
        <v>44</v>
      </c>
      <c r="W2435" s="22">
        <v>3</v>
      </c>
      <c r="X2435" s="23"/>
    </row>
    <row r="2436" spans="1:24" s="1" customFormat="1" ht="26" customHeight="1" x14ac:dyDescent="0.3">
      <c r="A2436" s="24" t="s">
        <v>23</v>
      </c>
      <c r="B2436" s="24" t="s">
        <v>2320</v>
      </c>
      <c r="C2436" s="12" t="s">
        <v>2321</v>
      </c>
      <c r="D2436" s="58"/>
      <c r="E2436" s="43" t="str">
        <f>HYPERLINK("https://www.google.ru/search?q=52599-0000&amp;newwindow=1&amp;tbm=isch","Еще фото")</f>
        <v>Еще фото</v>
      </c>
      <c r="F2436" s="14" t="s">
        <v>182</v>
      </c>
      <c r="G2436" s="24" t="s">
        <v>2062</v>
      </c>
      <c r="H2436" s="24" t="s">
        <v>27</v>
      </c>
      <c r="I2436" s="24" t="s">
        <v>2008</v>
      </c>
      <c r="J2436" s="15" t="s">
        <v>37</v>
      </c>
      <c r="K2436" s="16" t="s">
        <v>29</v>
      </c>
      <c r="L2436" s="61"/>
      <c r="M2436" s="15"/>
      <c r="N2436" s="15" t="s">
        <v>31</v>
      </c>
      <c r="O2436" s="15"/>
      <c r="P2436" s="16" t="s">
        <v>1516</v>
      </c>
      <c r="Q2436" s="17">
        <v>5199</v>
      </c>
      <c r="R2436" s="18">
        <v>45</v>
      </c>
      <c r="S2436" s="19">
        <v>3288.3674999999994</v>
      </c>
      <c r="T2436" s="20" t="s">
        <v>33</v>
      </c>
      <c r="U2436" s="21" t="s">
        <v>64</v>
      </c>
      <c r="V2436" s="22">
        <v>46</v>
      </c>
      <c r="W2436" s="22">
        <v>1</v>
      </c>
      <c r="X2436" s="23"/>
    </row>
    <row r="2437" spans="1:24" s="1" customFormat="1" ht="26" customHeight="1" x14ac:dyDescent="0.3">
      <c r="A2437" s="24" t="s">
        <v>23</v>
      </c>
      <c r="B2437" s="24" t="s">
        <v>2320</v>
      </c>
      <c r="C2437" s="12" t="s">
        <v>2321</v>
      </c>
      <c r="D2437" s="59"/>
      <c r="E2437" s="43" t="str">
        <f>HYPERLINK("https://www.google.ru/search?q=52599-0000&amp;newwindow=1&amp;tbm=isch","Еще фото")</f>
        <v>Еще фото</v>
      </c>
      <c r="F2437" s="14" t="s">
        <v>182</v>
      </c>
      <c r="G2437" s="24" t="s">
        <v>2062</v>
      </c>
      <c r="H2437" s="24" t="s">
        <v>27</v>
      </c>
      <c r="I2437" s="24" t="s">
        <v>2008</v>
      </c>
      <c r="J2437" s="15" t="s">
        <v>37</v>
      </c>
      <c r="K2437" s="16" t="s">
        <v>29</v>
      </c>
      <c r="L2437" s="62"/>
      <c r="M2437" s="15"/>
      <c r="N2437" s="15" t="s">
        <v>31</v>
      </c>
      <c r="O2437" s="15"/>
      <c r="P2437" s="16" t="s">
        <v>1516</v>
      </c>
      <c r="Q2437" s="17">
        <v>5199</v>
      </c>
      <c r="R2437" s="18">
        <v>45</v>
      </c>
      <c r="S2437" s="19">
        <v>3288.3674999999994</v>
      </c>
      <c r="T2437" s="20" t="s">
        <v>33</v>
      </c>
      <c r="U2437" s="21" t="s">
        <v>34</v>
      </c>
      <c r="V2437" s="22">
        <v>48</v>
      </c>
      <c r="W2437" s="22">
        <v>2</v>
      </c>
      <c r="X2437" s="23"/>
    </row>
    <row r="2438" spans="1:24" s="1" customFormat="1" ht="26" customHeight="1" x14ac:dyDescent="0.3">
      <c r="A2438" s="11" t="s">
        <v>23</v>
      </c>
      <c r="B2438" s="11" t="s">
        <v>2323</v>
      </c>
      <c r="C2438" s="12" t="s">
        <v>2324</v>
      </c>
      <c r="D2438" s="57"/>
      <c r="E2438" s="43" t="str">
        <f>HYPERLINK("https://www.google.ru/search?q=52599-0083&amp;newwindow=1&amp;tbm=isch","Еще фото")</f>
        <v>Еще фото</v>
      </c>
      <c r="F2438" s="14"/>
      <c r="G2438" s="11" t="s">
        <v>2062</v>
      </c>
      <c r="H2438" s="11" t="s">
        <v>27</v>
      </c>
      <c r="I2438" s="15" t="s">
        <v>2008</v>
      </c>
      <c r="J2438" s="15" t="s">
        <v>37</v>
      </c>
      <c r="K2438" s="16" t="s">
        <v>29</v>
      </c>
      <c r="L2438" s="60"/>
      <c r="M2438" s="15"/>
      <c r="N2438" s="15" t="s">
        <v>59</v>
      </c>
      <c r="O2438" s="15"/>
      <c r="P2438" s="16" t="s">
        <v>2325</v>
      </c>
      <c r="Q2438" s="17">
        <v>3899</v>
      </c>
      <c r="R2438" s="18">
        <v>45</v>
      </c>
      <c r="S2438" s="19">
        <v>2466.1174999999994</v>
      </c>
      <c r="T2438" s="20" t="s">
        <v>33</v>
      </c>
      <c r="U2438" s="21" t="s">
        <v>61</v>
      </c>
      <c r="V2438" s="22">
        <v>42</v>
      </c>
      <c r="W2438" s="22">
        <v>6</v>
      </c>
      <c r="X2438" s="23"/>
    </row>
    <row r="2439" spans="1:24" s="1" customFormat="1" ht="26" customHeight="1" x14ac:dyDescent="0.3">
      <c r="A2439" s="24" t="s">
        <v>23</v>
      </c>
      <c r="B2439" s="24" t="s">
        <v>2323</v>
      </c>
      <c r="C2439" s="12" t="s">
        <v>2324</v>
      </c>
      <c r="D2439" s="58"/>
      <c r="E2439" s="43" t="str">
        <f>HYPERLINK("https://www.google.ru/search?q=52599-0083&amp;newwindow=1&amp;tbm=isch","Еще фото")</f>
        <v>Еще фото</v>
      </c>
      <c r="F2439" s="14"/>
      <c r="G2439" s="24" t="s">
        <v>2062</v>
      </c>
      <c r="H2439" s="24" t="s">
        <v>27</v>
      </c>
      <c r="I2439" s="24" t="s">
        <v>2008</v>
      </c>
      <c r="J2439" s="15" t="s">
        <v>37</v>
      </c>
      <c r="K2439" s="16" t="s">
        <v>29</v>
      </c>
      <c r="L2439" s="61"/>
      <c r="M2439" s="15"/>
      <c r="N2439" s="15" t="s">
        <v>59</v>
      </c>
      <c r="O2439" s="15"/>
      <c r="P2439" s="16" t="s">
        <v>2325</v>
      </c>
      <c r="Q2439" s="17">
        <v>3899</v>
      </c>
      <c r="R2439" s="18">
        <v>45</v>
      </c>
      <c r="S2439" s="19">
        <v>2466.1174999999994</v>
      </c>
      <c r="T2439" s="20" t="s">
        <v>33</v>
      </c>
      <c r="U2439" s="21" t="s">
        <v>62</v>
      </c>
      <c r="V2439" s="22">
        <v>44</v>
      </c>
      <c r="W2439" s="22">
        <v>12</v>
      </c>
      <c r="X2439" s="23"/>
    </row>
    <row r="2440" spans="1:24" s="1" customFormat="1" ht="26" customHeight="1" x14ac:dyDescent="0.3">
      <c r="A2440" s="24" t="s">
        <v>23</v>
      </c>
      <c r="B2440" s="24" t="s">
        <v>2323</v>
      </c>
      <c r="C2440" s="12" t="s">
        <v>2324</v>
      </c>
      <c r="D2440" s="58"/>
      <c r="E2440" s="43" t="str">
        <f>HYPERLINK("https://www.google.ru/search?q=52599-0083&amp;newwindow=1&amp;tbm=isch","Еще фото")</f>
        <v>Еще фото</v>
      </c>
      <c r="F2440" s="14"/>
      <c r="G2440" s="24" t="s">
        <v>2062</v>
      </c>
      <c r="H2440" s="24" t="s">
        <v>27</v>
      </c>
      <c r="I2440" s="24" t="s">
        <v>2008</v>
      </c>
      <c r="J2440" s="15" t="s">
        <v>37</v>
      </c>
      <c r="K2440" s="16" t="s">
        <v>29</v>
      </c>
      <c r="L2440" s="61"/>
      <c r="M2440" s="15"/>
      <c r="N2440" s="15" t="s">
        <v>59</v>
      </c>
      <c r="O2440" s="15"/>
      <c r="P2440" s="16" t="s">
        <v>2325</v>
      </c>
      <c r="Q2440" s="17">
        <v>3899</v>
      </c>
      <c r="R2440" s="18">
        <v>45</v>
      </c>
      <c r="S2440" s="19">
        <v>2466.1174999999994</v>
      </c>
      <c r="T2440" s="20" t="s">
        <v>33</v>
      </c>
      <c r="U2440" s="21" t="s">
        <v>64</v>
      </c>
      <c r="V2440" s="22">
        <v>46</v>
      </c>
      <c r="W2440" s="22">
        <v>20</v>
      </c>
      <c r="X2440" s="23"/>
    </row>
    <row r="2441" spans="1:24" s="1" customFormat="1" ht="26" customHeight="1" x14ac:dyDescent="0.3">
      <c r="A2441" s="24" t="s">
        <v>23</v>
      </c>
      <c r="B2441" s="24" t="s">
        <v>2323</v>
      </c>
      <c r="C2441" s="12" t="s">
        <v>2324</v>
      </c>
      <c r="D2441" s="59"/>
      <c r="E2441" s="43" t="str">
        <f>HYPERLINK("https://www.google.ru/search?q=52599-0083&amp;newwindow=1&amp;tbm=isch","Еще фото")</f>
        <v>Еще фото</v>
      </c>
      <c r="F2441" s="14"/>
      <c r="G2441" s="24" t="s">
        <v>2062</v>
      </c>
      <c r="H2441" s="24" t="s">
        <v>27</v>
      </c>
      <c r="I2441" s="24" t="s">
        <v>2008</v>
      </c>
      <c r="J2441" s="15" t="s">
        <v>37</v>
      </c>
      <c r="K2441" s="16" t="s">
        <v>29</v>
      </c>
      <c r="L2441" s="62"/>
      <c r="M2441" s="15"/>
      <c r="N2441" s="15" t="s">
        <v>59</v>
      </c>
      <c r="O2441" s="15"/>
      <c r="P2441" s="16" t="s">
        <v>2325</v>
      </c>
      <c r="Q2441" s="17">
        <v>3899</v>
      </c>
      <c r="R2441" s="18">
        <v>45</v>
      </c>
      <c r="S2441" s="19">
        <v>2466.1174999999994</v>
      </c>
      <c r="T2441" s="20" t="s">
        <v>33</v>
      </c>
      <c r="U2441" s="21" t="s">
        <v>34</v>
      </c>
      <c r="V2441" s="22">
        <v>48</v>
      </c>
      <c r="W2441" s="22">
        <v>15</v>
      </c>
      <c r="X2441" s="23"/>
    </row>
    <row r="2442" spans="1:24" s="1" customFormat="1" ht="108" customHeight="1" x14ac:dyDescent="0.3">
      <c r="A2442" s="11" t="s">
        <v>23</v>
      </c>
      <c r="B2442" s="11" t="s">
        <v>2326</v>
      </c>
      <c r="C2442" s="12" t="s">
        <v>2327</v>
      </c>
      <c r="D2442" s="13"/>
      <c r="E2442" s="43" t="str">
        <f>HYPERLINK("https://www.google.ru/search?q=52599-0091&amp;newwindow=1&amp;tbm=isch","Еще фото")</f>
        <v>Еще фото</v>
      </c>
      <c r="F2442" s="14"/>
      <c r="G2442" s="11" t="s">
        <v>2062</v>
      </c>
      <c r="H2442" s="11" t="s">
        <v>27</v>
      </c>
      <c r="I2442" s="15" t="s">
        <v>2008</v>
      </c>
      <c r="J2442" s="15" t="s">
        <v>37</v>
      </c>
      <c r="K2442" s="16" t="s">
        <v>29</v>
      </c>
      <c r="L2442" s="15"/>
      <c r="M2442" s="15"/>
      <c r="N2442" s="15" t="s">
        <v>1636</v>
      </c>
      <c r="O2442" s="15"/>
      <c r="P2442" s="16" t="s">
        <v>1516</v>
      </c>
      <c r="Q2442" s="17">
        <v>4099</v>
      </c>
      <c r="R2442" s="18">
        <v>45</v>
      </c>
      <c r="S2442" s="19">
        <v>2592.6174999999994</v>
      </c>
      <c r="T2442" s="20" t="s">
        <v>33</v>
      </c>
      <c r="U2442" s="21" t="s">
        <v>62</v>
      </c>
      <c r="V2442" s="22">
        <v>44</v>
      </c>
      <c r="W2442" s="22">
        <v>1</v>
      </c>
      <c r="X2442" s="23"/>
    </row>
    <row r="2443" spans="1:24" s="1" customFormat="1" ht="108" customHeight="1" x14ac:dyDescent="0.3">
      <c r="A2443" s="11" t="s">
        <v>23</v>
      </c>
      <c r="B2443" s="11" t="s">
        <v>2328</v>
      </c>
      <c r="C2443" s="12" t="s">
        <v>2329</v>
      </c>
      <c r="D2443" s="13"/>
      <c r="E2443" s="43" t="str">
        <f>HYPERLINK("https://www.google.ru/search?q=56605-0000&amp;newwindow=1&amp;tbm=isch","Еще фото")</f>
        <v>Еще фото</v>
      </c>
      <c r="F2443" s="14" t="s">
        <v>182</v>
      </c>
      <c r="G2443" s="11" t="s">
        <v>1534</v>
      </c>
      <c r="H2443" s="11" t="s">
        <v>27</v>
      </c>
      <c r="I2443" s="15" t="s">
        <v>2008</v>
      </c>
      <c r="J2443" s="15" t="s">
        <v>28</v>
      </c>
      <c r="K2443" s="16" t="s">
        <v>57</v>
      </c>
      <c r="L2443" s="15" t="s">
        <v>2305</v>
      </c>
      <c r="M2443" s="15" t="s">
        <v>72</v>
      </c>
      <c r="N2443" s="15" t="s">
        <v>31</v>
      </c>
      <c r="O2443" s="15" t="s">
        <v>121</v>
      </c>
      <c r="P2443" s="16" t="s">
        <v>32</v>
      </c>
      <c r="Q2443" s="17">
        <v>3699</v>
      </c>
      <c r="R2443" s="18">
        <v>45</v>
      </c>
      <c r="S2443" s="19">
        <v>2339.6174999999998</v>
      </c>
      <c r="T2443" s="20" t="s">
        <v>75</v>
      </c>
      <c r="U2443" s="21" t="s">
        <v>62</v>
      </c>
      <c r="V2443" s="22">
        <v>46</v>
      </c>
      <c r="W2443" s="22">
        <v>1</v>
      </c>
      <c r="X2443" s="23"/>
    </row>
    <row r="2444" spans="1:24" s="1" customFormat="1" ht="108" customHeight="1" x14ac:dyDescent="0.3">
      <c r="A2444" s="11" t="s">
        <v>23</v>
      </c>
      <c r="B2444" s="11" t="s">
        <v>2330</v>
      </c>
      <c r="C2444" s="12" t="s">
        <v>2331</v>
      </c>
      <c r="D2444" s="13"/>
      <c r="E2444" s="43" t="str">
        <f>HYPERLINK("https://www.google.ru/search?q=56605-0017&amp;newwindow=1&amp;tbm=isch","Еще фото")</f>
        <v>Еще фото</v>
      </c>
      <c r="F2444" s="14" t="s">
        <v>182</v>
      </c>
      <c r="G2444" s="11" t="s">
        <v>1534</v>
      </c>
      <c r="H2444" s="11" t="s">
        <v>27</v>
      </c>
      <c r="I2444" s="15" t="s">
        <v>2008</v>
      </c>
      <c r="J2444" s="15" t="s">
        <v>28</v>
      </c>
      <c r="K2444" s="16" t="s">
        <v>57</v>
      </c>
      <c r="L2444" s="15" t="s">
        <v>2305</v>
      </c>
      <c r="M2444" s="15" t="s">
        <v>72</v>
      </c>
      <c r="N2444" s="15" t="s">
        <v>130</v>
      </c>
      <c r="O2444" s="15" t="s">
        <v>121</v>
      </c>
      <c r="P2444" s="16" t="s">
        <v>32</v>
      </c>
      <c r="Q2444" s="17">
        <v>3899</v>
      </c>
      <c r="R2444" s="18">
        <v>45</v>
      </c>
      <c r="S2444" s="19">
        <v>2466.1174999999994</v>
      </c>
      <c r="T2444" s="20" t="s">
        <v>33</v>
      </c>
      <c r="U2444" s="21" t="s">
        <v>64</v>
      </c>
      <c r="V2444" s="22">
        <v>48</v>
      </c>
      <c r="W2444" s="22">
        <v>1</v>
      </c>
      <c r="X2444" s="23"/>
    </row>
    <row r="2445" spans="1:24" s="1" customFormat="1" ht="108" customHeight="1" x14ac:dyDescent="0.3">
      <c r="A2445" s="11" t="s">
        <v>23</v>
      </c>
      <c r="B2445" s="11" t="s">
        <v>2332</v>
      </c>
      <c r="C2445" s="12" t="s">
        <v>2333</v>
      </c>
      <c r="D2445" s="13"/>
      <c r="E2445" s="43" t="str">
        <f>HYPERLINK("https://www.google.ru/search?q=56605-0021&amp;newwindow=1&amp;tbm=isch","Еще фото")</f>
        <v>Еще фото</v>
      </c>
      <c r="F2445" s="14" t="s">
        <v>182</v>
      </c>
      <c r="G2445" s="11" t="s">
        <v>1534</v>
      </c>
      <c r="H2445" s="11" t="s">
        <v>27</v>
      </c>
      <c r="I2445" s="15" t="s">
        <v>2008</v>
      </c>
      <c r="J2445" s="15" t="s">
        <v>28</v>
      </c>
      <c r="K2445" s="16" t="s">
        <v>57</v>
      </c>
      <c r="L2445" s="15" t="s">
        <v>2021</v>
      </c>
      <c r="M2445" s="15"/>
      <c r="N2445" s="15" t="s">
        <v>83</v>
      </c>
      <c r="O2445" s="15"/>
      <c r="P2445" s="16" t="s">
        <v>32</v>
      </c>
      <c r="Q2445" s="17">
        <v>3599</v>
      </c>
      <c r="R2445" s="18">
        <v>45</v>
      </c>
      <c r="S2445" s="19">
        <v>2276.3674999999998</v>
      </c>
      <c r="T2445" s="20" t="s">
        <v>33</v>
      </c>
      <c r="U2445" s="21" t="s">
        <v>64</v>
      </c>
      <c r="V2445" s="22">
        <v>48</v>
      </c>
      <c r="W2445" s="22">
        <v>1</v>
      </c>
      <c r="X2445" s="23"/>
    </row>
    <row r="2446" spans="1:24" s="1" customFormat="1" ht="52.05" customHeight="1" x14ac:dyDescent="0.3">
      <c r="A2446" s="11" t="s">
        <v>23</v>
      </c>
      <c r="B2446" s="11" t="s">
        <v>2334</v>
      </c>
      <c r="C2446" s="12" t="s">
        <v>2335</v>
      </c>
      <c r="D2446" s="63"/>
      <c r="E2446" s="43" t="str">
        <f>HYPERLINK("https://www.google.ru/search?q=56605-0176&amp;newwindow=1&amp;tbm=isch","Еще фото")</f>
        <v>Еще фото</v>
      </c>
      <c r="F2446" s="14"/>
      <c r="G2446" s="11" t="s">
        <v>1534</v>
      </c>
      <c r="H2446" s="11" t="s">
        <v>27</v>
      </c>
      <c r="I2446" s="15" t="s">
        <v>2008</v>
      </c>
      <c r="J2446" s="15" t="s">
        <v>37</v>
      </c>
      <c r="K2446" s="16" t="s">
        <v>57</v>
      </c>
      <c r="L2446" s="60" t="s">
        <v>2336</v>
      </c>
      <c r="M2446" s="15"/>
      <c r="N2446" s="15" t="s">
        <v>59</v>
      </c>
      <c r="O2446" s="15"/>
      <c r="P2446" s="16" t="s">
        <v>2337</v>
      </c>
      <c r="Q2446" s="17">
        <v>4599</v>
      </c>
      <c r="R2446" s="18">
        <v>45</v>
      </c>
      <c r="S2446" s="19">
        <v>2908.8674999999994</v>
      </c>
      <c r="T2446" s="20" t="s">
        <v>33</v>
      </c>
      <c r="U2446" s="21" t="s">
        <v>62</v>
      </c>
      <c r="V2446" s="22">
        <v>46</v>
      </c>
      <c r="W2446" s="22">
        <v>14</v>
      </c>
      <c r="X2446" s="23"/>
    </row>
    <row r="2447" spans="1:24" s="1" customFormat="1" ht="61.05" customHeight="1" x14ac:dyDescent="0.3">
      <c r="A2447" s="24" t="s">
        <v>23</v>
      </c>
      <c r="B2447" s="24" t="s">
        <v>2334</v>
      </c>
      <c r="C2447" s="12" t="s">
        <v>2335</v>
      </c>
      <c r="D2447" s="64"/>
      <c r="E2447" s="43" t="str">
        <f>HYPERLINK("https://www.google.ru/search?q=56605-0176&amp;newwindow=1&amp;tbm=isch","Еще фото")</f>
        <v>Еще фото</v>
      </c>
      <c r="F2447" s="14"/>
      <c r="G2447" s="24" t="s">
        <v>1534</v>
      </c>
      <c r="H2447" s="24" t="s">
        <v>27</v>
      </c>
      <c r="I2447" s="24" t="s">
        <v>2008</v>
      </c>
      <c r="J2447" s="15" t="s">
        <v>37</v>
      </c>
      <c r="K2447" s="16" t="s">
        <v>57</v>
      </c>
      <c r="L2447" s="62"/>
      <c r="M2447" s="15"/>
      <c r="N2447" s="15" t="s">
        <v>59</v>
      </c>
      <c r="O2447" s="15"/>
      <c r="P2447" s="16" t="s">
        <v>2337</v>
      </c>
      <c r="Q2447" s="17">
        <v>4599</v>
      </c>
      <c r="R2447" s="18">
        <v>45</v>
      </c>
      <c r="S2447" s="19">
        <v>2908.8674999999994</v>
      </c>
      <c r="T2447" s="20" t="s">
        <v>33</v>
      </c>
      <c r="U2447" s="21" t="s">
        <v>64</v>
      </c>
      <c r="V2447" s="22">
        <v>48</v>
      </c>
      <c r="W2447" s="22">
        <v>29</v>
      </c>
      <c r="X2447" s="23"/>
    </row>
    <row r="2448" spans="1:24" s="1" customFormat="1" ht="108" customHeight="1" x14ac:dyDescent="0.3">
      <c r="A2448" s="11" t="s">
        <v>23</v>
      </c>
      <c r="B2448" s="11" t="s">
        <v>2338</v>
      </c>
      <c r="C2448" s="12" t="s">
        <v>2339</v>
      </c>
      <c r="D2448" s="13"/>
      <c r="E2448" s="43" t="str">
        <f>HYPERLINK("https://www.google.ru/search?q=56809-0193&amp;newwindow=1&amp;tbm=isch","Еще фото")</f>
        <v>Еще фото</v>
      </c>
      <c r="F2448" s="14"/>
      <c r="G2448" s="11" t="s">
        <v>1534</v>
      </c>
      <c r="H2448" s="11" t="s">
        <v>27</v>
      </c>
      <c r="I2448" s="15" t="s">
        <v>2008</v>
      </c>
      <c r="J2448" s="15" t="s">
        <v>37</v>
      </c>
      <c r="K2448" s="16" t="s">
        <v>57</v>
      </c>
      <c r="L2448" s="15"/>
      <c r="M2448" s="15"/>
      <c r="N2448" s="15" t="s">
        <v>87</v>
      </c>
      <c r="O2448" s="15"/>
      <c r="P2448" s="16" t="s">
        <v>32</v>
      </c>
      <c r="Q2448" s="17">
        <v>3399</v>
      </c>
      <c r="R2448" s="18">
        <v>45</v>
      </c>
      <c r="S2448" s="19">
        <v>2149.8674999999998</v>
      </c>
      <c r="T2448" s="20" t="s">
        <v>33</v>
      </c>
      <c r="U2448" s="21" t="s">
        <v>150</v>
      </c>
      <c r="V2448" s="25" t="s">
        <v>761</v>
      </c>
      <c r="W2448" s="22">
        <v>1</v>
      </c>
      <c r="X2448" s="23"/>
    </row>
    <row r="2449" spans="1:24" s="1" customFormat="1" ht="52.05" customHeight="1" x14ac:dyDescent="0.3">
      <c r="A2449" s="11" t="s">
        <v>23</v>
      </c>
      <c r="B2449" s="11" t="s">
        <v>2340</v>
      </c>
      <c r="C2449" s="12" t="s">
        <v>2341</v>
      </c>
      <c r="D2449" s="63"/>
      <c r="E2449" s="43" t="str">
        <f>HYPERLINK("https://www.google.ru/search?q=56809-0195&amp;newwindow=1&amp;tbm=isch","Еще фото")</f>
        <v>Еще фото</v>
      </c>
      <c r="F2449" s="14"/>
      <c r="G2449" s="11" t="s">
        <v>1534</v>
      </c>
      <c r="H2449" s="11" t="s">
        <v>27</v>
      </c>
      <c r="I2449" s="15" t="s">
        <v>2008</v>
      </c>
      <c r="J2449" s="15" t="s">
        <v>37</v>
      </c>
      <c r="K2449" s="16" t="s">
        <v>57</v>
      </c>
      <c r="L2449" s="60" t="s">
        <v>2342</v>
      </c>
      <c r="M2449" s="15"/>
      <c r="N2449" s="15" t="s">
        <v>83</v>
      </c>
      <c r="O2449" s="15"/>
      <c r="P2449" s="16" t="s">
        <v>32</v>
      </c>
      <c r="Q2449" s="17">
        <v>3399</v>
      </c>
      <c r="R2449" s="18">
        <v>45</v>
      </c>
      <c r="S2449" s="19">
        <v>2149.8674999999998</v>
      </c>
      <c r="T2449" s="20" t="s">
        <v>33</v>
      </c>
      <c r="U2449" s="21" t="s">
        <v>64</v>
      </c>
      <c r="V2449" s="22">
        <v>48</v>
      </c>
      <c r="W2449" s="22">
        <v>1</v>
      </c>
      <c r="X2449" s="23"/>
    </row>
    <row r="2450" spans="1:24" s="1" customFormat="1" ht="61.05" customHeight="1" x14ac:dyDescent="0.3">
      <c r="A2450" s="24" t="s">
        <v>23</v>
      </c>
      <c r="B2450" s="24" t="s">
        <v>2340</v>
      </c>
      <c r="C2450" s="12" t="s">
        <v>2341</v>
      </c>
      <c r="D2450" s="64"/>
      <c r="E2450" s="43" t="str">
        <f>HYPERLINK("https://www.google.ru/search?q=56809-0195&amp;newwindow=1&amp;tbm=isch","Еще фото")</f>
        <v>Еще фото</v>
      </c>
      <c r="F2450" s="14"/>
      <c r="G2450" s="24" t="s">
        <v>1534</v>
      </c>
      <c r="H2450" s="24" t="s">
        <v>27</v>
      </c>
      <c r="I2450" s="24" t="s">
        <v>2008</v>
      </c>
      <c r="J2450" s="15" t="s">
        <v>37</v>
      </c>
      <c r="K2450" s="16" t="s">
        <v>57</v>
      </c>
      <c r="L2450" s="62"/>
      <c r="M2450" s="15"/>
      <c r="N2450" s="15" t="s">
        <v>83</v>
      </c>
      <c r="O2450" s="15"/>
      <c r="P2450" s="16" t="s">
        <v>32</v>
      </c>
      <c r="Q2450" s="17">
        <v>3399</v>
      </c>
      <c r="R2450" s="18">
        <v>45</v>
      </c>
      <c r="S2450" s="19">
        <v>2149.8674999999998</v>
      </c>
      <c r="T2450" s="20" t="s">
        <v>33</v>
      </c>
      <c r="U2450" s="21" t="s">
        <v>34</v>
      </c>
      <c r="V2450" s="25" t="s">
        <v>90</v>
      </c>
      <c r="W2450" s="22">
        <v>1</v>
      </c>
      <c r="X2450" s="23"/>
    </row>
    <row r="2451" spans="1:24" s="1" customFormat="1" ht="108" customHeight="1" x14ac:dyDescent="0.3">
      <c r="A2451" s="11" t="s">
        <v>23</v>
      </c>
      <c r="B2451" s="11" t="s">
        <v>2343</v>
      </c>
      <c r="C2451" s="12" t="s">
        <v>2344</v>
      </c>
      <c r="D2451" s="13"/>
      <c r="E2451" s="43" t="str">
        <f>HYPERLINK("https://www.google.ru/search?q=72848-0000&amp;newwindow=1&amp;tbm=isch","Еще фото")</f>
        <v>Еще фото</v>
      </c>
      <c r="F2451" s="14"/>
      <c r="G2451" s="11" t="s">
        <v>2050</v>
      </c>
      <c r="H2451" s="11" t="s">
        <v>27</v>
      </c>
      <c r="I2451" s="15" t="s">
        <v>2008</v>
      </c>
      <c r="J2451" s="15" t="s">
        <v>28</v>
      </c>
      <c r="K2451" s="16" t="s">
        <v>57</v>
      </c>
      <c r="L2451" s="15" t="s">
        <v>2345</v>
      </c>
      <c r="M2451" s="15" t="s">
        <v>72</v>
      </c>
      <c r="N2451" s="15" t="s">
        <v>31</v>
      </c>
      <c r="O2451" s="15"/>
      <c r="P2451" s="16" t="s">
        <v>32</v>
      </c>
      <c r="Q2451" s="17">
        <v>4999</v>
      </c>
      <c r="R2451" s="18">
        <v>45</v>
      </c>
      <c r="S2451" s="19">
        <v>3161.8674999999994</v>
      </c>
      <c r="T2451" s="20" t="s">
        <v>75</v>
      </c>
      <c r="U2451" s="21" t="s">
        <v>1494</v>
      </c>
      <c r="V2451" s="22">
        <v>54</v>
      </c>
      <c r="W2451" s="22">
        <v>13</v>
      </c>
      <c r="X2451" s="23"/>
    </row>
    <row r="2452" spans="1:24" s="1" customFormat="1" ht="26" customHeight="1" x14ac:dyDescent="0.3">
      <c r="A2452" s="11" t="s">
        <v>23</v>
      </c>
      <c r="B2452" s="11" t="s">
        <v>2346</v>
      </c>
      <c r="C2452" s="12" t="s">
        <v>2347</v>
      </c>
      <c r="D2452" s="57"/>
      <c r="E2452" s="43" t="str">
        <f>HYPERLINK("https://www.google.ru/search?q=72848-0009&amp;newwindow=1&amp;tbm=isch","Еще фото")</f>
        <v>Еще фото</v>
      </c>
      <c r="F2452" s="14" t="s">
        <v>182</v>
      </c>
      <c r="G2452" s="11" t="s">
        <v>2050</v>
      </c>
      <c r="H2452" s="11" t="s">
        <v>27</v>
      </c>
      <c r="I2452" s="15" t="s">
        <v>2008</v>
      </c>
      <c r="J2452" s="15" t="s">
        <v>28</v>
      </c>
      <c r="K2452" s="16" t="s">
        <v>57</v>
      </c>
      <c r="L2452" s="60" t="s">
        <v>2348</v>
      </c>
      <c r="M2452" s="15" t="s">
        <v>72</v>
      </c>
      <c r="N2452" s="15" t="s">
        <v>39</v>
      </c>
      <c r="O2452" s="15" t="s">
        <v>121</v>
      </c>
      <c r="P2452" s="16" t="s">
        <v>32</v>
      </c>
      <c r="Q2452" s="17">
        <v>4999</v>
      </c>
      <c r="R2452" s="18">
        <v>45</v>
      </c>
      <c r="S2452" s="19">
        <v>3161.8674999999994</v>
      </c>
      <c r="T2452" s="20" t="s">
        <v>33</v>
      </c>
      <c r="U2452" s="21" t="s">
        <v>64</v>
      </c>
      <c r="V2452" s="22">
        <v>48</v>
      </c>
      <c r="W2452" s="22">
        <v>1</v>
      </c>
      <c r="X2452" s="23"/>
    </row>
    <row r="2453" spans="1:24" s="1" customFormat="1" ht="26" customHeight="1" x14ac:dyDescent="0.3">
      <c r="A2453" s="24" t="s">
        <v>23</v>
      </c>
      <c r="B2453" s="24" t="s">
        <v>2346</v>
      </c>
      <c r="C2453" s="12" t="s">
        <v>2347</v>
      </c>
      <c r="D2453" s="58"/>
      <c r="E2453" s="43" t="str">
        <f>HYPERLINK("https://www.google.ru/search?q=72848-0009&amp;newwindow=1&amp;tbm=isch","Еще фото")</f>
        <v>Еще фото</v>
      </c>
      <c r="F2453" s="14" t="s">
        <v>182</v>
      </c>
      <c r="G2453" s="24" t="s">
        <v>2050</v>
      </c>
      <c r="H2453" s="24" t="s">
        <v>27</v>
      </c>
      <c r="I2453" s="24" t="s">
        <v>2008</v>
      </c>
      <c r="J2453" s="15" t="s">
        <v>28</v>
      </c>
      <c r="K2453" s="16" t="s">
        <v>57</v>
      </c>
      <c r="L2453" s="61"/>
      <c r="M2453" s="15" t="s">
        <v>72</v>
      </c>
      <c r="N2453" s="15" t="s">
        <v>39</v>
      </c>
      <c r="O2453" s="15" t="s">
        <v>121</v>
      </c>
      <c r="P2453" s="16" t="s">
        <v>32</v>
      </c>
      <c r="Q2453" s="17">
        <v>4999</v>
      </c>
      <c r="R2453" s="18">
        <v>45</v>
      </c>
      <c r="S2453" s="19">
        <v>3161.8674999999994</v>
      </c>
      <c r="T2453" s="20" t="s">
        <v>33</v>
      </c>
      <c r="U2453" s="21" t="s">
        <v>34</v>
      </c>
      <c r="V2453" s="25" t="s">
        <v>90</v>
      </c>
      <c r="W2453" s="22">
        <v>2</v>
      </c>
      <c r="X2453" s="23"/>
    </row>
    <row r="2454" spans="1:24" s="1" customFormat="1" ht="26" customHeight="1" x14ac:dyDescent="0.3">
      <c r="A2454" s="24" t="s">
        <v>23</v>
      </c>
      <c r="B2454" s="24" t="s">
        <v>2346</v>
      </c>
      <c r="C2454" s="12" t="s">
        <v>2347</v>
      </c>
      <c r="D2454" s="58"/>
      <c r="E2454" s="43" t="str">
        <f>HYPERLINK("https://www.google.ru/search?q=72848-0009&amp;newwindow=1&amp;tbm=isch","Еще фото")</f>
        <v>Еще фото</v>
      </c>
      <c r="F2454" s="14" t="s">
        <v>182</v>
      </c>
      <c r="G2454" s="24" t="s">
        <v>2050</v>
      </c>
      <c r="H2454" s="24" t="s">
        <v>27</v>
      </c>
      <c r="I2454" s="24" t="s">
        <v>2008</v>
      </c>
      <c r="J2454" s="15" t="s">
        <v>28</v>
      </c>
      <c r="K2454" s="16" t="s">
        <v>57</v>
      </c>
      <c r="L2454" s="61"/>
      <c r="M2454" s="15" t="s">
        <v>72</v>
      </c>
      <c r="N2454" s="15" t="s">
        <v>39</v>
      </c>
      <c r="O2454" s="15" t="s">
        <v>121</v>
      </c>
      <c r="P2454" s="16" t="s">
        <v>32</v>
      </c>
      <c r="Q2454" s="17">
        <v>4999</v>
      </c>
      <c r="R2454" s="18">
        <v>45</v>
      </c>
      <c r="S2454" s="19">
        <v>3161.8674999999994</v>
      </c>
      <c r="T2454" s="20" t="s">
        <v>33</v>
      </c>
      <c r="U2454" s="21" t="s">
        <v>150</v>
      </c>
      <c r="V2454" s="25" t="s">
        <v>761</v>
      </c>
      <c r="W2454" s="22">
        <v>2</v>
      </c>
      <c r="X2454" s="23"/>
    </row>
    <row r="2455" spans="1:24" s="1" customFormat="1" ht="26" customHeight="1" x14ac:dyDescent="0.3">
      <c r="A2455" s="24" t="s">
        <v>23</v>
      </c>
      <c r="B2455" s="24" t="s">
        <v>2346</v>
      </c>
      <c r="C2455" s="12" t="s">
        <v>2347</v>
      </c>
      <c r="D2455" s="59"/>
      <c r="E2455" s="43" t="str">
        <f>HYPERLINK("https://www.google.ru/search?q=72848-0009&amp;newwindow=1&amp;tbm=isch","Еще фото")</f>
        <v>Еще фото</v>
      </c>
      <c r="F2455" s="14" t="s">
        <v>182</v>
      </c>
      <c r="G2455" s="24" t="s">
        <v>2050</v>
      </c>
      <c r="H2455" s="24" t="s">
        <v>27</v>
      </c>
      <c r="I2455" s="24" t="s">
        <v>2008</v>
      </c>
      <c r="J2455" s="15" t="s">
        <v>28</v>
      </c>
      <c r="K2455" s="16" t="s">
        <v>57</v>
      </c>
      <c r="L2455" s="62"/>
      <c r="M2455" s="15" t="s">
        <v>72</v>
      </c>
      <c r="N2455" s="15" t="s">
        <v>39</v>
      </c>
      <c r="O2455" s="15" t="s">
        <v>121</v>
      </c>
      <c r="P2455" s="16" t="s">
        <v>32</v>
      </c>
      <c r="Q2455" s="17">
        <v>4999</v>
      </c>
      <c r="R2455" s="18">
        <v>45</v>
      </c>
      <c r="S2455" s="19">
        <v>3161.8674999999994</v>
      </c>
      <c r="T2455" s="20" t="s">
        <v>33</v>
      </c>
      <c r="U2455" s="21" t="s">
        <v>1494</v>
      </c>
      <c r="V2455" s="22">
        <v>54</v>
      </c>
      <c r="W2455" s="22">
        <v>1</v>
      </c>
      <c r="X2455" s="23"/>
    </row>
    <row r="2456" spans="1:24" s="1" customFormat="1" ht="108" customHeight="1" x14ac:dyDescent="0.3">
      <c r="A2456" s="11" t="s">
        <v>23</v>
      </c>
      <c r="B2456" s="11" t="s">
        <v>2349</v>
      </c>
      <c r="C2456" s="12" t="s">
        <v>2350</v>
      </c>
      <c r="D2456" s="13"/>
      <c r="E2456" s="43" t="str">
        <f>HYPERLINK("https://www.google.ru/search?q=79541-0002&amp;newwindow=1&amp;tbm=isch","Еще фото")</f>
        <v>Еще фото</v>
      </c>
      <c r="F2456" s="14"/>
      <c r="G2456" s="11" t="s">
        <v>1534</v>
      </c>
      <c r="H2456" s="11" t="s">
        <v>27</v>
      </c>
      <c r="I2456" s="15" t="s">
        <v>2008</v>
      </c>
      <c r="J2456" s="15" t="s">
        <v>28</v>
      </c>
      <c r="K2456" s="16" t="s">
        <v>57</v>
      </c>
      <c r="L2456" s="15" t="s">
        <v>2351</v>
      </c>
      <c r="M2456" s="15" t="s">
        <v>72</v>
      </c>
      <c r="N2456" s="15" t="s">
        <v>130</v>
      </c>
      <c r="O2456" s="15" t="s">
        <v>121</v>
      </c>
      <c r="P2456" s="16" t="s">
        <v>32</v>
      </c>
      <c r="Q2456" s="17">
        <v>5099</v>
      </c>
      <c r="R2456" s="18">
        <v>45</v>
      </c>
      <c r="S2456" s="19">
        <v>3225.1174999999994</v>
      </c>
      <c r="T2456" s="20" t="s">
        <v>75</v>
      </c>
      <c r="U2456" s="21" t="s">
        <v>1366</v>
      </c>
      <c r="V2456" s="22">
        <v>42</v>
      </c>
      <c r="W2456" s="22">
        <v>34</v>
      </c>
      <c r="X2456" s="23"/>
    </row>
    <row r="2457" spans="1:24" s="1" customFormat="1" ht="35" customHeight="1" x14ac:dyDescent="0.3">
      <c r="A2457" s="11" t="s">
        <v>23</v>
      </c>
      <c r="B2457" s="11" t="s">
        <v>2352</v>
      </c>
      <c r="C2457" s="12" t="s">
        <v>2353</v>
      </c>
      <c r="D2457" s="57"/>
      <c r="E2457" s="43" t="str">
        <f>HYPERLINK("https://www.google.ru/search?q=79681-0001&amp;newwindow=1&amp;tbm=isch","Еще фото")</f>
        <v>Еще фото</v>
      </c>
      <c r="F2457" s="14"/>
      <c r="G2457" s="11" t="s">
        <v>1534</v>
      </c>
      <c r="H2457" s="11" t="s">
        <v>27</v>
      </c>
      <c r="I2457" s="15" t="s">
        <v>2008</v>
      </c>
      <c r="J2457" s="15" t="s">
        <v>28</v>
      </c>
      <c r="K2457" s="16" t="s">
        <v>57</v>
      </c>
      <c r="L2457" s="60" t="s">
        <v>2354</v>
      </c>
      <c r="M2457" s="15" t="s">
        <v>72</v>
      </c>
      <c r="N2457" s="15" t="s">
        <v>31</v>
      </c>
      <c r="O2457" s="15" t="s">
        <v>121</v>
      </c>
      <c r="P2457" s="16" t="s">
        <v>32</v>
      </c>
      <c r="Q2457" s="17">
        <v>6599</v>
      </c>
      <c r="R2457" s="18">
        <v>45</v>
      </c>
      <c r="S2457" s="19">
        <v>4173.8674999999994</v>
      </c>
      <c r="T2457" s="20" t="s">
        <v>75</v>
      </c>
      <c r="U2457" s="21" t="s">
        <v>1366</v>
      </c>
      <c r="V2457" s="22">
        <v>42</v>
      </c>
      <c r="W2457" s="22">
        <v>10</v>
      </c>
      <c r="X2457" s="23"/>
    </row>
    <row r="2458" spans="1:24" s="1" customFormat="1" ht="35" customHeight="1" x14ac:dyDescent="0.3">
      <c r="A2458" s="24" t="s">
        <v>23</v>
      </c>
      <c r="B2458" s="24" t="s">
        <v>2352</v>
      </c>
      <c r="C2458" s="12" t="s">
        <v>2353</v>
      </c>
      <c r="D2458" s="58"/>
      <c r="E2458" s="43" t="str">
        <f>HYPERLINK("https://www.google.ru/search?q=79681-0001&amp;newwindow=1&amp;tbm=isch","Еще фото")</f>
        <v>Еще фото</v>
      </c>
      <c r="F2458" s="14"/>
      <c r="G2458" s="24" t="s">
        <v>1534</v>
      </c>
      <c r="H2458" s="24" t="s">
        <v>27</v>
      </c>
      <c r="I2458" s="24" t="s">
        <v>2008</v>
      </c>
      <c r="J2458" s="15" t="s">
        <v>28</v>
      </c>
      <c r="K2458" s="16" t="s">
        <v>57</v>
      </c>
      <c r="L2458" s="61"/>
      <c r="M2458" s="15" t="s">
        <v>72</v>
      </c>
      <c r="N2458" s="15" t="s">
        <v>31</v>
      </c>
      <c r="O2458" s="15" t="s">
        <v>121</v>
      </c>
      <c r="P2458" s="16" t="s">
        <v>32</v>
      </c>
      <c r="Q2458" s="17">
        <v>6599</v>
      </c>
      <c r="R2458" s="18">
        <v>45</v>
      </c>
      <c r="S2458" s="19">
        <v>4173.8674999999994</v>
      </c>
      <c r="T2458" s="20" t="s">
        <v>75</v>
      </c>
      <c r="U2458" s="21" t="s">
        <v>150</v>
      </c>
      <c r="V2458" s="25" t="s">
        <v>761</v>
      </c>
      <c r="W2458" s="22">
        <v>7</v>
      </c>
      <c r="X2458" s="23"/>
    </row>
    <row r="2459" spans="1:24" s="1" customFormat="1" ht="37.049999999999997" customHeight="1" x14ac:dyDescent="0.3">
      <c r="A2459" s="24" t="s">
        <v>23</v>
      </c>
      <c r="B2459" s="24" t="s">
        <v>2352</v>
      </c>
      <c r="C2459" s="12" t="s">
        <v>2353</v>
      </c>
      <c r="D2459" s="59"/>
      <c r="E2459" s="43" t="str">
        <f>HYPERLINK("https://www.google.ru/search?q=79681-0001&amp;newwindow=1&amp;tbm=isch","Еще фото")</f>
        <v>Еще фото</v>
      </c>
      <c r="F2459" s="14"/>
      <c r="G2459" s="24" t="s">
        <v>1534</v>
      </c>
      <c r="H2459" s="24" t="s">
        <v>27</v>
      </c>
      <c r="I2459" s="24" t="s">
        <v>2008</v>
      </c>
      <c r="J2459" s="15" t="s">
        <v>28</v>
      </c>
      <c r="K2459" s="16" t="s">
        <v>57</v>
      </c>
      <c r="L2459" s="62"/>
      <c r="M2459" s="15" t="s">
        <v>72</v>
      </c>
      <c r="N2459" s="15" t="s">
        <v>31</v>
      </c>
      <c r="O2459" s="15" t="s">
        <v>121</v>
      </c>
      <c r="P2459" s="16" t="s">
        <v>32</v>
      </c>
      <c r="Q2459" s="17">
        <v>6599</v>
      </c>
      <c r="R2459" s="18">
        <v>45</v>
      </c>
      <c r="S2459" s="19">
        <v>4173.8674999999994</v>
      </c>
      <c r="T2459" s="20" t="s">
        <v>75</v>
      </c>
      <c r="U2459" s="21" t="s">
        <v>1494</v>
      </c>
      <c r="V2459" s="22">
        <v>54</v>
      </c>
      <c r="W2459" s="22">
        <v>1</v>
      </c>
      <c r="X2459" s="23"/>
    </row>
    <row r="2460" spans="1:24" s="1" customFormat="1" ht="108" customHeight="1" x14ac:dyDescent="0.3">
      <c r="A2460" s="11" t="s">
        <v>23</v>
      </c>
      <c r="B2460" s="11" t="s">
        <v>2355</v>
      </c>
      <c r="C2460" s="12" t="s">
        <v>2356</v>
      </c>
      <c r="D2460" s="13"/>
      <c r="E2460" s="43" t="str">
        <f>HYPERLINK("https://www.google.ru/search?q=85341-0002&amp;newwindow=1&amp;tbm=isch","Еще фото")</f>
        <v>Еще фото</v>
      </c>
      <c r="F2460" s="14"/>
      <c r="G2460" s="11" t="s">
        <v>1534</v>
      </c>
      <c r="H2460" s="11" t="s">
        <v>27</v>
      </c>
      <c r="I2460" s="15" t="s">
        <v>2008</v>
      </c>
      <c r="J2460" s="15" t="s">
        <v>28</v>
      </c>
      <c r="K2460" s="16" t="s">
        <v>29</v>
      </c>
      <c r="L2460" s="15" t="s">
        <v>2357</v>
      </c>
      <c r="M2460" s="15" t="s">
        <v>72</v>
      </c>
      <c r="N2460" s="15" t="s">
        <v>31</v>
      </c>
      <c r="O2460" s="15" t="s">
        <v>121</v>
      </c>
      <c r="P2460" s="16" t="s">
        <v>32</v>
      </c>
      <c r="Q2460" s="17">
        <v>2899</v>
      </c>
      <c r="R2460" s="18">
        <v>45</v>
      </c>
      <c r="S2460" s="19">
        <v>1833.6174999999998</v>
      </c>
      <c r="T2460" s="20" t="s">
        <v>33</v>
      </c>
      <c r="U2460" s="21" t="s">
        <v>62</v>
      </c>
      <c r="V2460" s="22">
        <v>44</v>
      </c>
      <c r="W2460" s="22">
        <v>1</v>
      </c>
      <c r="X2460" s="23"/>
    </row>
    <row r="2461" spans="1:24" s="1" customFormat="1" ht="108" customHeight="1" x14ac:dyDescent="0.3">
      <c r="A2461" s="11" t="s">
        <v>23</v>
      </c>
      <c r="B2461" s="11" t="s">
        <v>2358</v>
      </c>
      <c r="C2461" s="12" t="s">
        <v>2359</v>
      </c>
      <c r="D2461" s="13"/>
      <c r="E2461" s="43" t="str">
        <f>HYPERLINK("https://www.google.ru/search?q=85641-0001&amp;newwindow=1&amp;tbm=isch","Еще фото")</f>
        <v>Еще фото</v>
      </c>
      <c r="F2461" s="14" t="s">
        <v>182</v>
      </c>
      <c r="G2461" s="11" t="s">
        <v>1534</v>
      </c>
      <c r="H2461" s="11" t="s">
        <v>27</v>
      </c>
      <c r="I2461" s="15" t="s">
        <v>2008</v>
      </c>
      <c r="J2461" s="15" t="s">
        <v>28</v>
      </c>
      <c r="K2461" s="16" t="s">
        <v>57</v>
      </c>
      <c r="L2461" s="15" t="s">
        <v>2360</v>
      </c>
      <c r="M2461" s="15" t="s">
        <v>72</v>
      </c>
      <c r="N2461" s="15" t="s">
        <v>39</v>
      </c>
      <c r="O2461" s="15" t="s">
        <v>121</v>
      </c>
      <c r="P2461" s="16" t="s">
        <v>32</v>
      </c>
      <c r="Q2461" s="17">
        <v>3599</v>
      </c>
      <c r="R2461" s="18">
        <v>45</v>
      </c>
      <c r="S2461" s="19">
        <v>2276.3674999999998</v>
      </c>
      <c r="T2461" s="20" t="s">
        <v>33</v>
      </c>
      <c r="U2461" s="21" t="s">
        <v>62</v>
      </c>
      <c r="V2461" s="22">
        <v>46</v>
      </c>
      <c r="W2461" s="22">
        <v>1</v>
      </c>
      <c r="X2461" s="23"/>
    </row>
    <row r="2462" spans="1:24" s="1" customFormat="1" ht="108" customHeight="1" x14ac:dyDescent="0.3">
      <c r="A2462" s="11" t="s">
        <v>23</v>
      </c>
      <c r="B2462" s="11" t="s">
        <v>2361</v>
      </c>
      <c r="C2462" s="12" t="s">
        <v>2362</v>
      </c>
      <c r="D2462" s="13"/>
      <c r="E2462" s="43" t="str">
        <f>HYPERLINK("https://www.google.ru/search?q=87373-0395&amp;newwindow=1&amp;tbm=isch","Еще фото")</f>
        <v>Еще фото</v>
      </c>
      <c r="F2462" s="14"/>
      <c r="G2462" s="11" t="s">
        <v>1534</v>
      </c>
      <c r="H2462" s="11" t="s">
        <v>27</v>
      </c>
      <c r="I2462" s="15" t="s">
        <v>2008</v>
      </c>
      <c r="J2462" s="15" t="s">
        <v>37</v>
      </c>
      <c r="K2462" s="16" t="s">
        <v>57</v>
      </c>
      <c r="L2462" s="15" t="s">
        <v>2363</v>
      </c>
      <c r="M2462" s="15"/>
      <c r="N2462" s="15" t="s">
        <v>87</v>
      </c>
      <c r="O2462" s="15"/>
      <c r="P2462" s="16" t="s">
        <v>32</v>
      </c>
      <c r="Q2462" s="17">
        <v>3399</v>
      </c>
      <c r="R2462" s="18">
        <v>45</v>
      </c>
      <c r="S2462" s="19">
        <v>2149.8674999999998</v>
      </c>
      <c r="T2462" s="20" t="s">
        <v>33</v>
      </c>
      <c r="U2462" s="21" t="s">
        <v>64</v>
      </c>
      <c r="V2462" s="22">
        <v>48</v>
      </c>
      <c r="W2462" s="22">
        <v>1</v>
      </c>
      <c r="X2462" s="23"/>
    </row>
    <row r="2463" spans="1:24" s="1" customFormat="1" ht="52.05" customHeight="1" x14ac:dyDescent="0.3">
      <c r="A2463" s="11" t="s">
        <v>23</v>
      </c>
      <c r="B2463" s="11" t="s">
        <v>2364</v>
      </c>
      <c r="C2463" s="12" t="s">
        <v>2365</v>
      </c>
      <c r="D2463" s="63"/>
      <c r="E2463" s="43" t="str">
        <f>HYPERLINK("https://www.google.ru/search?q=87373-0396&amp;newwindow=1&amp;tbm=isch","Еще фото")</f>
        <v>Еще фото</v>
      </c>
      <c r="F2463" s="14"/>
      <c r="G2463" s="11" t="s">
        <v>1534</v>
      </c>
      <c r="H2463" s="11" t="s">
        <v>27</v>
      </c>
      <c r="I2463" s="15" t="s">
        <v>2008</v>
      </c>
      <c r="J2463" s="15" t="s">
        <v>37</v>
      </c>
      <c r="K2463" s="16" t="s">
        <v>57</v>
      </c>
      <c r="L2463" s="60" t="s">
        <v>2363</v>
      </c>
      <c r="M2463" s="15"/>
      <c r="N2463" s="15" t="s">
        <v>73</v>
      </c>
      <c r="O2463" s="15"/>
      <c r="P2463" s="16" t="s">
        <v>32</v>
      </c>
      <c r="Q2463" s="17">
        <v>3399</v>
      </c>
      <c r="R2463" s="18">
        <v>45</v>
      </c>
      <c r="S2463" s="19">
        <v>2149.8674999999998</v>
      </c>
      <c r="T2463" s="20" t="s">
        <v>33</v>
      </c>
      <c r="U2463" s="21" t="s">
        <v>34</v>
      </c>
      <c r="V2463" s="25" t="s">
        <v>90</v>
      </c>
      <c r="W2463" s="22">
        <v>1</v>
      </c>
      <c r="X2463" s="23"/>
    </row>
    <row r="2464" spans="1:24" s="1" customFormat="1" ht="61.05" customHeight="1" x14ac:dyDescent="0.3">
      <c r="A2464" s="24" t="s">
        <v>23</v>
      </c>
      <c r="B2464" s="24" t="s">
        <v>2364</v>
      </c>
      <c r="C2464" s="12" t="s">
        <v>2365</v>
      </c>
      <c r="D2464" s="64"/>
      <c r="E2464" s="43" t="str">
        <f>HYPERLINK("https://www.google.ru/search?q=87373-0396&amp;newwindow=1&amp;tbm=isch","Еще фото")</f>
        <v>Еще фото</v>
      </c>
      <c r="F2464" s="14"/>
      <c r="G2464" s="24" t="s">
        <v>1534</v>
      </c>
      <c r="H2464" s="24" t="s">
        <v>27</v>
      </c>
      <c r="I2464" s="24" t="s">
        <v>2008</v>
      </c>
      <c r="J2464" s="15" t="s">
        <v>37</v>
      </c>
      <c r="K2464" s="16" t="s">
        <v>57</v>
      </c>
      <c r="L2464" s="62"/>
      <c r="M2464" s="15"/>
      <c r="N2464" s="15" t="s">
        <v>73</v>
      </c>
      <c r="O2464" s="15"/>
      <c r="P2464" s="16" t="s">
        <v>32</v>
      </c>
      <c r="Q2464" s="17">
        <v>3399</v>
      </c>
      <c r="R2464" s="18">
        <v>45</v>
      </c>
      <c r="S2464" s="19">
        <v>2149.8674999999998</v>
      </c>
      <c r="T2464" s="20" t="s">
        <v>33</v>
      </c>
      <c r="U2464" s="21" t="s">
        <v>150</v>
      </c>
      <c r="V2464" s="25" t="s">
        <v>761</v>
      </c>
      <c r="W2464" s="22">
        <v>1</v>
      </c>
      <c r="X2464" s="23"/>
    </row>
    <row r="2465" spans="1:24" s="1" customFormat="1" ht="35" customHeight="1" x14ac:dyDescent="0.3">
      <c r="A2465" s="11" t="s">
        <v>23</v>
      </c>
      <c r="B2465" s="11" t="s">
        <v>2366</v>
      </c>
      <c r="C2465" s="12" t="s">
        <v>2367</v>
      </c>
      <c r="D2465" s="57"/>
      <c r="E2465" s="43" t="str">
        <f>HYPERLINK("https://www.google.ru/search?q=87373-0397&amp;newwindow=1&amp;tbm=isch","Еще фото")</f>
        <v>Еще фото</v>
      </c>
      <c r="F2465" s="14"/>
      <c r="G2465" s="11" t="s">
        <v>1534</v>
      </c>
      <c r="H2465" s="11" t="s">
        <v>27</v>
      </c>
      <c r="I2465" s="15" t="s">
        <v>2008</v>
      </c>
      <c r="J2465" s="15" t="s">
        <v>37</v>
      </c>
      <c r="K2465" s="16" t="s">
        <v>57</v>
      </c>
      <c r="L2465" s="60" t="s">
        <v>2363</v>
      </c>
      <c r="M2465" s="15"/>
      <c r="N2465" s="15" t="s">
        <v>39</v>
      </c>
      <c r="O2465" s="15"/>
      <c r="P2465" s="16" t="s">
        <v>32</v>
      </c>
      <c r="Q2465" s="17">
        <v>3399</v>
      </c>
      <c r="R2465" s="18">
        <v>45</v>
      </c>
      <c r="S2465" s="19">
        <v>2149.8674999999998</v>
      </c>
      <c r="T2465" s="20" t="s">
        <v>33</v>
      </c>
      <c r="U2465" s="21" t="s">
        <v>64</v>
      </c>
      <c r="V2465" s="22">
        <v>48</v>
      </c>
      <c r="W2465" s="22">
        <v>1</v>
      </c>
      <c r="X2465" s="23"/>
    </row>
    <row r="2466" spans="1:24" s="1" customFormat="1" ht="35" customHeight="1" x14ac:dyDescent="0.3">
      <c r="A2466" s="24" t="s">
        <v>23</v>
      </c>
      <c r="B2466" s="24" t="s">
        <v>2366</v>
      </c>
      <c r="C2466" s="12" t="s">
        <v>2367</v>
      </c>
      <c r="D2466" s="58"/>
      <c r="E2466" s="43" t="str">
        <f>HYPERLINK("https://www.google.ru/search?q=87373-0397&amp;newwindow=1&amp;tbm=isch","Еще фото")</f>
        <v>Еще фото</v>
      </c>
      <c r="F2466" s="14"/>
      <c r="G2466" s="24" t="s">
        <v>1534</v>
      </c>
      <c r="H2466" s="24" t="s">
        <v>27</v>
      </c>
      <c r="I2466" s="24" t="s">
        <v>2008</v>
      </c>
      <c r="J2466" s="15" t="s">
        <v>37</v>
      </c>
      <c r="K2466" s="16" t="s">
        <v>57</v>
      </c>
      <c r="L2466" s="61"/>
      <c r="M2466" s="15"/>
      <c r="N2466" s="15" t="s">
        <v>39</v>
      </c>
      <c r="O2466" s="15"/>
      <c r="P2466" s="16" t="s">
        <v>32</v>
      </c>
      <c r="Q2466" s="17">
        <v>3399</v>
      </c>
      <c r="R2466" s="18">
        <v>45</v>
      </c>
      <c r="S2466" s="19">
        <v>2149.8674999999998</v>
      </c>
      <c r="T2466" s="20" t="s">
        <v>33</v>
      </c>
      <c r="U2466" s="21" t="s">
        <v>34</v>
      </c>
      <c r="V2466" s="25" t="s">
        <v>90</v>
      </c>
      <c r="W2466" s="22">
        <v>2</v>
      </c>
      <c r="X2466" s="23"/>
    </row>
    <row r="2467" spans="1:24" s="1" customFormat="1" ht="37.049999999999997" customHeight="1" x14ac:dyDescent="0.3">
      <c r="A2467" s="24" t="s">
        <v>23</v>
      </c>
      <c r="B2467" s="24" t="s">
        <v>2366</v>
      </c>
      <c r="C2467" s="12" t="s">
        <v>2367</v>
      </c>
      <c r="D2467" s="59"/>
      <c r="E2467" s="43" t="str">
        <f>HYPERLINK("https://www.google.ru/search?q=87373-0397&amp;newwindow=1&amp;tbm=isch","Еще фото")</f>
        <v>Еще фото</v>
      </c>
      <c r="F2467" s="14"/>
      <c r="G2467" s="24" t="s">
        <v>1534</v>
      </c>
      <c r="H2467" s="24" t="s">
        <v>27</v>
      </c>
      <c r="I2467" s="24" t="s">
        <v>2008</v>
      </c>
      <c r="J2467" s="15" t="s">
        <v>37</v>
      </c>
      <c r="K2467" s="16" t="s">
        <v>57</v>
      </c>
      <c r="L2467" s="62"/>
      <c r="M2467" s="15"/>
      <c r="N2467" s="15" t="s">
        <v>39</v>
      </c>
      <c r="O2467" s="15"/>
      <c r="P2467" s="16" t="s">
        <v>32</v>
      </c>
      <c r="Q2467" s="17">
        <v>3399</v>
      </c>
      <c r="R2467" s="18">
        <v>45</v>
      </c>
      <c r="S2467" s="19">
        <v>2149.8674999999998</v>
      </c>
      <c r="T2467" s="20" t="s">
        <v>33</v>
      </c>
      <c r="U2467" s="21" t="s">
        <v>150</v>
      </c>
      <c r="V2467" s="25" t="s">
        <v>761</v>
      </c>
      <c r="W2467" s="22">
        <v>2</v>
      </c>
      <c r="X2467" s="23"/>
    </row>
    <row r="2468" spans="1:24" s="1" customFormat="1" ht="108" customHeight="1" x14ac:dyDescent="0.3">
      <c r="A2468" s="11" t="s">
        <v>23</v>
      </c>
      <c r="B2468" s="11" t="s">
        <v>2366</v>
      </c>
      <c r="C2468" s="12" t="s">
        <v>2368</v>
      </c>
      <c r="D2468" s="13"/>
      <c r="E2468" s="43" t="str">
        <f>HYPERLINK("https://www.google.ru/search?q=87373-0400&amp;newwindow=1&amp;tbm=isch","Еще фото")</f>
        <v>Еще фото</v>
      </c>
      <c r="F2468" s="14"/>
      <c r="G2468" s="11" t="s">
        <v>1534</v>
      </c>
      <c r="H2468" s="11" t="s">
        <v>27</v>
      </c>
      <c r="I2468" s="15" t="s">
        <v>2008</v>
      </c>
      <c r="J2468" s="15" t="s">
        <v>37</v>
      </c>
      <c r="K2468" s="16" t="s">
        <v>57</v>
      </c>
      <c r="L2468" s="15" t="s">
        <v>2363</v>
      </c>
      <c r="M2468" s="15"/>
      <c r="N2468" s="15" t="s">
        <v>87</v>
      </c>
      <c r="O2468" s="15"/>
      <c r="P2468" s="16" t="s">
        <v>32</v>
      </c>
      <c r="Q2468" s="17">
        <v>3399</v>
      </c>
      <c r="R2468" s="18">
        <v>45</v>
      </c>
      <c r="S2468" s="19">
        <v>2149.8674999999998</v>
      </c>
      <c r="T2468" s="20" t="s">
        <v>33</v>
      </c>
      <c r="U2468" s="21" t="s">
        <v>34</v>
      </c>
      <c r="V2468" s="25" t="s">
        <v>90</v>
      </c>
      <c r="W2468" s="22">
        <v>2</v>
      </c>
      <c r="X2468" s="23"/>
    </row>
    <row r="2469" spans="1:24" s="1" customFormat="1" ht="52.05" customHeight="1" x14ac:dyDescent="0.3">
      <c r="A2469" s="11" t="s">
        <v>23</v>
      </c>
      <c r="B2469" s="11" t="s">
        <v>2369</v>
      </c>
      <c r="C2469" s="12" t="s">
        <v>2370</v>
      </c>
      <c r="D2469" s="63"/>
      <c r="E2469" s="43" t="str">
        <f>HYPERLINK("https://www.google.ru/search?q=87373-0405&amp;newwindow=1&amp;tbm=isch","Еще фото")</f>
        <v>Еще фото</v>
      </c>
      <c r="F2469" s="14"/>
      <c r="G2469" s="11" t="s">
        <v>1534</v>
      </c>
      <c r="H2469" s="11" t="s">
        <v>27</v>
      </c>
      <c r="I2469" s="15" t="s">
        <v>2008</v>
      </c>
      <c r="J2469" s="15" t="s">
        <v>37</v>
      </c>
      <c r="K2469" s="16" t="s">
        <v>57</v>
      </c>
      <c r="L2469" s="60" t="s">
        <v>2363</v>
      </c>
      <c r="M2469" s="15"/>
      <c r="N2469" s="15" t="s">
        <v>138</v>
      </c>
      <c r="O2469" s="15"/>
      <c r="P2469" s="16" t="s">
        <v>32</v>
      </c>
      <c r="Q2469" s="17">
        <v>3399</v>
      </c>
      <c r="R2469" s="18">
        <v>45</v>
      </c>
      <c r="S2469" s="19">
        <v>2149.8674999999998</v>
      </c>
      <c r="T2469" s="20" t="s">
        <v>33</v>
      </c>
      <c r="U2469" s="21" t="s">
        <v>64</v>
      </c>
      <c r="V2469" s="22">
        <v>48</v>
      </c>
      <c r="W2469" s="22">
        <v>1</v>
      </c>
      <c r="X2469" s="23"/>
    </row>
    <row r="2470" spans="1:24" s="1" customFormat="1" ht="61.05" customHeight="1" x14ac:dyDescent="0.3">
      <c r="A2470" s="24" t="s">
        <v>23</v>
      </c>
      <c r="B2470" s="24" t="s">
        <v>2369</v>
      </c>
      <c r="C2470" s="12" t="s">
        <v>2370</v>
      </c>
      <c r="D2470" s="64"/>
      <c r="E2470" s="43" t="str">
        <f>HYPERLINK("https://www.google.ru/search?q=87373-0405&amp;newwindow=1&amp;tbm=isch","Еще фото")</f>
        <v>Еще фото</v>
      </c>
      <c r="F2470" s="14"/>
      <c r="G2470" s="24" t="s">
        <v>1534</v>
      </c>
      <c r="H2470" s="24" t="s">
        <v>27</v>
      </c>
      <c r="I2470" s="24" t="s">
        <v>2008</v>
      </c>
      <c r="J2470" s="15" t="s">
        <v>37</v>
      </c>
      <c r="K2470" s="16" t="s">
        <v>57</v>
      </c>
      <c r="L2470" s="62"/>
      <c r="M2470" s="15"/>
      <c r="N2470" s="15" t="s">
        <v>138</v>
      </c>
      <c r="O2470" s="15"/>
      <c r="P2470" s="16" t="s">
        <v>32</v>
      </c>
      <c r="Q2470" s="17">
        <v>3399</v>
      </c>
      <c r="R2470" s="18">
        <v>45</v>
      </c>
      <c r="S2470" s="19">
        <v>2149.8674999999998</v>
      </c>
      <c r="T2470" s="20" t="s">
        <v>33</v>
      </c>
      <c r="U2470" s="21" t="s">
        <v>150</v>
      </c>
      <c r="V2470" s="25" t="s">
        <v>761</v>
      </c>
      <c r="W2470" s="22">
        <v>1</v>
      </c>
      <c r="X2470" s="23"/>
    </row>
    <row r="2471" spans="1:24" s="1" customFormat="1" ht="108" customHeight="1" x14ac:dyDescent="0.3">
      <c r="A2471" s="11" t="s">
        <v>23</v>
      </c>
      <c r="B2471" s="11" t="s">
        <v>2361</v>
      </c>
      <c r="C2471" s="12" t="s">
        <v>2371</v>
      </c>
      <c r="D2471" s="13"/>
      <c r="E2471" s="43" t="str">
        <f>HYPERLINK("https://www.google.ru/search?q=87373-0406&amp;newwindow=1&amp;tbm=isch","Еще фото")</f>
        <v>Еще фото</v>
      </c>
      <c r="F2471" s="14"/>
      <c r="G2471" s="11" t="s">
        <v>1534</v>
      </c>
      <c r="H2471" s="11" t="s">
        <v>27</v>
      </c>
      <c r="I2471" s="15" t="s">
        <v>2008</v>
      </c>
      <c r="J2471" s="15" t="s">
        <v>37</v>
      </c>
      <c r="K2471" s="16" t="s">
        <v>57</v>
      </c>
      <c r="L2471" s="15" t="s">
        <v>2363</v>
      </c>
      <c r="M2471" s="15"/>
      <c r="N2471" s="15" t="s">
        <v>87</v>
      </c>
      <c r="O2471" s="15"/>
      <c r="P2471" s="16" t="s">
        <v>32</v>
      </c>
      <c r="Q2471" s="17">
        <v>3399</v>
      </c>
      <c r="R2471" s="18">
        <v>45</v>
      </c>
      <c r="S2471" s="19">
        <v>2149.8674999999998</v>
      </c>
      <c r="T2471" s="20" t="s">
        <v>33</v>
      </c>
      <c r="U2471" s="21" t="s">
        <v>150</v>
      </c>
      <c r="V2471" s="25" t="s">
        <v>761</v>
      </c>
      <c r="W2471" s="22">
        <v>1</v>
      </c>
      <c r="X2471" s="23"/>
    </row>
    <row r="2472" spans="1:24" s="1" customFormat="1" ht="108" customHeight="1" x14ac:dyDescent="0.3">
      <c r="A2472" s="11" t="s">
        <v>23</v>
      </c>
      <c r="B2472" s="11" t="s">
        <v>2372</v>
      </c>
      <c r="C2472" s="12" t="s">
        <v>2373</v>
      </c>
      <c r="D2472" s="13"/>
      <c r="E2472" s="43" t="str">
        <f>HYPERLINK("https://www.google.ru/search?q=87373-0409&amp;newwindow=1&amp;tbm=isch","Еще фото")</f>
        <v>Еще фото</v>
      </c>
      <c r="F2472" s="14"/>
      <c r="G2472" s="11" t="s">
        <v>1534</v>
      </c>
      <c r="H2472" s="11" t="s">
        <v>27</v>
      </c>
      <c r="I2472" s="15" t="s">
        <v>2008</v>
      </c>
      <c r="J2472" s="15" t="s">
        <v>37</v>
      </c>
      <c r="K2472" s="16" t="s">
        <v>57</v>
      </c>
      <c r="L2472" s="15" t="s">
        <v>2363</v>
      </c>
      <c r="M2472" s="15"/>
      <c r="N2472" s="15" t="s">
        <v>130</v>
      </c>
      <c r="O2472" s="15"/>
      <c r="P2472" s="16" t="s">
        <v>32</v>
      </c>
      <c r="Q2472" s="17">
        <v>3399</v>
      </c>
      <c r="R2472" s="18">
        <v>45</v>
      </c>
      <c r="S2472" s="19">
        <v>2149.8674999999998</v>
      </c>
      <c r="T2472" s="20" t="s">
        <v>33</v>
      </c>
      <c r="U2472" s="21" t="s">
        <v>34</v>
      </c>
      <c r="V2472" s="25" t="s">
        <v>90</v>
      </c>
      <c r="W2472" s="22">
        <v>1</v>
      </c>
      <c r="X2472" s="23"/>
    </row>
    <row r="2473" spans="1:24" s="1" customFormat="1" ht="108" customHeight="1" x14ac:dyDescent="0.3">
      <c r="A2473" s="11" t="s">
        <v>23</v>
      </c>
      <c r="B2473" s="11" t="s">
        <v>2374</v>
      </c>
      <c r="C2473" s="12" t="s">
        <v>2375</v>
      </c>
      <c r="D2473" s="13"/>
      <c r="E2473" s="43" t="str">
        <f>HYPERLINK("https://www.google.ru/search?q=87373-0442&amp;newwindow=1&amp;tbm=isch","Еще фото")</f>
        <v>Еще фото</v>
      </c>
      <c r="F2473" s="14"/>
      <c r="G2473" s="11" t="s">
        <v>1534</v>
      </c>
      <c r="H2473" s="11" t="s">
        <v>27</v>
      </c>
      <c r="I2473" s="15" t="s">
        <v>2008</v>
      </c>
      <c r="J2473" s="15" t="s">
        <v>37</v>
      </c>
      <c r="K2473" s="16" t="s">
        <v>57</v>
      </c>
      <c r="L2473" s="15"/>
      <c r="M2473" s="15"/>
      <c r="N2473" s="15" t="s">
        <v>31</v>
      </c>
      <c r="O2473" s="15"/>
      <c r="P2473" s="16" t="s">
        <v>32</v>
      </c>
      <c r="Q2473" s="17">
        <v>4399</v>
      </c>
      <c r="R2473" s="18">
        <v>45</v>
      </c>
      <c r="S2473" s="19">
        <v>2782.3674999999994</v>
      </c>
      <c r="T2473" s="20" t="s">
        <v>75</v>
      </c>
      <c r="U2473" s="21" t="s">
        <v>1494</v>
      </c>
      <c r="V2473" s="22">
        <v>54</v>
      </c>
      <c r="W2473" s="22">
        <v>12</v>
      </c>
      <c r="X2473" s="23"/>
    </row>
    <row r="2474" spans="1:24" s="1" customFormat="1" ht="52.05" customHeight="1" x14ac:dyDescent="0.3">
      <c r="A2474" s="11" t="s">
        <v>23</v>
      </c>
      <c r="B2474" s="11" t="s">
        <v>2374</v>
      </c>
      <c r="C2474" s="12" t="s">
        <v>2376</v>
      </c>
      <c r="D2474" s="63"/>
      <c r="E2474" s="43" t="str">
        <f>HYPERLINK("https://www.google.ru/search?q=87373-0445&amp;newwindow=1&amp;tbm=isch","Еще фото")</f>
        <v>Еще фото</v>
      </c>
      <c r="F2474" s="34" t="s">
        <v>469</v>
      </c>
      <c r="G2474" s="11" t="s">
        <v>1534</v>
      </c>
      <c r="H2474" s="11" t="s">
        <v>27</v>
      </c>
      <c r="I2474" s="15" t="s">
        <v>2008</v>
      </c>
      <c r="J2474" s="15" t="s">
        <v>37</v>
      </c>
      <c r="K2474" s="16" t="s">
        <v>57</v>
      </c>
      <c r="L2474" s="60" t="s">
        <v>2377</v>
      </c>
      <c r="M2474" s="15"/>
      <c r="N2474" s="15" t="s">
        <v>39</v>
      </c>
      <c r="O2474" s="15"/>
      <c r="P2474" s="16" t="s">
        <v>32</v>
      </c>
      <c r="Q2474" s="17">
        <v>5399</v>
      </c>
      <c r="R2474" s="18">
        <v>45</v>
      </c>
      <c r="S2474" s="19">
        <v>3414.8674999999994</v>
      </c>
      <c r="T2474" s="20" t="s">
        <v>33</v>
      </c>
      <c r="U2474" s="21" t="s">
        <v>34</v>
      </c>
      <c r="V2474" s="25" t="s">
        <v>90</v>
      </c>
      <c r="W2474" s="22">
        <v>3</v>
      </c>
      <c r="X2474" s="23"/>
    </row>
    <row r="2475" spans="1:24" s="1" customFormat="1" ht="61.05" customHeight="1" x14ac:dyDescent="0.3">
      <c r="A2475" s="24" t="s">
        <v>23</v>
      </c>
      <c r="B2475" s="24" t="s">
        <v>2374</v>
      </c>
      <c r="C2475" s="12" t="s">
        <v>2376</v>
      </c>
      <c r="D2475" s="64"/>
      <c r="E2475" s="43" t="str">
        <f>HYPERLINK("https://www.google.ru/search?q=87373-0445&amp;newwindow=1&amp;tbm=isch","Еще фото")</f>
        <v>Еще фото</v>
      </c>
      <c r="F2475" s="34" t="s">
        <v>469</v>
      </c>
      <c r="G2475" s="24" t="s">
        <v>1534</v>
      </c>
      <c r="H2475" s="24" t="s">
        <v>27</v>
      </c>
      <c r="I2475" s="24" t="s">
        <v>2008</v>
      </c>
      <c r="J2475" s="15" t="s">
        <v>37</v>
      </c>
      <c r="K2475" s="16" t="s">
        <v>57</v>
      </c>
      <c r="L2475" s="62"/>
      <c r="M2475" s="15"/>
      <c r="N2475" s="15" t="s">
        <v>39</v>
      </c>
      <c r="O2475" s="15"/>
      <c r="P2475" s="16" t="s">
        <v>32</v>
      </c>
      <c r="Q2475" s="17">
        <v>5399</v>
      </c>
      <c r="R2475" s="18">
        <v>45</v>
      </c>
      <c r="S2475" s="19">
        <v>3414.8674999999994</v>
      </c>
      <c r="T2475" s="20" t="s">
        <v>33</v>
      </c>
      <c r="U2475" s="21" t="s">
        <v>1494</v>
      </c>
      <c r="V2475" s="22">
        <v>54</v>
      </c>
      <c r="W2475" s="22">
        <v>10</v>
      </c>
      <c r="X2475" s="23"/>
    </row>
    <row r="2476" spans="1:24" s="1" customFormat="1" ht="26" customHeight="1" x14ac:dyDescent="0.3">
      <c r="A2476" s="11" t="s">
        <v>23</v>
      </c>
      <c r="B2476" s="11" t="s">
        <v>2374</v>
      </c>
      <c r="C2476" s="12" t="s">
        <v>2378</v>
      </c>
      <c r="D2476" s="57"/>
      <c r="E2476" s="43" t="str">
        <f>HYPERLINK("https://www.google.ru/search?q=87373-0457&amp;newwindow=1&amp;tbm=isch","Еще фото")</f>
        <v>Еще фото</v>
      </c>
      <c r="F2476" s="14"/>
      <c r="G2476" s="11" t="s">
        <v>1534</v>
      </c>
      <c r="H2476" s="11" t="s">
        <v>27</v>
      </c>
      <c r="I2476" s="15" t="s">
        <v>2008</v>
      </c>
      <c r="J2476" s="15" t="s">
        <v>37</v>
      </c>
      <c r="K2476" s="16" t="s">
        <v>57</v>
      </c>
      <c r="L2476" s="60"/>
      <c r="M2476" s="15"/>
      <c r="N2476" s="15" t="s">
        <v>156</v>
      </c>
      <c r="O2476" s="15"/>
      <c r="P2476" s="16" t="s">
        <v>32</v>
      </c>
      <c r="Q2476" s="17">
        <v>5399</v>
      </c>
      <c r="R2476" s="18">
        <v>45</v>
      </c>
      <c r="S2476" s="19">
        <v>3414.8674999999994</v>
      </c>
      <c r="T2476" s="20" t="s">
        <v>33</v>
      </c>
      <c r="U2476" s="21" t="s">
        <v>62</v>
      </c>
      <c r="V2476" s="22">
        <v>46</v>
      </c>
      <c r="W2476" s="22">
        <v>12</v>
      </c>
      <c r="X2476" s="23"/>
    </row>
    <row r="2477" spans="1:24" s="1" customFormat="1" ht="26" customHeight="1" x14ac:dyDescent="0.3">
      <c r="A2477" s="24" t="s">
        <v>23</v>
      </c>
      <c r="B2477" s="24" t="s">
        <v>2374</v>
      </c>
      <c r="C2477" s="12" t="s">
        <v>2378</v>
      </c>
      <c r="D2477" s="58"/>
      <c r="E2477" s="43" t="str">
        <f>HYPERLINK("https://www.google.ru/search?q=87373-0457&amp;newwindow=1&amp;tbm=isch","Еще фото")</f>
        <v>Еще фото</v>
      </c>
      <c r="F2477" s="14"/>
      <c r="G2477" s="24" t="s">
        <v>1534</v>
      </c>
      <c r="H2477" s="24" t="s">
        <v>27</v>
      </c>
      <c r="I2477" s="24" t="s">
        <v>2008</v>
      </c>
      <c r="J2477" s="15" t="s">
        <v>37</v>
      </c>
      <c r="K2477" s="16" t="s">
        <v>57</v>
      </c>
      <c r="L2477" s="61"/>
      <c r="M2477" s="15"/>
      <c r="N2477" s="15" t="s">
        <v>156</v>
      </c>
      <c r="O2477" s="15"/>
      <c r="P2477" s="16" t="s">
        <v>32</v>
      </c>
      <c r="Q2477" s="17">
        <v>5399</v>
      </c>
      <c r="R2477" s="18">
        <v>45</v>
      </c>
      <c r="S2477" s="19">
        <v>3414.8674999999994</v>
      </c>
      <c r="T2477" s="20" t="s">
        <v>33</v>
      </c>
      <c r="U2477" s="21" t="s">
        <v>64</v>
      </c>
      <c r="V2477" s="22">
        <v>48</v>
      </c>
      <c r="W2477" s="22">
        <v>22</v>
      </c>
      <c r="X2477" s="23"/>
    </row>
    <row r="2478" spans="1:24" s="1" customFormat="1" ht="26" customHeight="1" x14ac:dyDescent="0.3">
      <c r="A2478" s="24" t="s">
        <v>23</v>
      </c>
      <c r="B2478" s="24" t="s">
        <v>2374</v>
      </c>
      <c r="C2478" s="12" t="s">
        <v>2378</v>
      </c>
      <c r="D2478" s="58"/>
      <c r="E2478" s="43" t="str">
        <f>HYPERLINK("https://www.google.ru/search?q=87373-0457&amp;newwindow=1&amp;tbm=isch","Еще фото")</f>
        <v>Еще фото</v>
      </c>
      <c r="F2478" s="14"/>
      <c r="G2478" s="24" t="s">
        <v>1534</v>
      </c>
      <c r="H2478" s="24" t="s">
        <v>27</v>
      </c>
      <c r="I2478" s="24" t="s">
        <v>2008</v>
      </c>
      <c r="J2478" s="15" t="s">
        <v>37</v>
      </c>
      <c r="K2478" s="16" t="s">
        <v>57</v>
      </c>
      <c r="L2478" s="61"/>
      <c r="M2478" s="15"/>
      <c r="N2478" s="15" t="s">
        <v>156</v>
      </c>
      <c r="O2478" s="15"/>
      <c r="P2478" s="16" t="s">
        <v>32</v>
      </c>
      <c r="Q2478" s="17">
        <v>5399</v>
      </c>
      <c r="R2478" s="18">
        <v>45</v>
      </c>
      <c r="S2478" s="19">
        <v>3414.8674999999994</v>
      </c>
      <c r="T2478" s="20" t="s">
        <v>33</v>
      </c>
      <c r="U2478" s="21" t="s">
        <v>34</v>
      </c>
      <c r="V2478" s="25" t="s">
        <v>90</v>
      </c>
      <c r="W2478" s="22">
        <v>28</v>
      </c>
      <c r="X2478" s="23"/>
    </row>
    <row r="2479" spans="1:24" s="1" customFormat="1" ht="26" customHeight="1" x14ac:dyDescent="0.3">
      <c r="A2479" s="24" t="s">
        <v>23</v>
      </c>
      <c r="B2479" s="24" t="s">
        <v>2374</v>
      </c>
      <c r="C2479" s="12" t="s">
        <v>2378</v>
      </c>
      <c r="D2479" s="59"/>
      <c r="E2479" s="43" t="str">
        <f>HYPERLINK("https://www.google.ru/search?q=87373-0457&amp;newwindow=1&amp;tbm=isch","Еще фото")</f>
        <v>Еще фото</v>
      </c>
      <c r="F2479" s="14"/>
      <c r="G2479" s="24" t="s">
        <v>1534</v>
      </c>
      <c r="H2479" s="24" t="s">
        <v>27</v>
      </c>
      <c r="I2479" s="24" t="s">
        <v>2008</v>
      </c>
      <c r="J2479" s="15" t="s">
        <v>37</v>
      </c>
      <c r="K2479" s="16" t="s">
        <v>57</v>
      </c>
      <c r="L2479" s="62"/>
      <c r="M2479" s="15"/>
      <c r="N2479" s="15" t="s">
        <v>156</v>
      </c>
      <c r="O2479" s="15"/>
      <c r="P2479" s="16" t="s">
        <v>32</v>
      </c>
      <c r="Q2479" s="17">
        <v>5399</v>
      </c>
      <c r="R2479" s="18">
        <v>45</v>
      </c>
      <c r="S2479" s="19">
        <v>3414.8674999999994</v>
      </c>
      <c r="T2479" s="20" t="s">
        <v>33</v>
      </c>
      <c r="U2479" s="21" t="s">
        <v>150</v>
      </c>
      <c r="V2479" s="25" t="s">
        <v>761</v>
      </c>
      <c r="W2479" s="22">
        <v>18</v>
      </c>
      <c r="X2479" s="23"/>
    </row>
    <row r="2480" spans="1:24" s="1" customFormat="1" ht="35" customHeight="1" x14ac:dyDescent="0.3">
      <c r="A2480" s="11" t="s">
        <v>23</v>
      </c>
      <c r="B2480" s="11" t="s">
        <v>2374</v>
      </c>
      <c r="C2480" s="12" t="s">
        <v>2379</v>
      </c>
      <c r="D2480" s="57"/>
      <c r="E2480" s="43" t="str">
        <f>HYPERLINK("https://www.google.ru/search?q=87373-0461&amp;newwindow=1&amp;tbm=isch","Еще фото")</f>
        <v>Еще фото</v>
      </c>
      <c r="F2480" s="14"/>
      <c r="G2480" s="11" t="s">
        <v>1534</v>
      </c>
      <c r="H2480" s="11" t="s">
        <v>27</v>
      </c>
      <c r="I2480" s="15" t="s">
        <v>2008</v>
      </c>
      <c r="J2480" s="15" t="s">
        <v>37</v>
      </c>
      <c r="K2480" s="16" t="s">
        <v>57</v>
      </c>
      <c r="L2480" s="60"/>
      <c r="M2480" s="15"/>
      <c r="N2480" s="15" t="s">
        <v>130</v>
      </c>
      <c r="O2480" s="15"/>
      <c r="P2480" s="16" t="s">
        <v>32</v>
      </c>
      <c r="Q2480" s="17">
        <v>5399</v>
      </c>
      <c r="R2480" s="18">
        <v>45</v>
      </c>
      <c r="S2480" s="19">
        <v>3414.8674999999994</v>
      </c>
      <c r="T2480" s="20" t="s">
        <v>33</v>
      </c>
      <c r="U2480" s="21" t="s">
        <v>64</v>
      </c>
      <c r="V2480" s="22">
        <v>48</v>
      </c>
      <c r="W2480" s="22">
        <v>2</v>
      </c>
      <c r="X2480" s="23"/>
    </row>
    <row r="2481" spans="1:24" s="1" customFormat="1" ht="35" customHeight="1" x14ac:dyDescent="0.3">
      <c r="A2481" s="24" t="s">
        <v>23</v>
      </c>
      <c r="B2481" s="24" t="s">
        <v>2374</v>
      </c>
      <c r="C2481" s="12" t="s">
        <v>2379</v>
      </c>
      <c r="D2481" s="58"/>
      <c r="E2481" s="43" t="str">
        <f>HYPERLINK("https://www.google.ru/search?q=87373-0461&amp;newwindow=1&amp;tbm=isch","Еще фото")</f>
        <v>Еще фото</v>
      </c>
      <c r="F2481" s="14"/>
      <c r="G2481" s="24" t="s">
        <v>1534</v>
      </c>
      <c r="H2481" s="24" t="s">
        <v>27</v>
      </c>
      <c r="I2481" s="24" t="s">
        <v>2008</v>
      </c>
      <c r="J2481" s="15" t="s">
        <v>37</v>
      </c>
      <c r="K2481" s="16" t="s">
        <v>57</v>
      </c>
      <c r="L2481" s="61"/>
      <c r="M2481" s="15"/>
      <c r="N2481" s="15" t="s">
        <v>130</v>
      </c>
      <c r="O2481" s="15"/>
      <c r="P2481" s="16" t="s">
        <v>32</v>
      </c>
      <c r="Q2481" s="17">
        <v>5399</v>
      </c>
      <c r="R2481" s="18">
        <v>45</v>
      </c>
      <c r="S2481" s="19">
        <v>3414.8674999999994</v>
      </c>
      <c r="T2481" s="20" t="s">
        <v>33</v>
      </c>
      <c r="U2481" s="21" t="s">
        <v>34</v>
      </c>
      <c r="V2481" s="25" t="s">
        <v>90</v>
      </c>
      <c r="W2481" s="22">
        <v>2</v>
      </c>
      <c r="X2481" s="23"/>
    </row>
    <row r="2482" spans="1:24" s="1" customFormat="1" ht="37.049999999999997" customHeight="1" x14ac:dyDescent="0.3">
      <c r="A2482" s="24" t="s">
        <v>23</v>
      </c>
      <c r="B2482" s="24" t="s">
        <v>2374</v>
      </c>
      <c r="C2482" s="12" t="s">
        <v>2379</v>
      </c>
      <c r="D2482" s="59"/>
      <c r="E2482" s="43" t="str">
        <f>HYPERLINK("https://www.google.ru/search?q=87373-0461&amp;newwindow=1&amp;tbm=isch","Еще фото")</f>
        <v>Еще фото</v>
      </c>
      <c r="F2482" s="14"/>
      <c r="G2482" s="24" t="s">
        <v>1534</v>
      </c>
      <c r="H2482" s="24" t="s">
        <v>27</v>
      </c>
      <c r="I2482" s="24" t="s">
        <v>2008</v>
      </c>
      <c r="J2482" s="15" t="s">
        <v>37</v>
      </c>
      <c r="K2482" s="16" t="s">
        <v>57</v>
      </c>
      <c r="L2482" s="62"/>
      <c r="M2482" s="15"/>
      <c r="N2482" s="15" t="s">
        <v>130</v>
      </c>
      <c r="O2482" s="15"/>
      <c r="P2482" s="16" t="s">
        <v>32</v>
      </c>
      <c r="Q2482" s="17">
        <v>5399</v>
      </c>
      <c r="R2482" s="18">
        <v>45</v>
      </c>
      <c r="S2482" s="19">
        <v>3414.8674999999994</v>
      </c>
      <c r="T2482" s="20" t="s">
        <v>33</v>
      </c>
      <c r="U2482" s="21" t="s">
        <v>150</v>
      </c>
      <c r="V2482" s="25" t="s">
        <v>761</v>
      </c>
      <c r="W2482" s="22">
        <v>2</v>
      </c>
      <c r="X2482" s="23"/>
    </row>
    <row r="2483" spans="1:24" s="1" customFormat="1" ht="35" customHeight="1" x14ac:dyDescent="0.3">
      <c r="A2483" s="11" t="s">
        <v>23</v>
      </c>
      <c r="B2483" s="11" t="s">
        <v>2380</v>
      </c>
      <c r="C2483" s="12" t="s">
        <v>2381</v>
      </c>
      <c r="D2483" s="57"/>
      <c r="E2483" s="43" t="str">
        <f>HYPERLINK("https://www.google.ru/search?q=A0637-0001&amp;newwindow=1&amp;tbm=isch","Еще фото")</f>
        <v>Еще фото</v>
      </c>
      <c r="F2483" s="14" t="s">
        <v>854</v>
      </c>
      <c r="G2483" s="11" t="s">
        <v>1534</v>
      </c>
      <c r="H2483" s="11" t="s">
        <v>27</v>
      </c>
      <c r="I2483" s="15" t="s">
        <v>2008</v>
      </c>
      <c r="J2483" s="15" t="s">
        <v>28</v>
      </c>
      <c r="K2483" s="16" t="s">
        <v>57</v>
      </c>
      <c r="L2483" s="60" t="s">
        <v>2382</v>
      </c>
      <c r="M2483" s="15"/>
      <c r="N2483" s="15" t="s">
        <v>39</v>
      </c>
      <c r="O2483" s="15"/>
      <c r="P2483" s="16" t="s">
        <v>172</v>
      </c>
      <c r="Q2483" s="17">
        <v>5099</v>
      </c>
      <c r="R2483" s="18">
        <v>45</v>
      </c>
      <c r="S2483" s="19">
        <v>3225.1174999999994</v>
      </c>
      <c r="T2483" s="20" t="s">
        <v>33</v>
      </c>
      <c r="U2483" s="21" t="s">
        <v>61</v>
      </c>
      <c r="V2483" s="22">
        <v>44</v>
      </c>
      <c r="W2483" s="22">
        <v>1</v>
      </c>
      <c r="X2483" s="23"/>
    </row>
    <row r="2484" spans="1:24" s="1" customFormat="1" ht="35" customHeight="1" x14ac:dyDescent="0.3">
      <c r="A2484" s="24" t="s">
        <v>23</v>
      </c>
      <c r="B2484" s="24" t="s">
        <v>2380</v>
      </c>
      <c r="C2484" s="12" t="s">
        <v>2381</v>
      </c>
      <c r="D2484" s="58"/>
      <c r="E2484" s="43" t="str">
        <f>HYPERLINK("https://www.google.ru/search?q=A0637-0001&amp;newwindow=1&amp;tbm=isch","Еще фото")</f>
        <v>Еще фото</v>
      </c>
      <c r="F2484" s="14" t="s">
        <v>854</v>
      </c>
      <c r="G2484" s="24" t="s">
        <v>1534</v>
      </c>
      <c r="H2484" s="24" t="s">
        <v>27</v>
      </c>
      <c r="I2484" s="24" t="s">
        <v>2008</v>
      </c>
      <c r="J2484" s="15" t="s">
        <v>28</v>
      </c>
      <c r="K2484" s="16" t="s">
        <v>57</v>
      </c>
      <c r="L2484" s="61"/>
      <c r="M2484" s="15"/>
      <c r="N2484" s="15" t="s">
        <v>39</v>
      </c>
      <c r="O2484" s="15"/>
      <c r="P2484" s="16" t="s">
        <v>172</v>
      </c>
      <c r="Q2484" s="17">
        <v>5099</v>
      </c>
      <c r="R2484" s="18">
        <v>45</v>
      </c>
      <c r="S2484" s="19">
        <v>3225.1174999999994</v>
      </c>
      <c r="T2484" s="20" t="s">
        <v>33</v>
      </c>
      <c r="U2484" s="21" t="s">
        <v>64</v>
      </c>
      <c r="V2484" s="22">
        <v>48</v>
      </c>
      <c r="W2484" s="22">
        <v>14</v>
      </c>
      <c r="X2484" s="23"/>
    </row>
    <row r="2485" spans="1:24" s="1" customFormat="1" ht="37.049999999999997" customHeight="1" x14ac:dyDescent="0.3">
      <c r="A2485" s="24" t="s">
        <v>23</v>
      </c>
      <c r="B2485" s="24" t="s">
        <v>2380</v>
      </c>
      <c r="C2485" s="12" t="s">
        <v>2381</v>
      </c>
      <c r="D2485" s="59"/>
      <c r="E2485" s="43" t="str">
        <f>HYPERLINK("https://www.google.ru/search?q=A0637-0001&amp;newwindow=1&amp;tbm=isch","Еще фото")</f>
        <v>Еще фото</v>
      </c>
      <c r="F2485" s="14" t="s">
        <v>854</v>
      </c>
      <c r="G2485" s="24" t="s">
        <v>1534</v>
      </c>
      <c r="H2485" s="24" t="s">
        <v>27</v>
      </c>
      <c r="I2485" s="24" t="s">
        <v>2008</v>
      </c>
      <c r="J2485" s="15" t="s">
        <v>28</v>
      </c>
      <c r="K2485" s="16" t="s">
        <v>57</v>
      </c>
      <c r="L2485" s="62"/>
      <c r="M2485" s="15"/>
      <c r="N2485" s="15" t="s">
        <v>39</v>
      </c>
      <c r="O2485" s="15"/>
      <c r="P2485" s="16" t="s">
        <v>172</v>
      </c>
      <c r="Q2485" s="17">
        <v>5099</v>
      </c>
      <c r="R2485" s="18">
        <v>45</v>
      </c>
      <c r="S2485" s="19">
        <v>3225.1174999999994</v>
      </c>
      <c r="T2485" s="20" t="s">
        <v>33</v>
      </c>
      <c r="U2485" s="21" t="s">
        <v>150</v>
      </c>
      <c r="V2485" s="25" t="s">
        <v>761</v>
      </c>
      <c r="W2485" s="22">
        <v>1</v>
      </c>
      <c r="X2485" s="23"/>
    </row>
    <row r="2486" spans="1:24" s="1" customFormat="1" ht="26" customHeight="1" x14ac:dyDescent="0.3">
      <c r="A2486" s="11" t="s">
        <v>23</v>
      </c>
      <c r="B2486" s="11" t="s">
        <v>2383</v>
      </c>
      <c r="C2486" s="12" t="s">
        <v>2384</v>
      </c>
      <c r="D2486" s="57"/>
      <c r="E2486" s="43" t="str">
        <f>HYPERLINK("https://www.google.ru/search?q=A0637-0129&amp;newwindow=1&amp;tbm=isch","Еще фото")</f>
        <v>Еще фото</v>
      </c>
      <c r="F2486" s="34" t="s">
        <v>469</v>
      </c>
      <c r="G2486" s="11" t="s">
        <v>1534</v>
      </c>
      <c r="H2486" s="11" t="s">
        <v>27</v>
      </c>
      <c r="I2486" s="15" t="s">
        <v>2008</v>
      </c>
      <c r="J2486" s="15" t="s">
        <v>28</v>
      </c>
      <c r="K2486" s="16" t="s">
        <v>57</v>
      </c>
      <c r="L2486" s="60"/>
      <c r="M2486" s="15"/>
      <c r="N2486" s="15" t="s">
        <v>130</v>
      </c>
      <c r="O2486" s="15"/>
      <c r="P2486" s="16" t="s">
        <v>32</v>
      </c>
      <c r="Q2486" s="17">
        <v>4799</v>
      </c>
      <c r="R2486" s="18">
        <v>45</v>
      </c>
      <c r="S2486" s="19">
        <v>3035.3674999999994</v>
      </c>
      <c r="T2486" s="20" t="s">
        <v>33</v>
      </c>
      <c r="U2486" s="21" t="s">
        <v>61</v>
      </c>
      <c r="V2486" s="22">
        <v>44</v>
      </c>
      <c r="W2486" s="22">
        <v>1</v>
      </c>
      <c r="X2486" s="23"/>
    </row>
    <row r="2487" spans="1:24" s="1" customFormat="1" ht="26" customHeight="1" x14ac:dyDescent="0.3">
      <c r="A2487" s="24" t="s">
        <v>23</v>
      </c>
      <c r="B2487" s="24" t="s">
        <v>2383</v>
      </c>
      <c r="C2487" s="12" t="s">
        <v>2384</v>
      </c>
      <c r="D2487" s="58"/>
      <c r="E2487" s="43" t="str">
        <f>HYPERLINK("https://www.google.ru/search?q=A0637-0129&amp;newwindow=1&amp;tbm=isch","Еще фото")</f>
        <v>Еще фото</v>
      </c>
      <c r="F2487" s="34" t="s">
        <v>469</v>
      </c>
      <c r="G2487" s="24" t="s">
        <v>1534</v>
      </c>
      <c r="H2487" s="24" t="s">
        <v>27</v>
      </c>
      <c r="I2487" s="24" t="s">
        <v>2008</v>
      </c>
      <c r="J2487" s="15" t="s">
        <v>28</v>
      </c>
      <c r="K2487" s="16" t="s">
        <v>57</v>
      </c>
      <c r="L2487" s="61"/>
      <c r="M2487" s="15"/>
      <c r="N2487" s="15" t="s">
        <v>130</v>
      </c>
      <c r="O2487" s="15"/>
      <c r="P2487" s="16" t="s">
        <v>32</v>
      </c>
      <c r="Q2487" s="17">
        <v>4799</v>
      </c>
      <c r="R2487" s="18">
        <v>45</v>
      </c>
      <c r="S2487" s="19">
        <v>3035.3674999999994</v>
      </c>
      <c r="T2487" s="20" t="s">
        <v>33</v>
      </c>
      <c r="U2487" s="21" t="s">
        <v>62</v>
      </c>
      <c r="V2487" s="22">
        <v>46</v>
      </c>
      <c r="W2487" s="22">
        <v>7</v>
      </c>
      <c r="X2487" s="23"/>
    </row>
    <row r="2488" spans="1:24" s="1" customFormat="1" ht="26" customHeight="1" x14ac:dyDescent="0.3">
      <c r="A2488" s="24" t="s">
        <v>23</v>
      </c>
      <c r="B2488" s="24" t="s">
        <v>2383</v>
      </c>
      <c r="C2488" s="12" t="s">
        <v>2384</v>
      </c>
      <c r="D2488" s="58"/>
      <c r="E2488" s="43" t="str">
        <f>HYPERLINK("https://www.google.ru/search?q=A0637-0129&amp;newwindow=1&amp;tbm=isch","Еще фото")</f>
        <v>Еще фото</v>
      </c>
      <c r="F2488" s="34" t="s">
        <v>469</v>
      </c>
      <c r="G2488" s="24" t="s">
        <v>1534</v>
      </c>
      <c r="H2488" s="24" t="s">
        <v>27</v>
      </c>
      <c r="I2488" s="24" t="s">
        <v>2008</v>
      </c>
      <c r="J2488" s="15" t="s">
        <v>28</v>
      </c>
      <c r="K2488" s="16" t="s">
        <v>57</v>
      </c>
      <c r="L2488" s="61"/>
      <c r="M2488" s="15"/>
      <c r="N2488" s="15" t="s">
        <v>130</v>
      </c>
      <c r="O2488" s="15"/>
      <c r="P2488" s="16" t="s">
        <v>32</v>
      </c>
      <c r="Q2488" s="17">
        <v>4799</v>
      </c>
      <c r="R2488" s="18">
        <v>45</v>
      </c>
      <c r="S2488" s="19">
        <v>3035.3674999999994</v>
      </c>
      <c r="T2488" s="20" t="s">
        <v>33</v>
      </c>
      <c r="U2488" s="21" t="s">
        <v>64</v>
      </c>
      <c r="V2488" s="22">
        <v>48</v>
      </c>
      <c r="W2488" s="22">
        <v>15</v>
      </c>
      <c r="X2488" s="23"/>
    </row>
    <row r="2489" spans="1:24" s="1" customFormat="1" ht="26" customHeight="1" x14ac:dyDescent="0.3">
      <c r="A2489" s="24" t="s">
        <v>23</v>
      </c>
      <c r="B2489" s="24" t="s">
        <v>2383</v>
      </c>
      <c r="C2489" s="12" t="s">
        <v>2384</v>
      </c>
      <c r="D2489" s="59"/>
      <c r="E2489" s="43" t="str">
        <f>HYPERLINK("https://www.google.ru/search?q=A0637-0129&amp;newwindow=1&amp;tbm=isch","Еще фото")</f>
        <v>Еще фото</v>
      </c>
      <c r="F2489" s="34" t="s">
        <v>469</v>
      </c>
      <c r="G2489" s="24" t="s">
        <v>1534</v>
      </c>
      <c r="H2489" s="24" t="s">
        <v>27</v>
      </c>
      <c r="I2489" s="24" t="s">
        <v>2008</v>
      </c>
      <c r="J2489" s="15" t="s">
        <v>28</v>
      </c>
      <c r="K2489" s="16" t="s">
        <v>57</v>
      </c>
      <c r="L2489" s="62"/>
      <c r="M2489" s="15"/>
      <c r="N2489" s="15" t="s">
        <v>130</v>
      </c>
      <c r="O2489" s="15"/>
      <c r="P2489" s="16" t="s">
        <v>32</v>
      </c>
      <c r="Q2489" s="17">
        <v>4799</v>
      </c>
      <c r="R2489" s="18">
        <v>45</v>
      </c>
      <c r="S2489" s="19">
        <v>3035.3674999999994</v>
      </c>
      <c r="T2489" s="20" t="s">
        <v>33</v>
      </c>
      <c r="U2489" s="21" t="s">
        <v>34</v>
      </c>
      <c r="V2489" s="25" t="s">
        <v>90</v>
      </c>
      <c r="W2489" s="22">
        <v>15</v>
      </c>
      <c r="X2489" s="23"/>
    </row>
    <row r="2490" spans="1:24" s="1" customFormat="1" ht="108" customHeight="1" x14ac:dyDescent="0.3">
      <c r="A2490" s="11" t="s">
        <v>23</v>
      </c>
      <c r="B2490" s="11" t="s">
        <v>2385</v>
      </c>
      <c r="C2490" s="12" t="s">
        <v>2386</v>
      </c>
      <c r="D2490" s="13"/>
      <c r="E2490" s="43" t="str">
        <f>HYPERLINK("https://www.google.ru/search?q=A0637-0178&amp;newwindow=1&amp;tbm=isch","Еще фото")</f>
        <v>Еще фото</v>
      </c>
      <c r="F2490" s="34" t="s">
        <v>469</v>
      </c>
      <c r="G2490" s="11" t="s">
        <v>1534</v>
      </c>
      <c r="H2490" s="11" t="s">
        <v>27</v>
      </c>
      <c r="I2490" s="15" t="s">
        <v>2008</v>
      </c>
      <c r="J2490" s="15" t="s">
        <v>37</v>
      </c>
      <c r="K2490" s="16" t="s">
        <v>57</v>
      </c>
      <c r="L2490" s="15" t="s">
        <v>2032</v>
      </c>
      <c r="M2490" s="15"/>
      <c r="N2490" s="15" t="s">
        <v>59</v>
      </c>
      <c r="O2490" s="15"/>
      <c r="P2490" s="16" t="s">
        <v>32</v>
      </c>
      <c r="Q2490" s="17">
        <v>4599</v>
      </c>
      <c r="R2490" s="18">
        <v>45</v>
      </c>
      <c r="S2490" s="19">
        <v>2908.8674999999994</v>
      </c>
      <c r="T2490" s="20" t="s">
        <v>33</v>
      </c>
      <c r="U2490" s="21" t="s">
        <v>150</v>
      </c>
      <c r="V2490" s="25" t="s">
        <v>761</v>
      </c>
      <c r="W2490" s="22">
        <v>1</v>
      </c>
      <c r="X2490" s="23"/>
    </row>
    <row r="2491" spans="1:24" s="1" customFormat="1" ht="35" customHeight="1" x14ac:dyDescent="0.3">
      <c r="A2491" s="11" t="s">
        <v>23</v>
      </c>
      <c r="B2491" s="11" t="s">
        <v>2383</v>
      </c>
      <c r="C2491" s="12" t="s">
        <v>2387</v>
      </c>
      <c r="D2491" s="57"/>
      <c r="E2491" s="43" t="str">
        <f>HYPERLINK("https://www.google.ru/search?q=A0637-0199&amp;newwindow=1&amp;tbm=isch","Еще фото")</f>
        <v>Еще фото</v>
      </c>
      <c r="F2491" s="14"/>
      <c r="G2491" s="11" t="s">
        <v>1534</v>
      </c>
      <c r="H2491" s="11" t="s">
        <v>27</v>
      </c>
      <c r="I2491" s="15" t="s">
        <v>2008</v>
      </c>
      <c r="J2491" s="15" t="s">
        <v>37</v>
      </c>
      <c r="K2491" s="16" t="s">
        <v>57</v>
      </c>
      <c r="L2491" s="60"/>
      <c r="M2491" s="15"/>
      <c r="N2491" s="15" t="s">
        <v>87</v>
      </c>
      <c r="O2491" s="15"/>
      <c r="P2491" s="16" t="s">
        <v>32</v>
      </c>
      <c r="Q2491" s="17">
        <v>6099</v>
      </c>
      <c r="R2491" s="18">
        <v>45</v>
      </c>
      <c r="S2491" s="19">
        <v>3857.6174999999994</v>
      </c>
      <c r="T2491" s="20" t="s">
        <v>33</v>
      </c>
      <c r="U2491" s="21" t="s">
        <v>64</v>
      </c>
      <c r="V2491" s="22">
        <v>48</v>
      </c>
      <c r="W2491" s="22">
        <v>2</v>
      </c>
      <c r="X2491" s="23"/>
    </row>
    <row r="2492" spans="1:24" s="1" customFormat="1" ht="35" customHeight="1" x14ac:dyDescent="0.3">
      <c r="A2492" s="24" t="s">
        <v>23</v>
      </c>
      <c r="B2492" s="24" t="s">
        <v>2383</v>
      </c>
      <c r="C2492" s="12" t="s">
        <v>2387</v>
      </c>
      <c r="D2492" s="58"/>
      <c r="E2492" s="43" t="str">
        <f>HYPERLINK("https://www.google.ru/search?q=A0637-0199&amp;newwindow=1&amp;tbm=isch","Еще фото")</f>
        <v>Еще фото</v>
      </c>
      <c r="F2492" s="14"/>
      <c r="G2492" s="24" t="s">
        <v>1534</v>
      </c>
      <c r="H2492" s="24" t="s">
        <v>27</v>
      </c>
      <c r="I2492" s="24" t="s">
        <v>2008</v>
      </c>
      <c r="J2492" s="15" t="s">
        <v>37</v>
      </c>
      <c r="K2492" s="16" t="s">
        <v>57</v>
      </c>
      <c r="L2492" s="61"/>
      <c r="M2492" s="15"/>
      <c r="N2492" s="15" t="s">
        <v>87</v>
      </c>
      <c r="O2492" s="15"/>
      <c r="P2492" s="16" t="s">
        <v>32</v>
      </c>
      <c r="Q2492" s="17">
        <v>6099</v>
      </c>
      <c r="R2492" s="18">
        <v>45</v>
      </c>
      <c r="S2492" s="19">
        <v>3857.6174999999994</v>
      </c>
      <c r="T2492" s="20" t="s">
        <v>33</v>
      </c>
      <c r="U2492" s="21" t="s">
        <v>34</v>
      </c>
      <c r="V2492" s="25" t="s">
        <v>90</v>
      </c>
      <c r="W2492" s="22">
        <v>2</v>
      </c>
      <c r="X2492" s="23"/>
    </row>
    <row r="2493" spans="1:24" s="1" customFormat="1" ht="37.049999999999997" customHeight="1" x14ac:dyDescent="0.3">
      <c r="A2493" s="24" t="s">
        <v>23</v>
      </c>
      <c r="B2493" s="24" t="s">
        <v>2383</v>
      </c>
      <c r="C2493" s="12" t="s">
        <v>2387</v>
      </c>
      <c r="D2493" s="59"/>
      <c r="E2493" s="43" t="str">
        <f>HYPERLINK("https://www.google.ru/search?q=A0637-0199&amp;newwindow=1&amp;tbm=isch","Еще фото")</f>
        <v>Еще фото</v>
      </c>
      <c r="F2493" s="14"/>
      <c r="G2493" s="24" t="s">
        <v>1534</v>
      </c>
      <c r="H2493" s="24" t="s">
        <v>27</v>
      </c>
      <c r="I2493" s="24" t="s">
        <v>2008</v>
      </c>
      <c r="J2493" s="15" t="s">
        <v>37</v>
      </c>
      <c r="K2493" s="16" t="s">
        <v>57</v>
      </c>
      <c r="L2493" s="62"/>
      <c r="M2493" s="15"/>
      <c r="N2493" s="15" t="s">
        <v>87</v>
      </c>
      <c r="O2493" s="15"/>
      <c r="P2493" s="16" t="s">
        <v>32</v>
      </c>
      <c r="Q2493" s="17">
        <v>6099</v>
      </c>
      <c r="R2493" s="18">
        <v>45</v>
      </c>
      <c r="S2493" s="19">
        <v>3857.6174999999994</v>
      </c>
      <c r="T2493" s="20" t="s">
        <v>33</v>
      </c>
      <c r="U2493" s="21" t="s">
        <v>150</v>
      </c>
      <c r="V2493" s="25" t="s">
        <v>761</v>
      </c>
      <c r="W2493" s="22">
        <v>1</v>
      </c>
      <c r="X2493" s="23"/>
    </row>
    <row r="2494" spans="1:24" s="1" customFormat="1" ht="52.05" customHeight="1" x14ac:dyDescent="0.3">
      <c r="A2494" s="11" t="s">
        <v>23</v>
      </c>
      <c r="B2494" s="11" t="s">
        <v>2383</v>
      </c>
      <c r="C2494" s="12" t="s">
        <v>2388</v>
      </c>
      <c r="D2494" s="63"/>
      <c r="E2494" s="43" t="str">
        <f>HYPERLINK("https://www.google.ru/search?q=A0637-0217&amp;newwindow=1&amp;tbm=isch","Еще фото")</f>
        <v>Еще фото</v>
      </c>
      <c r="F2494" s="14"/>
      <c r="G2494" s="11" t="s">
        <v>1534</v>
      </c>
      <c r="H2494" s="11" t="s">
        <v>27</v>
      </c>
      <c r="I2494" s="15" t="s">
        <v>2008</v>
      </c>
      <c r="J2494" s="15" t="s">
        <v>37</v>
      </c>
      <c r="K2494" s="16" t="s">
        <v>57</v>
      </c>
      <c r="L2494" s="60"/>
      <c r="M2494" s="15"/>
      <c r="N2494" s="15" t="s">
        <v>1974</v>
      </c>
      <c r="O2494" s="15"/>
      <c r="P2494" s="16" t="s">
        <v>32</v>
      </c>
      <c r="Q2494" s="17">
        <v>5399</v>
      </c>
      <c r="R2494" s="18">
        <v>45</v>
      </c>
      <c r="S2494" s="19">
        <v>3414.8674999999994</v>
      </c>
      <c r="T2494" s="20" t="s">
        <v>33</v>
      </c>
      <c r="U2494" s="21" t="s">
        <v>64</v>
      </c>
      <c r="V2494" s="22">
        <v>48</v>
      </c>
      <c r="W2494" s="22">
        <v>2</v>
      </c>
      <c r="X2494" s="23"/>
    </row>
    <row r="2495" spans="1:24" s="1" customFormat="1" ht="61.05" customHeight="1" x14ac:dyDescent="0.3">
      <c r="A2495" s="24" t="s">
        <v>23</v>
      </c>
      <c r="B2495" s="24" t="s">
        <v>2383</v>
      </c>
      <c r="C2495" s="12" t="s">
        <v>2388</v>
      </c>
      <c r="D2495" s="64"/>
      <c r="E2495" s="43" t="str">
        <f>HYPERLINK("https://www.google.ru/search?q=A0637-0217&amp;newwindow=1&amp;tbm=isch","Еще фото")</f>
        <v>Еще фото</v>
      </c>
      <c r="F2495" s="14"/>
      <c r="G2495" s="24" t="s">
        <v>1534</v>
      </c>
      <c r="H2495" s="24" t="s">
        <v>27</v>
      </c>
      <c r="I2495" s="24" t="s">
        <v>2008</v>
      </c>
      <c r="J2495" s="15" t="s">
        <v>37</v>
      </c>
      <c r="K2495" s="16" t="s">
        <v>57</v>
      </c>
      <c r="L2495" s="62"/>
      <c r="M2495" s="15"/>
      <c r="N2495" s="15" t="s">
        <v>1974</v>
      </c>
      <c r="O2495" s="15"/>
      <c r="P2495" s="16" t="s">
        <v>32</v>
      </c>
      <c r="Q2495" s="17">
        <v>5399</v>
      </c>
      <c r="R2495" s="18">
        <v>45</v>
      </c>
      <c r="S2495" s="19">
        <v>3414.8674999999994</v>
      </c>
      <c r="T2495" s="20" t="s">
        <v>33</v>
      </c>
      <c r="U2495" s="21" t="s">
        <v>34</v>
      </c>
      <c r="V2495" s="25" t="s">
        <v>90</v>
      </c>
      <c r="W2495" s="22">
        <v>2</v>
      </c>
      <c r="X2495" s="23"/>
    </row>
    <row r="2496" spans="1:24" s="1" customFormat="1" ht="26" customHeight="1" x14ac:dyDescent="0.3">
      <c r="A2496" s="11" t="s">
        <v>23</v>
      </c>
      <c r="B2496" s="11" t="s">
        <v>2389</v>
      </c>
      <c r="C2496" s="12" t="s">
        <v>2390</v>
      </c>
      <c r="D2496" s="57"/>
      <c r="E2496" s="43" t="str">
        <f>HYPERLINK("https://www.google.ru/search?q=A2082-0382&amp;newwindow=1&amp;tbm=isch","Еще фото")</f>
        <v>Еще фото</v>
      </c>
      <c r="F2496" s="34" t="s">
        <v>469</v>
      </c>
      <c r="G2496" s="11" t="s">
        <v>1534</v>
      </c>
      <c r="H2496" s="11" t="s">
        <v>27</v>
      </c>
      <c r="I2496" s="15" t="s">
        <v>2008</v>
      </c>
      <c r="J2496" s="15" t="s">
        <v>37</v>
      </c>
      <c r="K2496" s="16" t="s">
        <v>57</v>
      </c>
      <c r="L2496" s="60"/>
      <c r="M2496" s="15"/>
      <c r="N2496" s="15" t="s">
        <v>31</v>
      </c>
      <c r="O2496" s="15"/>
      <c r="P2496" s="16" t="s">
        <v>32</v>
      </c>
      <c r="Q2496" s="17">
        <v>5399</v>
      </c>
      <c r="R2496" s="18">
        <v>45</v>
      </c>
      <c r="S2496" s="19">
        <v>3414.8674999999994</v>
      </c>
      <c r="T2496" s="20" t="s">
        <v>33</v>
      </c>
      <c r="U2496" s="21" t="s">
        <v>62</v>
      </c>
      <c r="V2496" s="22">
        <v>46</v>
      </c>
      <c r="W2496" s="22">
        <v>2</v>
      </c>
      <c r="X2496" s="23"/>
    </row>
    <row r="2497" spans="1:24" s="1" customFormat="1" ht="26" customHeight="1" x14ac:dyDescent="0.3">
      <c r="A2497" s="24" t="s">
        <v>23</v>
      </c>
      <c r="B2497" s="24" t="s">
        <v>2389</v>
      </c>
      <c r="C2497" s="12" t="s">
        <v>2390</v>
      </c>
      <c r="D2497" s="58"/>
      <c r="E2497" s="43" t="str">
        <f>HYPERLINK("https://www.google.ru/search?q=A2082-0382&amp;newwindow=1&amp;tbm=isch","Еще фото")</f>
        <v>Еще фото</v>
      </c>
      <c r="F2497" s="34" t="s">
        <v>469</v>
      </c>
      <c r="G2497" s="24" t="s">
        <v>1534</v>
      </c>
      <c r="H2497" s="24" t="s">
        <v>27</v>
      </c>
      <c r="I2497" s="24" t="s">
        <v>2008</v>
      </c>
      <c r="J2497" s="15" t="s">
        <v>37</v>
      </c>
      <c r="K2497" s="16" t="s">
        <v>57</v>
      </c>
      <c r="L2497" s="61"/>
      <c r="M2497" s="15"/>
      <c r="N2497" s="15" t="s">
        <v>31</v>
      </c>
      <c r="O2497" s="15"/>
      <c r="P2497" s="16" t="s">
        <v>32</v>
      </c>
      <c r="Q2497" s="17">
        <v>5399</v>
      </c>
      <c r="R2497" s="18">
        <v>45</v>
      </c>
      <c r="S2497" s="19">
        <v>3414.8674999999994</v>
      </c>
      <c r="T2497" s="20" t="s">
        <v>33</v>
      </c>
      <c r="U2497" s="21" t="s">
        <v>64</v>
      </c>
      <c r="V2497" s="22">
        <v>48</v>
      </c>
      <c r="W2497" s="22">
        <v>6</v>
      </c>
      <c r="X2497" s="23"/>
    </row>
    <row r="2498" spans="1:24" s="1" customFormat="1" ht="26" customHeight="1" x14ac:dyDescent="0.3">
      <c r="A2498" s="24" t="s">
        <v>23</v>
      </c>
      <c r="B2498" s="24" t="s">
        <v>2389</v>
      </c>
      <c r="C2498" s="12" t="s">
        <v>2390</v>
      </c>
      <c r="D2498" s="58"/>
      <c r="E2498" s="43" t="str">
        <f>HYPERLINK("https://www.google.ru/search?q=A2082-0382&amp;newwindow=1&amp;tbm=isch","Еще фото")</f>
        <v>Еще фото</v>
      </c>
      <c r="F2498" s="34" t="s">
        <v>469</v>
      </c>
      <c r="G2498" s="24" t="s">
        <v>1534</v>
      </c>
      <c r="H2498" s="24" t="s">
        <v>27</v>
      </c>
      <c r="I2498" s="24" t="s">
        <v>2008</v>
      </c>
      <c r="J2498" s="15" t="s">
        <v>37</v>
      </c>
      <c r="K2498" s="16" t="s">
        <v>57</v>
      </c>
      <c r="L2498" s="61"/>
      <c r="M2498" s="15"/>
      <c r="N2498" s="15" t="s">
        <v>31</v>
      </c>
      <c r="O2498" s="15"/>
      <c r="P2498" s="16" t="s">
        <v>32</v>
      </c>
      <c r="Q2498" s="17">
        <v>5399</v>
      </c>
      <c r="R2498" s="18">
        <v>45</v>
      </c>
      <c r="S2498" s="19">
        <v>3414.8674999999994</v>
      </c>
      <c r="T2498" s="20" t="s">
        <v>33</v>
      </c>
      <c r="U2498" s="21" t="s">
        <v>34</v>
      </c>
      <c r="V2498" s="25" t="s">
        <v>90</v>
      </c>
      <c r="W2498" s="22">
        <v>4</v>
      </c>
      <c r="X2498" s="23"/>
    </row>
    <row r="2499" spans="1:24" s="1" customFormat="1" ht="26" customHeight="1" x14ac:dyDescent="0.3">
      <c r="A2499" s="24" t="s">
        <v>23</v>
      </c>
      <c r="B2499" s="24" t="s">
        <v>2389</v>
      </c>
      <c r="C2499" s="12" t="s">
        <v>2390</v>
      </c>
      <c r="D2499" s="59"/>
      <c r="E2499" s="43" t="str">
        <f>HYPERLINK("https://www.google.ru/search?q=A2082-0382&amp;newwindow=1&amp;tbm=isch","Еще фото")</f>
        <v>Еще фото</v>
      </c>
      <c r="F2499" s="34" t="s">
        <v>469</v>
      </c>
      <c r="G2499" s="24" t="s">
        <v>1534</v>
      </c>
      <c r="H2499" s="24" t="s">
        <v>27</v>
      </c>
      <c r="I2499" s="24" t="s">
        <v>2008</v>
      </c>
      <c r="J2499" s="15" t="s">
        <v>37</v>
      </c>
      <c r="K2499" s="16" t="s">
        <v>57</v>
      </c>
      <c r="L2499" s="62"/>
      <c r="M2499" s="15"/>
      <c r="N2499" s="15" t="s">
        <v>31</v>
      </c>
      <c r="O2499" s="15"/>
      <c r="P2499" s="16" t="s">
        <v>32</v>
      </c>
      <c r="Q2499" s="17">
        <v>5399</v>
      </c>
      <c r="R2499" s="18">
        <v>45</v>
      </c>
      <c r="S2499" s="19">
        <v>3414.8674999999994</v>
      </c>
      <c r="T2499" s="20" t="s">
        <v>33</v>
      </c>
      <c r="U2499" s="21" t="s">
        <v>150</v>
      </c>
      <c r="V2499" s="25" t="s">
        <v>761</v>
      </c>
      <c r="W2499" s="22">
        <v>2</v>
      </c>
      <c r="X2499" s="23"/>
    </row>
    <row r="2500" spans="1:24" s="1" customFormat="1" ht="26" customHeight="1" x14ac:dyDescent="0.3">
      <c r="A2500" s="11" t="s">
        <v>23</v>
      </c>
      <c r="B2500" s="11" t="s">
        <v>2391</v>
      </c>
      <c r="C2500" s="12" t="s">
        <v>2392</v>
      </c>
      <c r="D2500" s="57"/>
      <c r="E2500" s="43" t="str">
        <f>HYPERLINK("https://www.google.ru/search?q=A2435-0085&amp;newwindow=1&amp;tbm=isch","Еще фото")</f>
        <v>Еще фото</v>
      </c>
      <c r="F2500" s="34" t="s">
        <v>469</v>
      </c>
      <c r="G2500" s="11" t="s">
        <v>1534</v>
      </c>
      <c r="H2500" s="11" t="s">
        <v>27</v>
      </c>
      <c r="I2500" s="15" t="s">
        <v>2008</v>
      </c>
      <c r="J2500" s="15" t="s">
        <v>37</v>
      </c>
      <c r="K2500" s="16" t="s">
        <v>29</v>
      </c>
      <c r="L2500" s="60"/>
      <c r="M2500" s="15"/>
      <c r="N2500" s="15" t="s">
        <v>39</v>
      </c>
      <c r="O2500" s="15"/>
      <c r="P2500" s="16" t="s">
        <v>32</v>
      </c>
      <c r="Q2500" s="17">
        <v>4499</v>
      </c>
      <c r="R2500" s="18">
        <v>45</v>
      </c>
      <c r="S2500" s="19">
        <v>2845.6174999999994</v>
      </c>
      <c r="T2500" s="20" t="s">
        <v>33</v>
      </c>
      <c r="U2500" s="21" t="s">
        <v>1885</v>
      </c>
      <c r="V2500" s="25" t="s">
        <v>90</v>
      </c>
      <c r="W2500" s="22">
        <v>20</v>
      </c>
      <c r="X2500" s="23"/>
    </row>
    <row r="2501" spans="1:24" s="1" customFormat="1" ht="26" customHeight="1" x14ac:dyDescent="0.3">
      <c r="A2501" s="24" t="s">
        <v>23</v>
      </c>
      <c r="B2501" s="24" t="s">
        <v>2391</v>
      </c>
      <c r="C2501" s="12" t="s">
        <v>2392</v>
      </c>
      <c r="D2501" s="58"/>
      <c r="E2501" s="43" t="str">
        <f>HYPERLINK("https://www.google.ru/search?q=A2435-0085&amp;newwindow=1&amp;tbm=isch","Еще фото")</f>
        <v>Еще фото</v>
      </c>
      <c r="F2501" s="34" t="s">
        <v>469</v>
      </c>
      <c r="G2501" s="24" t="s">
        <v>1534</v>
      </c>
      <c r="H2501" s="24" t="s">
        <v>27</v>
      </c>
      <c r="I2501" s="24" t="s">
        <v>2008</v>
      </c>
      <c r="J2501" s="15" t="s">
        <v>37</v>
      </c>
      <c r="K2501" s="16" t="s">
        <v>29</v>
      </c>
      <c r="L2501" s="61"/>
      <c r="M2501" s="15"/>
      <c r="N2501" s="15" t="s">
        <v>39</v>
      </c>
      <c r="O2501" s="15"/>
      <c r="P2501" s="16" t="s">
        <v>32</v>
      </c>
      <c r="Q2501" s="17">
        <v>4499</v>
      </c>
      <c r="R2501" s="18">
        <v>45</v>
      </c>
      <c r="S2501" s="19">
        <v>2845.6174999999994</v>
      </c>
      <c r="T2501" s="20" t="s">
        <v>33</v>
      </c>
      <c r="U2501" s="21" t="s">
        <v>1886</v>
      </c>
      <c r="V2501" s="25" t="s">
        <v>761</v>
      </c>
      <c r="W2501" s="22">
        <v>20</v>
      </c>
      <c r="X2501" s="23"/>
    </row>
    <row r="2502" spans="1:24" s="1" customFormat="1" ht="26" customHeight="1" x14ac:dyDescent="0.3">
      <c r="A2502" s="24" t="s">
        <v>23</v>
      </c>
      <c r="B2502" s="24" t="s">
        <v>2391</v>
      </c>
      <c r="C2502" s="12" t="s">
        <v>2392</v>
      </c>
      <c r="D2502" s="58"/>
      <c r="E2502" s="43" t="str">
        <f>HYPERLINK("https://www.google.ru/search?q=A2435-0085&amp;newwindow=1&amp;tbm=isch","Еще фото")</f>
        <v>Еще фото</v>
      </c>
      <c r="F2502" s="34" t="s">
        <v>469</v>
      </c>
      <c r="G2502" s="24" t="s">
        <v>1534</v>
      </c>
      <c r="H2502" s="24" t="s">
        <v>27</v>
      </c>
      <c r="I2502" s="24" t="s">
        <v>2008</v>
      </c>
      <c r="J2502" s="15" t="s">
        <v>37</v>
      </c>
      <c r="K2502" s="16" t="s">
        <v>29</v>
      </c>
      <c r="L2502" s="61"/>
      <c r="M2502" s="15"/>
      <c r="N2502" s="15" t="s">
        <v>39</v>
      </c>
      <c r="O2502" s="15"/>
      <c r="P2502" s="16" t="s">
        <v>32</v>
      </c>
      <c r="Q2502" s="17">
        <v>4499</v>
      </c>
      <c r="R2502" s="18">
        <v>45</v>
      </c>
      <c r="S2502" s="19">
        <v>2845.6174999999994</v>
      </c>
      <c r="T2502" s="20" t="s">
        <v>33</v>
      </c>
      <c r="U2502" s="21" t="s">
        <v>1887</v>
      </c>
      <c r="V2502" s="25" t="s">
        <v>538</v>
      </c>
      <c r="W2502" s="22">
        <v>10</v>
      </c>
      <c r="X2502" s="23"/>
    </row>
    <row r="2503" spans="1:24" s="1" customFormat="1" ht="26" customHeight="1" x14ac:dyDescent="0.3">
      <c r="A2503" s="24" t="s">
        <v>23</v>
      </c>
      <c r="B2503" s="24" t="s">
        <v>2391</v>
      </c>
      <c r="C2503" s="12" t="s">
        <v>2392</v>
      </c>
      <c r="D2503" s="59"/>
      <c r="E2503" s="43" t="str">
        <f>HYPERLINK("https://www.google.ru/search?q=A2435-0085&amp;newwindow=1&amp;tbm=isch","Еще фото")</f>
        <v>Еще фото</v>
      </c>
      <c r="F2503" s="34" t="s">
        <v>469</v>
      </c>
      <c r="G2503" s="24" t="s">
        <v>1534</v>
      </c>
      <c r="H2503" s="24" t="s">
        <v>27</v>
      </c>
      <c r="I2503" s="24" t="s">
        <v>2008</v>
      </c>
      <c r="J2503" s="15" t="s">
        <v>37</v>
      </c>
      <c r="K2503" s="16" t="s">
        <v>29</v>
      </c>
      <c r="L2503" s="62"/>
      <c r="M2503" s="15"/>
      <c r="N2503" s="15" t="s">
        <v>39</v>
      </c>
      <c r="O2503" s="15"/>
      <c r="P2503" s="16" t="s">
        <v>32</v>
      </c>
      <c r="Q2503" s="17">
        <v>4499</v>
      </c>
      <c r="R2503" s="18">
        <v>45</v>
      </c>
      <c r="S2503" s="19">
        <v>2845.6174999999994</v>
      </c>
      <c r="T2503" s="20" t="s">
        <v>33</v>
      </c>
      <c r="U2503" s="21" t="s">
        <v>1888</v>
      </c>
      <c r="V2503" s="25" t="s">
        <v>1040</v>
      </c>
      <c r="W2503" s="22">
        <v>10</v>
      </c>
      <c r="X2503" s="23"/>
    </row>
    <row r="2504" spans="1:24" s="1" customFormat="1" ht="26" customHeight="1" x14ac:dyDescent="0.3">
      <c r="A2504" s="11" t="s">
        <v>23</v>
      </c>
      <c r="B2504" s="11" t="s">
        <v>2391</v>
      </c>
      <c r="C2504" s="12" t="s">
        <v>2393</v>
      </c>
      <c r="D2504" s="57"/>
      <c r="E2504" s="43" t="str">
        <f>HYPERLINK("https://www.google.ru/search?q=A2435-0087&amp;newwindow=1&amp;tbm=isch","Еще фото")</f>
        <v>Еще фото</v>
      </c>
      <c r="F2504" s="14"/>
      <c r="G2504" s="11" t="s">
        <v>1534</v>
      </c>
      <c r="H2504" s="11" t="s">
        <v>27</v>
      </c>
      <c r="I2504" s="15" t="s">
        <v>2008</v>
      </c>
      <c r="J2504" s="15" t="s">
        <v>37</v>
      </c>
      <c r="K2504" s="16" t="s">
        <v>29</v>
      </c>
      <c r="L2504" s="60" t="s">
        <v>2394</v>
      </c>
      <c r="M2504" s="15"/>
      <c r="N2504" s="15" t="s">
        <v>39</v>
      </c>
      <c r="O2504" s="15"/>
      <c r="P2504" s="16" t="s">
        <v>32</v>
      </c>
      <c r="Q2504" s="17">
        <v>4199</v>
      </c>
      <c r="R2504" s="18">
        <v>45</v>
      </c>
      <c r="S2504" s="19">
        <v>2655.8674999999994</v>
      </c>
      <c r="T2504" s="20" t="s">
        <v>75</v>
      </c>
      <c r="U2504" s="21" t="s">
        <v>1885</v>
      </c>
      <c r="V2504" s="25" t="s">
        <v>90</v>
      </c>
      <c r="W2504" s="22">
        <v>15</v>
      </c>
      <c r="X2504" s="23"/>
    </row>
    <row r="2505" spans="1:24" s="1" customFormat="1" ht="26" customHeight="1" x14ac:dyDescent="0.3">
      <c r="A2505" s="24" t="s">
        <v>23</v>
      </c>
      <c r="B2505" s="24" t="s">
        <v>2391</v>
      </c>
      <c r="C2505" s="12" t="s">
        <v>2393</v>
      </c>
      <c r="D2505" s="58"/>
      <c r="E2505" s="43" t="str">
        <f>HYPERLINK("https://www.google.ru/search?q=A2435-0087&amp;newwindow=1&amp;tbm=isch","Еще фото")</f>
        <v>Еще фото</v>
      </c>
      <c r="F2505" s="14"/>
      <c r="G2505" s="24" t="s">
        <v>1534</v>
      </c>
      <c r="H2505" s="24" t="s">
        <v>27</v>
      </c>
      <c r="I2505" s="24" t="s">
        <v>2008</v>
      </c>
      <c r="J2505" s="15" t="s">
        <v>37</v>
      </c>
      <c r="K2505" s="16" t="s">
        <v>29</v>
      </c>
      <c r="L2505" s="61"/>
      <c r="M2505" s="15"/>
      <c r="N2505" s="15" t="s">
        <v>39</v>
      </c>
      <c r="O2505" s="15"/>
      <c r="P2505" s="16" t="s">
        <v>32</v>
      </c>
      <c r="Q2505" s="17">
        <v>4199</v>
      </c>
      <c r="R2505" s="18">
        <v>45</v>
      </c>
      <c r="S2505" s="19">
        <v>2655.8674999999994</v>
      </c>
      <c r="T2505" s="20" t="s">
        <v>75</v>
      </c>
      <c r="U2505" s="21" t="s">
        <v>1886</v>
      </c>
      <c r="V2505" s="25" t="s">
        <v>761</v>
      </c>
      <c r="W2505" s="22">
        <v>5</v>
      </c>
      <c r="X2505" s="23"/>
    </row>
    <row r="2506" spans="1:24" s="1" customFormat="1" ht="26" customHeight="1" x14ac:dyDescent="0.3">
      <c r="A2506" s="24" t="s">
        <v>23</v>
      </c>
      <c r="B2506" s="24" t="s">
        <v>2391</v>
      </c>
      <c r="C2506" s="12" t="s">
        <v>2393</v>
      </c>
      <c r="D2506" s="58"/>
      <c r="E2506" s="43" t="str">
        <f>HYPERLINK("https://www.google.ru/search?q=A2435-0087&amp;newwindow=1&amp;tbm=isch","Еще фото")</f>
        <v>Еще фото</v>
      </c>
      <c r="F2506" s="14"/>
      <c r="G2506" s="24" t="s">
        <v>1534</v>
      </c>
      <c r="H2506" s="24" t="s">
        <v>27</v>
      </c>
      <c r="I2506" s="24" t="s">
        <v>2008</v>
      </c>
      <c r="J2506" s="15" t="s">
        <v>37</v>
      </c>
      <c r="K2506" s="16" t="s">
        <v>29</v>
      </c>
      <c r="L2506" s="61"/>
      <c r="M2506" s="15"/>
      <c r="N2506" s="15" t="s">
        <v>39</v>
      </c>
      <c r="O2506" s="15"/>
      <c r="P2506" s="16" t="s">
        <v>32</v>
      </c>
      <c r="Q2506" s="17">
        <v>4199</v>
      </c>
      <c r="R2506" s="18">
        <v>45</v>
      </c>
      <c r="S2506" s="19">
        <v>2655.8674999999994</v>
      </c>
      <c r="T2506" s="20" t="s">
        <v>75</v>
      </c>
      <c r="U2506" s="21" t="s">
        <v>1887</v>
      </c>
      <c r="V2506" s="25" t="s">
        <v>538</v>
      </c>
      <c r="W2506" s="22">
        <v>6</v>
      </c>
      <c r="X2506" s="23"/>
    </row>
    <row r="2507" spans="1:24" s="1" customFormat="1" ht="26" customHeight="1" x14ac:dyDescent="0.3">
      <c r="A2507" s="24" t="s">
        <v>23</v>
      </c>
      <c r="B2507" s="24" t="s">
        <v>2391</v>
      </c>
      <c r="C2507" s="12" t="s">
        <v>2393</v>
      </c>
      <c r="D2507" s="59"/>
      <c r="E2507" s="43" t="str">
        <f>HYPERLINK("https://www.google.ru/search?q=A2435-0087&amp;newwindow=1&amp;tbm=isch","Еще фото")</f>
        <v>Еще фото</v>
      </c>
      <c r="F2507" s="14"/>
      <c r="G2507" s="24" t="s">
        <v>1534</v>
      </c>
      <c r="H2507" s="24" t="s">
        <v>27</v>
      </c>
      <c r="I2507" s="24" t="s">
        <v>2008</v>
      </c>
      <c r="J2507" s="15" t="s">
        <v>37</v>
      </c>
      <c r="K2507" s="16" t="s">
        <v>29</v>
      </c>
      <c r="L2507" s="62"/>
      <c r="M2507" s="15"/>
      <c r="N2507" s="15" t="s">
        <v>39</v>
      </c>
      <c r="O2507" s="15"/>
      <c r="P2507" s="16" t="s">
        <v>32</v>
      </c>
      <c r="Q2507" s="17">
        <v>4199</v>
      </c>
      <c r="R2507" s="18">
        <v>45</v>
      </c>
      <c r="S2507" s="19">
        <v>2655.8674999999994</v>
      </c>
      <c r="T2507" s="20" t="s">
        <v>75</v>
      </c>
      <c r="U2507" s="21" t="s">
        <v>1888</v>
      </c>
      <c r="V2507" s="25" t="s">
        <v>1040</v>
      </c>
      <c r="W2507" s="22">
        <v>7</v>
      </c>
      <c r="X2507" s="23"/>
    </row>
    <row r="2508" spans="1:24" s="1" customFormat="1" ht="52.05" customHeight="1" x14ac:dyDescent="0.3">
      <c r="A2508" s="11" t="s">
        <v>23</v>
      </c>
      <c r="B2508" s="11" t="s">
        <v>2395</v>
      </c>
      <c r="C2508" s="12" t="s">
        <v>2396</v>
      </c>
      <c r="D2508" s="63"/>
      <c r="E2508" s="43" t="str">
        <f>HYPERLINK("https://www.google.ru/search?q=A3381-0000&amp;newwindow=1&amp;tbm=isch","Еще фото")</f>
        <v>Еще фото</v>
      </c>
      <c r="F2508" s="14"/>
      <c r="G2508" s="11" t="s">
        <v>2095</v>
      </c>
      <c r="H2508" s="11" t="s">
        <v>27</v>
      </c>
      <c r="I2508" s="15" t="s">
        <v>2008</v>
      </c>
      <c r="J2508" s="15" t="s">
        <v>28</v>
      </c>
      <c r="K2508" s="16" t="s">
        <v>29</v>
      </c>
      <c r="L2508" s="60" t="s">
        <v>2397</v>
      </c>
      <c r="M2508" s="15"/>
      <c r="N2508" s="15" t="s">
        <v>31</v>
      </c>
      <c r="O2508" s="15"/>
      <c r="P2508" s="16" t="s">
        <v>32</v>
      </c>
      <c r="Q2508" s="17">
        <v>4099</v>
      </c>
      <c r="R2508" s="18">
        <v>45</v>
      </c>
      <c r="S2508" s="19">
        <v>2592.6174999999994</v>
      </c>
      <c r="T2508" s="20" t="s">
        <v>33</v>
      </c>
      <c r="U2508" s="21" t="s">
        <v>64</v>
      </c>
      <c r="V2508" s="22">
        <v>46</v>
      </c>
      <c r="W2508" s="22">
        <v>4</v>
      </c>
      <c r="X2508" s="23"/>
    </row>
    <row r="2509" spans="1:24" s="1" customFormat="1" ht="61.05" customHeight="1" x14ac:dyDescent="0.3">
      <c r="A2509" s="24" t="s">
        <v>23</v>
      </c>
      <c r="B2509" s="24" t="s">
        <v>2395</v>
      </c>
      <c r="C2509" s="12" t="s">
        <v>2396</v>
      </c>
      <c r="D2509" s="64"/>
      <c r="E2509" s="43" t="str">
        <f>HYPERLINK("https://www.google.ru/search?q=A3381-0000&amp;newwindow=1&amp;tbm=isch","Еще фото")</f>
        <v>Еще фото</v>
      </c>
      <c r="F2509" s="14"/>
      <c r="G2509" s="24" t="s">
        <v>2095</v>
      </c>
      <c r="H2509" s="24" t="s">
        <v>27</v>
      </c>
      <c r="I2509" s="24" t="s">
        <v>2008</v>
      </c>
      <c r="J2509" s="15" t="s">
        <v>28</v>
      </c>
      <c r="K2509" s="16" t="s">
        <v>29</v>
      </c>
      <c r="L2509" s="62"/>
      <c r="M2509" s="15"/>
      <c r="N2509" s="15" t="s">
        <v>31</v>
      </c>
      <c r="O2509" s="15"/>
      <c r="P2509" s="16" t="s">
        <v>32</v>
      </c>
      <c r="Q2509" s="17">
        <v>4099</v>
      </c>
      <c r="R2509" s="18">
        <v>45</v>
      </c>
      <c r="S2509" s="19">
        <v>2592.6174999999994</v>
      </c>
      <c r="T2509" s="20" t="s">
        <v>33</v>
      </c>
      <c r="U2509" s="21" t="s">
        <v>34</v>
      </c>
      <c r="V2509" s="22">
        <v>48</v>
      </c>
      <c r="W2509" s="22">
        <v>8</v>
      </c>
      <c r="X2509" s="23"/>
    </row>
    <row r="2510" spans="1:24" s="1" customFormat="1" ht="52.05" customHeight="1" x14ac:dyDescent="0.3">
      <c r="A2510" s="11" t="s">
        <v>23</v>
      </c>
      <c r="B2510" s="11" t="s">
        <v>2398</v>
      </c>
      <c r="C2510" s="12" t="s">
        <v>2399</v>
      </c>
      <c r="D2510" s="63"/>
      <c r="E2510" s="43" t="str">
        <f>HYPERLINK("https://www.google.ru/search?q=A3519-0063&amp;newwindow=1&amp;tbm=isch","Еще фото")</f>
        <v>Еще фото</v>
      </c>
      <c r="F2510" s="14"/>
      <c r="G2510" s="11" t="s">
        <v>1534</v>
      </c>
      <c r="H2510" s="11" t="s">
        <v>27</v>
      </c>
      <c r="I2510" s="15" t="s">
        <v>2008</v>
      </c>
      <c r="J2510" s="15" t="s">
        <v>37</v>
      </c>
      <c r="K2510" s="16" t="s">
        <v>29</v>
      </c>
      <c r="L2510" s="60" t="s">
        <v>2400</v>
      </c>
      <c r="M2510" s="15"/>
      <c r="N2510" s="15" t="s">
        <v>130</v>
      </c>
      <c r="O2510" s="15"/>
      <c r="P2510" s="16" t="s">
        <v>32</v>
      </c>
      <c r="Q2510" s="17">
        <v>3399</v>
      </c>
      <c r="R2510" s="18">
        <v>45</v>
      </c>
      <c r="S2510" s="19">
        <v>2149.8674999999998</v>
      </c>
      <c r="T2510" s="20" t="s">
        <v>33</v>
      </c>
      <c r="U2510" s="21" t="s">
        <v>64</v>
      </c>
      <c r="V2510" s="22">
        <v>46</v>
      </c>
      <c r="W2510" s="22">
        <v>1</v>
      </c>
      <c r="X2510" s="23"/>
    </row>
    <row r="2511" spans="1:24" s="1" customFormat="1" ht="61.05" customHeight="1" x14ac:dyDescent="0.3">
      <c r="A2511" s="24" t="s">
        <v>23</v>
      </c>
      <c r="B2511" s="24" t="s">
        <v>2398</v>
      </c>
      <c r="C2511" s="12" t="s">
        <v>2399</v>
      </c>
      <c r="D2511" s="64"/>
      <c r="E2511" s="43" t="str">
        <f>HYPERLINK("https://www.google.ru/search?q=A3519-0063&amp;newwindow=1&amp;tbm=isch","Еще фото")</f>
        <v>Еще фото</v>
      </c>
      <c r="F2511" s="14"/>
      <c r="G2511" s="24" t="s">
        <v>1534</v>
      </c>
      <c r="H2511" s="24" t="s">
        <v>27</v>
      </c>
      <c r="I2511" s="24" t="s">
        <v>2008</v>
      </c>
      <c r="J2511" s="15" t="s">
        <v>37</v>
      </c>
      <c r="K2511" s="16" t="s">
        <v>29</v>
      </c>
      <c r="L2511" s="62"/>
      <c r="M2511" s="15"/>
      <c r="N2511" s="15" t="s">
        <v>130</v>
      </c>
      <c r="O2511" s="15"/>
      <c r="P2511" s="16" t="s">
        <v>32</v>
      </c>
      <c r="Q2511" s="17">
        <v>3399</v>
      </c>
      <c r="R2511" s="18">
        <v>45</v>
      </c>
      <c r="S2511" s="19">
        <v>2149.8674999999998</v>
      </c>
      <c r="T2511" s="20" t="s">
        <v>33</v>
      </c>
      <c r="U2511" s="21" t="s">
        <v>34</v>
      </c>
      <c r="V2511" s="22">
        <v>48</v>
      </c>
      <c r="W2511" s="22">
        <v>1</v>
      </c>
      <c r="X2511" s="23"/>
    </row>
    <row r="2512" spans="1:24" s="1" customFormat="1" ht="52.05" customHeight="1" x14ac:dyDescent="0.3">
      <c r="A2512" s="11" t="s">
        <v>23</v>
      </c>
      <c r="B2512" s="11" t="s">
        <v>2401</v>
      </c>
      <c r="C2512" s="12" t="s">
        <v>2402</v>
      </c>
      <c r="D2512" s="63"/>
      <c r="E2512" s="43" t="str">
        <f>HYPERLINK("https://www.google.ru/search?q=A3519-0064&amp;newwindow=1&amp;tbm=isch","Еще фото")</f>
        <v>Еще фото</v>
      </c>
      <c r="F2512" s="14"/>
      <c r="G2512" s="11" t="s">
        <v>1534</v>
      </c>
      <c r="H2512" s="11" t="s">
        <v>27</v>
      </c>
      <c r="I2512" s="15" t="s">
        <v>2008</v>
      </c>
      <c r="J2512" s="15" t="s">
        <v>37</v>
      </c>
      <c r="K2512" s="16" t="s">
        <v>29</v>
      </c>
      <c r="L2512" s="60" t="s">
        <v>2400</v>
      </c>
      <c r="M2512" s="15"/>
      <c r="N2512" s="15" t="s">
        <v>31</v>
      </c>
      <c r="O2512" s="15"/>
      <c r="P2512" s="16" t="s">
        <v>32</v>
      </c>
      <c r="Q2512" s="17">
        <v>3399</v>
      </c>
      <c r="R2512" s="18">
        <v>45</v>
      </c>
      <c r="S2512" s="19">
        <v>2149.8674999999998</v>
      </c>
      <c r="T2512" s="20" t="s">
        <v>33</v>
      </c>
      <c r="U2512" s="21" t="s">
        <v>62</v>
      </c>
      <c r="V2512" s="22">
        <v>44</v>
      </c>
      <c r="W2512" s="22">
        <v>1</v>
      </c>
      <c r="X2512" s="23"/>
    </row>
    <row r="2513" spans="1:24" s="1" customFormat="1" ht="61.05" customHeight="1" x14ac:dyDescent="0.3">
      <c r="A2513" s="24" t="s">
        <v>23</v>
      </c>
      <c r="B2513" s="24" t="s">
        <v>2401</v>
      </c>
      <c r="C2513" s="12" t="s">
        <v>2402</v>
      </c>
      <c r="D2513" s="64"/>
      <c r="E2513" s="43" t="str">
        <f>HYPERLINK("https://www.google.ru/search?q=A3519-0064&amp;newwindow=1&amp;tbm=isch","Еще фото")</f>
        <v>Еще фото</v>
      </c>
      <c r="F2513" s="14"/>
      <c r="G2513" s="24" t="s">
        <v>1534</v>
      </c>
      <c r="H2513" s="24" t="s">
        <v>27</v>
      </c>
      <c r="I2513" s="24" t="s">
        <v>2008</v>
      </c>
      <c r="J2513" s="15" t="s">
        <v>37</v>
      </c>
      <c r="K2513" s="16" t="s">
        <v>29</v>
      </c>
      <c r="L2513" s="62"/>
      <c r="M2513" s="15"/>
      <c r="N2513" s="15" t="s">
        <v>31</v>
      </c>
      <c r="O2513" s="15"/>
      <c r="P2513" s="16" t="s">
        <v>32</v>
      </c>
      <c r="Q2513" s="17">
        <v>3399</v>
      </c>
      <c r="R2513" s="18">
        <v>45</v>
      </c>
      <c r="S2513" s="19">
        <v>2149.8674999999998</v>
      </c>
      <c r="T2513" s="20" t="s">
        <v>33</v>
      </c>
      <c r="U2513" s="21" t="s">
        <v>64</v>
      </c>
      <c r="V2513" s="22">
        <v>46</v>
      </c>
      <c r="W2513" s="22">
        <v>1</v>
      </c>
      <c r="X2513" s="23"/>
    </row>
    <row r="2514" spans="1:24" s="1" customFormat="1" ht="52.05" customHeight="1" x14ac:dyDescent="0.3">
      <c r="A2514" s="11" t="s">
        <v>23</v>
      </c>
      <c r="B2514" s="11" t="s">
        <v>2071</v>
      </c>
      <c r="C2514" s="12" t="s">
        <v>2403</v>
      </c>
      <c r="D2514" s="63"/>
      <c r="E2514" s="43" t="str">
        <f>HYPERLINK("https://www.google.ru/search?q=A6735-0001&amp;newwindow=1&amp;tbm=isch","Еще фото")</f>
        <v>Еще фото</v>
      </c>
      <c r="F2514" s="14"/>
      <c r="G2514" s="11" t="s">
        <v>2062</v>
      </c>
      <c r="H2514" s="11" t="s">
        <v>27</v>
      </c>
      <c r="I2514" s="15" t="s">
        <v>2008</v>
      </c>
      <c r="J2514" s="15" t="s">
        <v>37</v>
      </c>
      <c r="K2514" s="16" t="s">
        <v>57</v>
      </c>
      <c r="L2514" s="60" t="s">
        <v>2404</v>
      </c>
      <c r="M2514" s="15"/>
      <c r="N2514" s="15" t="s">
        <v>130</v>
      </c>
      <c r="O2514" s="15"/>
      <c r="P2514" s="16" t="s">
        <v>32</v>
      </c>
      <c r="Q2514" s="17">
        <v>6499</v>
      </c>
      <c r="R2514" s="18">
        <v>45</v>
      </c>
      <c r="S2514" s="19">
        <v>4110.6174999999994</v>
      </c>
      <c r="T2514" s="20" t="s">
        <v>33</v>
      </c>
      <c r="U2514" s="21" t="s">
        <v>62</v>
      </c>
      <c r="V2514" s="22">
        <v>46</v>
      </c>
      <c r="W2514" s="22">
        <v>6</v>
      </c>
      <c r="X2514" s="23"/>
    </row>
    <row r="2515" spans="1:24" s="1" customFormat="1" ht="61.05" customHeight="1" x14ac:dyDescent="0.3">
      <c r="A2515" s="24" t="s">
        <v>23</v>
      </c>
      <c r="B2515" s="24" t="s">
        <v>2071</v>
      </c>
      <c r="C2515" s="12" t="s">
        <v>2403</v>
      </c>
      <c r="D2515" s="64"/>
      <c r="E2515" s="43" t="str">
        <f>HYPERLINK("https://www.google.ru/search?q=A6735-0001&amp;newwindow=1&amp;tbm=isch","Еще фото")</f>
        <v>Еще фото</v>
      </c>
      <c r="F2515" s="14"/>
      <c r="G2515" s="24" t="s">
        <v>2062</v>
      </c>
      <c r="H2515" s="24" t="s">
        <v>27</v>
      </c>
      <c r="I2515" s="24" t="s">
        <v>2008</v>
      </c>
      <c r="J2515" s="15" t="s">
        <v>37</v>
      </c>
      <c r="K2515" s="16" t="s">
        <v>57</v>
      </c>
      <c r="L2515" s="62"/>
      <c r="M2515" s="15"/>
      <c r="N2515" s="15" t="s">
        <v>130</v>
      </c>
      <c r="O2515" s="15"/>
      <c r="P2515" s="16" t="s">
        <v>32</v>
      </c>
      <c r="Q2515" s="17">
        <v>6499</v>
      </c>
      <c r="R2515" s="18">
        <v>45</v>
      </c>
      <c r="S2515" s="19">
        <v>4110.6174999999994</v>
      </c>
      <c r="T2515" s="20" t="s">
        <v>33</v>
      </c>
      <c r="U2515" s="21" t="s">
        <v>64</v>
      </c>
      <c r="V2515" s="22">
        <v>48</v>
      </c>
      <c r="W2515" s="22">
        <v>10</v>
      </c>
      <c r="X2515" s="23"/>
    </row>
    <row r="2516" spans="1:24" s="1" customFormat="1" ht="108" customHeight="1" x14ac:dyDescent="0.3">
      <c r="A2516" s="11" t="s">
        <v>23</v>
      </c>
      <c r="B2516" s="11" t="s">
        <v>2405</v>
      </c>
      <c r="C2516" s="12" t="s">
        <v>2406</v>
      </c>
      <c r="D2516" s="13"/>
      <c r="E2516" s="43" t="str">
        <f>HYPERLINK("https://www.google.ru/search?q=A6887-0004&amp;newwindow=1&amp;tbm=isch","Еще фото")</f>
        <v>Еще фото</v>
      </c>
      <c r="F2516" s="14"/>
      <c r="G2516" s="11" t="s">
        <v>2050</v>
      </c>
      <c r="H2516" s="11" t="s">
        <v>27</v>
      </c>
      <c r="I2516" s="15" t="s">
        <v>2008</v>
      </c>
      <c r="J2516" s="15" t="s">
        <v>37</v>
      </c>
      <c r="K2516" s="16" t="s">
        <v>57</v>
      </c>
      <c r="L2516" s="15" t="s">
        <v>2407</v>
      </c>
      <c r="M2516" s="15"/>
      <c r="N2516" s="15" t="s">
        <v>31</v>
      </c>
      <c r="O2516" s="15"/>
      <c r="P2516" s="16" t="s">
        <v>32</v>
      </c>
      <c r="Q2516" s="17">
        <v>6399</v>
      </c>
      <c r="R2516" s="18">
        <v>45</v>
      </c>
      <c r="S2516" s="19">
        <v>4047.3674999999994</v>
      </c>
      <c r="T2516" s="20" t="s">
        <v>33</v>
      </c>
      <c r="U2516" s="21" t="s">
        <v>64</v>
      </c>
      <c r="V2516" s="22">
        <v>48</v>
      </c>
      <c r="W2516" s="22">
        <v>1</v>
      </c>
      <c r="X2516" s="23"/>
    </row>
    <row r="2517" spans="1:24" s="1" customFormat="1" ht="26" customHeight="1" x14ac:dyDescent="0.3">
      <c r="A2517" s="11" t="s">
        <v>23</v>
      </c>
      <c r="B2517" s="11" t="s">
        <v>2405</v>
      </c>
      <c r="C2517" s="12" t="s">
        <v>2408</v>
      </c>
      <c r="D2517" s="57"/>
      <c r="E2517" s="43" t="str">
        <f>HYPERLINK("https://www.google.ru/search?q=A6887-0055&amp;newwindow=1&amp;tbm=isch","Еще фото")</f>
        <v>Еще фото</v>
      </c>
      <c r="F2517" s="14"/>
      <c r="G2517" s="11" t="s">
        <v>2050</v>
      </c>
      <c r="H2517" s="11" t="s">
        <v>27</v>
      </c>
      <c r="I2517" s="15" t="s">
        <v>2008</v>
      </c>
      <c r="J2517" s="15" t="s">
        <v>37</v>
      </c>
      <c r="K2517" s="16" t="s">
        <v>57</v>
      </c>
      <c r="L2517" s="60"/>
      <c r="M2517" s="15"/>
      <c r="N2517" s="15" t="s">
        <v>99</v>
      </c>
      <c r="O2517" s="15"/>
      <c r="P2517" s="16" t="s">
        <v>32</v>
      </c>
      <c r="Q2517" s="17">
        <v>6999</v>
      </c>
      <c r="R2517" s="18">
        <v>45</v>
      </c>
      <c r="S2517" s="19">
        <v>4426.8674999999994</v>
      </c>
      <c r="T2517" s="20" t="s">
        <v>33</v>
      </c>
      <c r="U2517" s="21" t="s">
        <v>62</v>
      </c>
      <c r="V2517" s="22">
        <v>46</v>
      </c>
      <c r="W2517" s="22">
        <v>12</v>
      </c>
      <c r="X2517" s="23"/>
    </row>
    <row r="2518" spans="1:24" s="1" customFormat="1" ht="26" customHeight="1" x14ac:dyDescent="0.3">
      <c r="A2518" s="24" t="s">
        <v>23</v>
      </c>
      <c r="B2518" s="24" t="s">
        <v>2405</v>
      </c>
      <c r="C2518" s="12" t="s">
        <v>2408</v>
      </c>
      <c r="D2518" s="58"/>
      <c r="E2518" s="43" t="str">
        <f>HYPERLINK("https://www.google.ru/search?q=A6887-0055&amp;newwindow=1&amp;tbm=isch","Еще фото")</f>
        <v>Еще фото</v>
      </c>
      <c r="F2518" s="14"/>
      <c r="G2518" s="24" t="s">
        <v>2050</v>
      </c>
      <c r="H2518" s="24" t="s">
        <v>27</v>
      </c>
      <c r="I2518" s="24" t="s">
        <v>2008</v>
      </c>
      <c r="J2518" s="15" t="s">
        <v>37</v>
      </c>
      <c r="K2518" s="16" t="s">
        <v>57</v>
      </c>
      <c r="L2518" s="61"/>
      <c r="M2518" s="15"/>
      <c r="N2518" s="15" t="s">
        <v>99</v>
      </c>
      <c r="O2518" s="15"/>
      <c r="P2518" s="16" t="s">
        <v>32</v>
      </c>
      <c r="Q2518" s="17">
        <v>6999</v>
      </c>
      <c r="R2518" s="18">
        <v>45</v>
      </c>
      <c r="S2518" s="19">
        <v>4426.8674999999994</v>
      </c>
      <c r="T2518" s="20" t="s">
        <v>33</v>
      </c>
      <c r="U2518" s="21" t="s">
        <v>64</v>
      </c>
      <c r="V2518" s="22">
        <v>48</v>
      </c>
      <c r="W2518" s="22">
        <v>20</v>
      </c>
      <c r="X2518" s="23"/>
    </row>
    <row r="2519" spans="1:24" s="1" customFormat="1" ht="26" customHeight="1" x14ac:dyDescent="0.3">
      <c r="A2519" s="24" t="s">
        <v>23</v>
      </c>
      <c r="B2519" s="24" t="s">
        <v>2405</v>
      </c>
      <c r="C2519" s="12" t="s">
        <v>2408</v>
      </c>
      <c r="D2519" s="58"/>
      <c r="E2519" s="43" t="str">
        <f>HYPERLINK("https://www.google.ru/search?q=A6887-0055&amp;newwindow=1&amp;tbm=isch","Еще фото")</f>
        <v>Еще фото</v>
      </c>
      <c r="F2519" s="14"/>
      <c r="G2519" s="24" t="s">
        <v>2050</v>
      </c>
      <c r="H2519" s="24" t="s">
        <v>27</v>
      </c>
      <c r="I2519" s="24" t="s">
        <v>2008</v>
      </c>
      <c r="J2519" s="15" t="s">
        <v>37</v>
      </c>
      <c r="K2519" s="16" t="s">
        <v>57</v>
      </c>
      <c r="L2519" s="61"/>
      <c r="M2519" s="15"/>
      <c r="N2519" s="15" t="s">
        <v>99</v>
      </c>
      <c r="O2519" s="15"/>
      <c r="P2519" s="16" t="s">
        <v>32</v>
      </c>
      <c r="Q2519" s="17">
        <v>6999</v>
      </c>
      <c r="R2519" s="18">
        <v>45</v>
      </c>
      <c r="S2519" s="19">
        <v>4426.8674999999994</v>
      </c>
      <c r="T2519" s="20" t="s">
        <v>33</v>
      </c>
      <c r="U2519" s="21" t="s">
        <v>34</v>
      </c>
      <c r="V2519" s="25" t="s">
        <v>90</v>
      </c>
      <c r="W2519" s="22">
        <v>26</v>
      </c>
      <c r="X2519" s="23"/>
    </row>
    <row r="2520" spans="1:24" s="1" customFormat="1" ht="26" customHeight="1" x14ac:dyDescent="0.3">
      <c r="A2520" s="24" t="s">
        <v>23</v>
      </c>
      <c r="B2520" s="24" t="s">
        <v>2405</v>
      </c>
      <c r="C2520" s="12" t="s">
        <v>2408</v>
      </c>
      <c r="D2520" s="59"/>
      <c r="E2520" s="43" t="str">
        <f>HYPERLINK("https://www.google.ru/search?q=A6887-0055&amp;newwindow=1&amp;tbm=isch","Еще фото")</f>
        <v>Еще фото</v>
      </c>
      <c r="F2520" s="14"/>
      <c r="G2520" s="24" t="s">
        <v>2050</v>
      </c>
      <c r="H2520" s="24" t="s">
        <v>27</v>
      </c>
      <c r="I2520" s="24" t="s">
        <v>2008</v>
      </c>
      <c r="J2520" s="15" t="s">
        <v>37</v>
      </c>
      <c r="K2520" s="16" t="s">
        <v>57</v>
      </c>
      <c r="L2520" s="62"/>
      <c r="M2520" s="15"/>
      <c r="N2520" s="15" t="s">
        <v>99</v>
      </c>
      <c r="O2520" s="15"/>
      <c r="P2520" s="16" t="s">
        <v>32</v>
      </c>
      <c r="Q2520" s="17">
        <v>6999</v>
      </c>
      <c r="R2520" s="18">
        <v>45</v>
      </c>
      <c r="S2520" s="19">
        <v>4426.8674999999994</v>
      </c>
      <c r="T2520" s="20" t="s">
        <v>33</v>
      </c>
      <c r="U2520" s="21" t="s">
        <v>150</v>
      </c>
      <c r="V2520" s="25" t="s">
        <v>761</v>
      </c>
      <c r="W2520" s="22">
        <v>18</v>
      </c>
      <c r="X2520" s="23"/>
    </row>
    <row r="2521" spans="1:24" s="1" customFormat="1" ht="108" customHeight="1" x14ac:dyDescent="0.3">
      <c r="A2521" s="11" t="s">
        <v>23</v>
      </c>
      <c r="B2521" s="11" t="s">
        <v>2409</v>
      </c>
      <c r="C2521" s="12" t="s">
        <v>2410</v>
      </c>
      <c r="D2521" s="13"/>
      <c r="E2521" s="43" t="str">
        <f>HYPERLINK("https://www.google.ru/search?q=A7355-0004&amp;newwindow=1&amp;tbm=isch","Еще фото")</f>
        <v>Еще фото</v>
      </c>
      <c r="F2521" s="14"/>
      <c r="G2521" s="11" t="s">
        <v>1534</v>
      </c>
      <c r="H2521" s="11" t="s">
        <v>27</v>
      </c>
      <c r="I2521" s="15" t="s">
        <v>2008</v>
      </c>
      <c r="J2521" s="15" t="s">
        <v>37</v>
      </c>
      <c r="K2521" s="16" t="s">
        <v>29</v>
      </c>
      <c r="L2521" s="15" t="s">
        <v>2079</v>
      </c>
      <c r="M2521" s="15"/>
      <c r="N2521" s="15" t="s">
        <v>31</v>
      </c>
      <c r="O2521" s="15"/>
      <c r="P2521" s="16" t="s">
        <v>32</v>
      </c>
      <c r="Q2521" s="17">
        <v>6299</v>
      </c>
      <c r="R2521" s="18">
        <v>45</v>
      </c>
      <c r="S2521" s="19">
        <v>3984.1174999999994</v>
      </c>
      <c r="T2521" s="20" t="s">
        <v>33</v>
      </c>
      <c r="U2521" s="21" t="s">
        <v>64</v>
      </c>
      <c r="V2521" s="22">
        <v>46</v>
      </c>
      <c r="W2521" s="22">
        <v>1</v>
      </c>
      <c r="X2521" s="23"/>
    </row>
    <row r="2522" spans="1:24" s="1" customFormat="1" ht="52.05" customHeight="1" x14ac:dyDescent="0.3">
      <c r="A2522" s="11" t="s">
        <v>23</v>
      </c>
      <c r="B2522" s="11" t="s">
        <v>2411</v>
      </c>
      <c r="C2522" s="12" t="s">
        <v>2412</v>
      </c>
      <c r="D2522" s="63"/>
      <c r="E2522" s="43" t="str">
        <f>HYPERLINK("https://www.google.ru/search?q=A8794-0001&amp;newwindow=1&amp;tbm=isch","Еще фото")</f>
        <v>Еще фото</v>
      </c>
      <c r="F2522" s="14"/>
      <c r="G2522" s="11" t="s">
        <v>1534</v>
      </c>
      <c r="H2522" s="11" t="s">
        <v>27</v>
      </c>
      <c r="I2522" s="15" t="s">
        <v>2008</v>
      </c>
      <c r="J2522" s="15" t="s">
        <v>37</v>
      </c>
      <c r="K2522" s="16" t="s">
        <v>29</v>
      </c>
      <c r="L2522" s="60" t="s">
        <v>2413</v>
      </c>
      <c r="M2522" s="15"/>
      <c r="N2522" s="15" t="s">
        <v>31</v>
      </c>
      <c r="O2522" s="15"/>
      <c r="P2522" s="16" t="s">
        <v>32</v>
      </c>
      <c r="Q2522" s="17">
        <v>4199</v>
      </c>
      <c r="R2522" s="18">
        <v>45</v>
      </c>
      <c r="S2522" s="19">
        <v>2655.8674999999994</v>
      </c>
      <c r="T2522" s="20" t="s">
        <v>33</v>
      </c>
      <c r="U2522" s="21" t="s">
        <v>61</v>
      </c>
      <c r="V2522" s="22">
        <v>42</v>
      </c>
      <c r="W2522" s="22">
        <v>4</v>
      </c>
      <c r="X2522" s="23"/>
    </row>
    <row r="2523" spans="1:24" s="1" customFormat="1" ht="61.05" customHeight="1" x14ac:dyDescent="0.3">
      <c r="A2523" s="24" t="s">
        <v>23</v>
      </c>
      <c r="B2523" s="24" t="s">
        <v>2411</v>
      </c>
      <c r="C2523" s="12" t="s">
        <v>2412</v>
      </c>
      <c r="D2523" s="64"/>
      <c r="E2523" s="43" t="str">
        <f>HYPERLINK("https://www.google.ru/search?q=A8794-0001&amp;newwindow=1&amp;tbm=isch","Еще фото")</f>
        <v>Еще фото</v>
      </c>
      <c r="F2523" s="14"/>
      <c r="G2523" s="24" t="s">
        <v>1534</v>
      </c>
      <c r="H2523" s="24" t="s">
        <v>27</v>
      </c>
      <c r="I2523" s="24" t="s">
        <v>2008</v>
      </c>
      <c r="J2523" s="15" t="s">
        <v>37</v>
      </c>
      <c r="K2523" s="16" t="s">
        <v>29</v>
      </c>
      <c r="L2523" s="62"/>
      <c r="M2523" s="15"/>
      <c r="N2523" s="15" t="s">
        <v>31</v>
      </c>
      <c r="O2523" s="15"/>
      <c r="P2523" s="16" t="s">
        <v>32</v>
      </c>
      <c r="Q2523" s="17">
        <v>4199</v>
      </c>
      <c r="R2523" s="18">
        <v>45</v>
      </c>
      <c r="S2523" s="19">
        <v>2655.8674999999994</v>
      </c>
      <c r="T2523" s="20" t="s">
        <v>33</v>
      </c>
      <c r="U2523" s="21" t="s">
        <v>64</v>
      </c>
      <c r="V2523" s="22">
        <v>46</v>
      </c>
      <c r="W2523" s="22">
        <v>4</v>
      </c>
      <c r="X2523" s="23"/>
    </row>
    <row r="2524" spans="1:24" s="1" customFormat="1" ht="52.05" customHeight="1" x14ac:dyDescent="0.3">
      <c r="A2524" s="11" t="s">
        <v>23</v>
      </c>
      <c r="B2524" s="11" t="s">
        <v>2414</v>
      </c>
      <c r="C2524" s="12" t="s">
        <v>2415</v>
      </c>
      <c r="D2524" s="63"/>
      <c r="E2524" s="43" t="str">
        <f>HYPERLINK("https://www.google.ru/search?q=A8804-0037&amp;newwindow=1&amp;tbm=isch","Еще фото")</f>
        <v>Еще фото</v>
      </c>
      <c r="F2524" s="14"/>
      <c r="G2524" s="11" t="s">
        <v>1534</v>
      </c>
      <c r="H2524" s="11" t="s">
        <v>27</v>
      </c>
      <c r="I2524" s="15" t="s">
        <v>2008</v>
      </c>
      <c r="J2524" s="15" t="s">
        <v>28</v>
      </c>
      <c r="K2524" s="16" t="s">
        <v>29</v>
      </c>
      <c r="L2524" s="60" t="s">
        <v>2416</v>
      </c>
      <c r="M2524" s="15"/>
      <c r="N2524" s="15" t="s">
        <v>87</v>
      </c>
      <c r="O2524" s="15"/>
      <c r="P2524" s="16" t="s">
        <v>32</v>
      </c>
      <c r="Q2524" s="17">
        <v>5899</v>
      </c>
      <c r="R2524" s="18">
        <v>45</v>
      </c>
      <c r="S2524" s="19">
        <v>3731.1174999999994</v>
      </c>
      <c r="T2524" s="20" t="s">
        <v>33</v>
      </c>
      <c r="U2524" s="21" t="s">
        <v>61</v>
      </c>
      <c r="V2524" s="22">
        <v>42</v>
      </c>
      <c r="W2524" s="22">
        <v>2</v>
      </c>
      <c r="X2524" s="23"/>
    </row>
    <row r="2525" spans="1:24" s="1" customFormat="1" ht="61.05" customHeight="1" x14ac:dyDescent="0.3">
      <c r="A2525" s="24" t="s">
        <v>23</v>
      </c>
      <c r="B2525" s="24" t="s">
        <v>2414</v>
      </c>
      <c r="C2525" s="12" t="s">
        <v>2415</v>
      </c>
      <c r="D2525" s="64"/>
      <c r="E2525" s="43" t="str">
        <f>HYPERLINK("https://www.google.ru/search?q=A8804-0037&amp;newwindow=1&amp;tbm=isch","Еще фото")</f>
        <v>Еще фото</v>
      </c>
      <c r="F2525" s="14"/>
      <c r="G2525" s="24" t="s">
        <v>1534</v>
      </c>
      <c r="H2525" s="24" t="s">
        <v>27</v>
      </c>
      <c r="I2525" s="24" t="s">
        <v>2008</v>
      </c>
      <c r="J2525" s="15" t="s">
        <v>28</v>
      </c>
      <c r="K2525" s="16" t="s">
        <v>29</v>
      </c>
      <c r="L2525" s="62"/>
      <c r="M2525" s="15"/>
      <c r="N2525" s="15" t="s">
        <v>87</v>
      </c>
      <c r="O2525" s="15"/>
      <c r="P2525" s="16" t="s">
        <v>32</v>
      </c>
      <c r="Q2525" s="17">
        <v>5899</v>
      </c>
      <c r="R2525" s="18">
        <v>45</v>
      </c>
      <c r="S2525" s="19">
        <v>3731.1174999999994</v>
      </c>
      <c r="T2525" s="20" t="s">
        <v>33</v>
      </c>
      <c r="U2525" s="21" t="s">
        <v>62</v>
      </c>
      <c r="V2525" s="22">
        <v>44</v>
      </c>
      <c r="W2525" s="22">
        <v>1</v>
      </c>
      <c r="X2525" s="23"/>
    </row>
    <row r="2526" spans="1:24" s="1" customFormat="1" ht="108" customHeight="1" x14ac:dyDescent="0.3">
      <c r="A2526" s="11" t="s">
        <v>23</v>
      </c>
      <c r="B2526" s="11" t="s">
        <v>2417</v>
      </c>
      <c r="C2526" s="12" t="s">
        <v>2418</v>
      </c>
      <c r="D2526" s="13"/>
      <c r="E2526" s="43" t="str">
        <f>HYPERLINK("https://www.google.ru/search?q=000MR-0002&amp;newwindow=1&amp;tbm=isch","Еще фото")</f>
        <v>Еще фото</v>
      </c>
      <c r="F2526" s="14"/>
      <c r="G2526" s="11" t="s">
        <v>2419</v>
      </c>
      <c r="H2526" s="11" t="s">
        <v>1338</v>
      </c>
      <c r="I2526" s="15" t="s">
        <v>2420</v>
      </c>
      <c r="J2526" s="15" t="s">
        <v>28</v>
      </c>
      <c r="K2526" s="16" t="s">
        <v>29</v>
      </c>
      <c r="L2526" s="15" t="s">
        <v>2421</v>
      </c>
      <c r="M2526" s="15"/>
      <c r="N2526" s="15" t="s">
        <v>73</v>
      </c>
      <c r="O2526" s="15"/>
      <c r="P2526" s="16" t="s">
        <v>2422</v>
      </c>
      <c r="Q2526" s="17">
        <v>3599</v>
      </c>
      <c r="R2526" s="18">
        <v>52.83</v>
      </c>
      <c r="S2526" s="19">
        <v>1952.4354999999998</v>
      </c>
      <c r="T2526" s="20" t="s">
        <v>1341</v>
      </c>
      <c r="U2526" s="21" t="s">
        <v>1342</v>
      </c>
      <c r="V2526" s="25" t="s">
        <v>1343</v>
      </c>
      <c r="W2526" s="22">
        <v>1</v>
      </c>
      <c r="X2526" s="23"/>
    </row>
    <row r="2527" spans="1:24" s="1" customFormat="1" ht="108" customHeight="1" x14ac:dyDescent="0.3">
      <c r="A2527" s="11" t="s">
        <v>23</v>
      </c>
      <c r="B2527" s="11" t="s">
        <v>2423</v>
      </c>
      <c r="C2527" s="12" t="s">
        <v>2424</v>
      </c>
      <c r="D2527" s="13"/>
      <c r="E2527" s="43" t="str">
        <f>HYPERLINK("https://www.google.ru/search?q=000J7-0008&amp;newwindow=1&amp;tbm=isch","Еще фото")</f>
        <v>Еще фото</v>
      </c>
      <c r="F2527" s="14"/>
      <c r="G2527" s="11" t="s">
        <v>2419</v>
      </c>
      <c r="H2527" s="11" t="s">
        <v>1338</v>
      </c>
      <c r="I2527" s="15" t="s">
        <v>2420</v>
      </c>
      <c r="J2527" s="15" t="s">
        <v>28</v>
      </c>
      <c r="K2527" s="16" t="s">
        <v>29</v>
      </c>
      <c r="L2527" s="15" t="s">
        <v>2425</v>
      </c>
      <c r="M2527" s="15"/>
      <c r="N2527" s="15" t="s">
        <v>73</v>
      </c>
      <c r="O2527" s="15"/>
      <c r="P2527" s="16" t="s">
        <v>32</v>
      </c>
      <c r="Q2527" s="17">
        <v>3799</v>
      </c>
      <c r="R2527" s="18">
        <v>45</v>
      </c>
      <c r="S2527" s="19">
        <v>2402.8674999999994</v>
      </c>
      <c r="T2527" s="20" t="s">
        <v>1341</v>
      </c>
      <c r="U2527" s="21" t="s">
        <v>1342</v>
      </c>
      <c r="V2527" s="25" t="s">
        <v>1343</v>
      </c>
      <c r="W2527" s="22">
        <v>2</v>
      </c>
      <c r="X2527" s="23"/>
    </row>
    <row r="2528" spans="1:24" s="1" customFormat="1" ht="108" customHeight="1" x14ac:dyDescent="0.3">
      <c r="A2528" s="11" t="s">
        <v>23</v>
      </c>
      <c r="B2528" s="11" t="s">
        <v>2426</v>
      </c>
      <c r="C2528" s="12" t="s">
        <v>2427</v>
      </c>
      <c r="D2528" s="13"/>
      <c r="E2528" s="43" t="str">
        <f>HYPERLINK("https://www.google.ru/search?q=37461-0026&amp;newwindow=1&amp;tbm=isch","Еще фото")</f>
        <v>Еще фото</v>
      </c>
      <c r="F2528" s="14"/>
      <c r="G2528" s="11" t="s">
        <v>2428</v>
      </c>
      <c r="H2528" s="11" t="s">
        <v>1338</v>
      </c>
      <c r="I2528" s="15" t="s">
        <v>2429</v>
      </c>
      <c r="J2528" s="15" t="s">
        <v>28</v>
      </c>
      <c r="K2528" s="16" t="s">
        <v>29</v>
      </c>
      <c r="L2528" s="15" t="s">
        <v>2430</v>
      </c>
      <c r="M2528" s="15" t="s">
        <v>72</v>
      </c>
      <c r="N2528" s="15" t="s">
        <v>2083</v>
      </c>
      <c r="O2528" s="15"/>
      <c r="P2528" s="16" t="s">
        <v>2422</v>
      </c>
      <c r="Q2528" s="17">
        <v>3199</v>
      </c>
      <c r="R2528" s="18">
        <v>88.5</v>
      </c>
      <c r="S2528" s="32">
        <v>422.93549999999993</v>
      </c>
      <c r="T2528" s="20" t="s">
        <v>1341</v>
      </c>
      <c r="U2528" s="21" t="s">
        <v>1342</v>
      </c>
      <c r="V2528" s="25" t="s">
        <v>1343</v>
      </c>
      <c r="W2528" s="22">
        <v>229</v>
      </c>
      <c r="X2528" s="23"/>
    </row>
    <row r="2529" spans="1:24" s="1" customFormat="1" ht="108" customHeight="1" x14ac:dyDescent="0.3">
      <c r="A2529" s="11" t="s">
        <v>23</v>
      </c>
      <c r="B2529" s="11" t="s">
        <v>2431</v>
      </c>
      <c r="C2529" s="12" t="s">
        <v>2432</v>
      </c>
      <c r="D2529" s="13"/>
      <c r="E2529" s="43" t="str">
        <f>HYPERLINK("https://www.google.ru/search?q=D6623-0002&amp;newwindow=1&amp;tbm=isch","Еще фото")</f>
        <v>Еще фото</v>
      </c>
      <c r="F2529" s="14"/>
      <c r="G2529" s="11" t="s">
        <v>2428</v>
      </c>
      <c r="H2529" s="11" t="s">
        <v>1338</v>
      </c>
      <c r="I2529" s="15" t="s">
        <v>2429</v>
      </c>
      <c r="J2529" s="15" t="s">
        <v>28</v>
      </c>
      <c r="K2529" s="16" t="s">
        <v>29</v>
      </c>
      <c r="L2529" s="15" t="s">
        <v>2433</v>
      </c>
      <c r="M2529" s="15" t="s">
        <v>72</v>
      </c>
      <c r="N2529" s="15" t="s">
        <v>31</v>
      </c>
      <c r="O2529" s="15" t="s">
        <v>1376</v>
      </c>
      <c r="P2529" s="16" t="s">
        <v>2434</v>
      </c>
      <c r="Q2529" s="17">
        <v>3599</v>
      </c>
      <c r="R2529" s="18">
        <v>56.16</v>
      </c>
      <c r="S2529" s="19">
        <v>1814.4354999999998</v>
      </c>
      <c r="T2529" s="20" t="s">
        <v>1341</v>
      </c>
      <c r="U2529" s="21" t="s">
        <v>1342</v>
      </c>
      <c r="V2529" s="25" t="s">
        <v>1343</v>
      </c>
      <c r="W2529" s="22">
        <v>5</v>
      </c>
      <c r="X2529" s="23"/>
    </row>
    <row r="2530" spans="1:24" s="1" customFormat="1" ht="52.05" customHeight="1" x14ac:dyDescent="0.3">
      <c r="A2530" s="11" t="s">
        <v>23</v>
      </c>
      <c r="B2530" s="11" t="s">
        <v>2435</v>
      </c>
      <c r="C2530" s="12" t="s">
        <v>2436</v>
      </c>
      <c r="D2530" s="63"/>
      <c r="E2530" s="43" t="str">
        <f>HYPERLINK("https://www.google.ru/search?q=77879-0052&amp;newwindow=1&amp;tbm=isch","Еще фото")</f>
        <v>Еще фото</v>
      </c>
      <c r="F2530" s="14"/>
      <c r="G2530" s="11" t="s">
        <v>2437</v>
      </c>
      <c r="H2530" s="11" t="s">
        <v>27</v>
      </c>
      <c r="I2530" s="15" t="s">
        <v>2438</v>
      </c>
      <c r="J2530" s="15" t="s">
        <v>37</v>
      </c>
      <c r="K2530" s="16" t="s">
        <v>29</v>
      </c>
      <c r="L2530" s="60" t="s">
        <v>2439</v>
      </c>
      <c r="M2530" s="15" t="s">
        <v>72</v>
      </c>
      <c r="N2530" s="15" t="s">
        <v>39</v>
      </c>
      <c r="O2530" s="15" t="s">
        <v>308</v>
      </c>
      <c r="P2530" s="16" t="s">
        <v>254</v>
      </c>
      <c r="Q2530" s="17">
        <v>7299</v>
      </c>
      <c r="R2530" s="18">
        <v>49.06</v>
      </c>
      <c r="S2530" s="19">
        <v>4275.4354999999996</v>
      </c>
      <c r="T2530" s="20" t="s">
        <v>33</v>
      </c>
      <c r="U2530" s="21" t="s">
        <v>2440</v>
      </c>
      <c r="V2530" s="22">
        <v>38</v>
      </c>
      <c r="W2530" s="22">
        <v>1</v>
      </c>
      <c r="X2530" s="23"/>
    </row>
    <row r="2531" spans="1:24" s="1" customFormat="1" ht="61.05" customHeight="1" x14ac:dyDescent="0.3">
      <c r="A2531" s="24" t="s">
        <v>23</v>
      </c>
      <c r="B2531" s="24" t="s">
        <v>2435</v>
      </c>
      <c r="C2531" s="12" t="s">
        <v>2436</v>
      </c>
      <c r="D2531" s="64"/>
      <c r="E2531" s="43" t="str">
        <f>HYPERLINK("https://www.google.ru/search?q=77879-0052&amp;newwindow=1&amp;tbm=isch","Еще фото")</f>
        <v>Еще фото</v>
      </c>
      <c r="F2531" s="14"/>
      <c r="G2531" s="24" t="s">
        <v>2437</v>
      </c>
      <c r="H2531" s="24" t="s">
        <v>27</v>
      </c>
      <c r="I2531" s="24" t="s">
        <v>2438</v>
      </c>
      <c r="J2531" s="15" t="s">
        <v>37</v>
      </c>
      <c r="K2531" s="16" t="s">
        <v>29</v>
      </c>
      <c r="L2531" s="62"/>
      <c r="M2531" s="15" t="s">
        <v>72</v>
      </c>
      <c r="N2531" s="15" t="s">
        <v>39</v>
      </c>
      <c r="O2531" s="15" t="s">
        <v>308</v>
      </c>
      <c r="P2531" s="16" t="s">
        <v>254</v>
      </c>
      <c r="Q2531" s="17">
        <v>7299</v>
      </c>
      <c r="R2531" s="18">
        <v>49.06</v>
      </c>
      <c r="S2531" s="19">
        <v>4275.4354999999996</v>
      </c>
      <c r="T2531" s="20" t="s">
        <v>33</v>
      </c>
      <c r="U2531" s="21" t="s">
        <v>216</v>
      </c>
      <c r="V2531" s="22">
        <v>50</v>
      </c>
      <c r="W2531" s="22">
        <v>3</v>
      </c>
      <c r="X2531" s="23"/>
    </row>
    <row r="2532" spans="1:24" s="1" customFormat="1" ht="108" customHeight="1" x14ac:dyDescent="0.3">
      <c r="A2532" s="11" t="s">
        <v>23</v>
      </c>
      <c r="B2532" s="11" t="s">
        <v>2441</v>
      </c>
      <c r="C2532" s="12" t="s">
        <v>2442</v>
      </c>
      <c r="D2532" s="13"/>
      <c r="E2532" s="43" t="str">
        <f>HYPERLINK("https://www.google.ru/search?q=77879-0005&amp;newwindow=1&amp;tbm=isch","Еще фото")</f>
        <v>Еще фото</v>
      </c>
      <c r="F2532" s="14"/>
      <c r="G2532" s="11" t="s">
        <v>2437</v>
      </c>
      <c r="H2532" s="11" t="s">
        <v>27</v>
      </c>
      <c r="I2532" s="15" t="s">
        <v>2438</v>
      </c>
      <c r="J2532" s="15" t="s">
        <v>37</v>
      </c>
      <c r="K2532" s="16" t="s">
        <v>29</v>
      </c>
      <c r="L2532" s="15" t="s">
        <v>2443</v>
      </c>
      <c r="M2532" s="15" t="s">
        <v>72</v>
      </c>
      <c r="N2532" s="15" t="s">
        <v>130</v>
      </c>
      <c r="O2532" s="15"/>
      <c r="P2532" s="16" t="s">
        <v>254</v>
      </c>
      <c r="Q2532" s="17">
        <v>7399</v>
      </c>
      <c r="R2532" s="18">
        <v>45.94</v>
      </c>
      <c r="S2532" s="19">
        <v>4599.9884999999995</v>
      </c>
      <c r="T2532" s="20" t="s">
        <v>33</v>
      </c>
      <c r="U2532" s="21" t="s">
        <v>216</v>
      </c>
      <c r="V2532" s="22">
        <v>50</v>
      </c>
      <c r="W2532" s="22">
        <v>1</v>
      </c>
      <c r="X2532" s="23"/>
    </row>
    <row r="2533" spans="1:24" s="1" customFormat="1" ht="108" customHeight="1" x14ac:dyDescent="0.3">
      <c r="A2533" s="11" t="s">
        <v>23</v>
      </c>
      <c r="B2533" s="11" t="s">
        <v>2444</v>
      </c>
      <c r="C2533" s="12" t="s">
        <v>2445</v>
      </c>
      <c r="D2533" s="13"/>
      <c r="E2533" s="43" t="str">
        <f>HYPERLINK("https://www.google.ru/search?q=56327-0240&amp;newwindow=1&amp;tbm=isch","Еще фото")</f>
        <v>Еще фото</v>
      </c>
      <c r="F2533" s="14"/>
      <c r="G2533" s="11" t="s">
        <v>2437</v>
      </c>
      <c r="H2533" s="11" t="s">
        <v>27</v>
      </c>
      <c r="I2533" s="15" t="s">
        <v>2438</v>
      </c>
      <c r="J2533" s="15" t="s">
        <v>37</v>
      </c>
      <c r="K2533" s="16" t="s">
        <v>29</v>
      </c>
      <c r="L2533" s="15" t="s">
        <v>2446</v>
      </c>
      <c r="M2533" s="15"/>
      <c r="N2533" s="15" t="s">
        <v>87</v>
      </c>
      <c r="O2533" s="15"/>
      <c r="P2533" s="16" t="s">
        <v>32</v>
      </c>
      <c r="Q2533" s="17">
        <v>8299</v>
      </c>
      <c r="R2533" s="18">
        <v>45.78</v>
      </c>
      <c r="S2533" s="19">
        <v>5174.9884999999995</v>
      </c>
      <c r="T2533" s="20" t="s">
        <v>33</v>
      </c>
      <c r="U2533" s="21" t="s">
        <v>216</v>
      </c>
      <c r="V2533" s="22">
        <v>50</v>
      </c>
      <c r="W2533" s="22">
        <v>1</v>
      </c>
      <c r="X2533" s="23"/>
    </row>
    <row r="2534" spans="1:24" s="1" customFormat="1" ht="108" customHeight="1" x14ac:dyDescent="0.3">
      <c r="A2534" s="11" t="s">
        <v>23</v>
      </c>
      <c r="B2534" s="11" t="s">
        <v>2447</v>
      </c>
      <c r="C2534" s="12" t="s">
        <v>2448</v>
      </c>
      <c r="D2534" s="13"/>
      <c r="E2534" s="43" t="str">
        <f>HYPERLINK("https://www.google.ru/search?q=17202-0090&amp;newwindow=1&amp;tbm=isch","Еще фото")</f>
        <v>Еще фото</v>
      </c>
      <c r="F2534" s="14"/>
      <c r="G2534" s="11" t="s">
        <v>2438</v>
      </c>
      <c r="H2534" s="11" t="s">
        <v>27</v>
      </c>
      <c r="I2534" s="15" t="s">
        <v>2438</v>
      </c>
      <c r="J2534" s="15" t="s">
        <v>37</v>
      </c>
      <c r="K2534" s="16" t="s">
        <v>57</v>
      </c>
      <c r="L2534" s="15"/>
      <c r="M2534" s="15"/>
      <c r="N2534" s="15" t="s">
        <v>87</v>
      </c>
      <c r="O2534" s="15"/>
      <c r="P2534" s="16" t="s">
        <v>94</v>
      </c>
      <c r="Q2534" s="17">
        <v>6799</v>
      </c>
      <c r="R2534" s="18">
        <v>45.58</v>
      </c>
      <c r="S2534" s="19">
        <v>4254.9884999999995</v>
      </c>
      <c r="T2534" s="20" t="s">
        <v>75</v>
      </c>
      <c r="U2534" s="21" t="s">
        <v>2449</v>
      </c>
      <c r="V2534" s="22">
        <v>52</v>
      </c>
      <c r="W2534" s="22">
        <v>1</v>
      </c>
      <c r="X2534" s="23"/>
    </row>
    <row r="2535" spans="1:24" s="1" customFormat="1" ht="52.05" customHeight="1" x14ac:dyDescent="0.3">
      <c r="A2535" s="11" t="s">
        <v>23</v>
      </c>
      <c r="B2535" s="11" t="s">
        <v>2450</v>
      </c>
      <c r="C2535" s="12" t="s">
        <v>2451</v>
      </c>
      <c r="D2535" s="63"/>
      <c r="E2535" s="43" t="str">
        <f>HYPERLINK("https://www.google.ru/search?q=56327-0025&amp;newwindow=1&amp;tbm=isch","Еще фото")</f>
        <v>Еще фото</v>
      </c>
      <c r="F2535" s="14"/>
      <c r="G2535" s="11" t="s">
        <v>2437</v>
      </c>
      <c r="H2535" s="11" t="s">
        <v>27</v>
      </c>
      <c r="I2535" s="15" t="s">
        <v>2438</v>
      </c>
      <c r="J2535" s="15" t="s">
        <v>37</v>
      </c>
      <c r="K2535" s="16" t="s">
        <v>29</v>
      </c>
      <c r="L2535" s="60" t="s">
        <v>2452</v>
      </c>
      <c r="M2535" s="15" t="s">
        <v>72</v>
      </c>
      <c r="N2535" s="15" t="s">
        <v>31</v>
      </c>
      <c r="O2535" s="15"/>
      <c r="P2535" s="16" t="s">
        <v>32</v>
      </c>
      <c r="Q2535" s="17">
        <v>6799</v>
      </c>
      <c r="R2535" s="18">
        <v>45.58</v>
      </c>
      <c r="S2535" s="19">
        <v>4254.9884999999995</v>
      </c>
      <c r="T2535" s="20" t="s">
        <v>75</v>
      </c>
      <c r="U2535" s="21" t="s">
        <v>2440</v>
      </c>
      <c r="V2535" s="22">
        <v>38</v>
      </c>
      <c r="W2535" s="22">
        <v>5</v>
      </c>
      <c r="X2535" s="23"/>
    </row>
    <row r="2536" spans="1:24" s="1" customFormat="1" ht="61.05" customHeight="1" x14ac:dyDescent="0.3">
      <c r="A2536" s="24" t="s">
        <v>23</v>
      </c>
      <c r="B2536" s="24" t="s">
        <v>2450</v>
      </c>
      <c r="C2536" s="12" t="s">
        <v>2451</v>
      </c>
      <c r="D2536" s="64"/>
      <c r="E2536" s="43" t="str">
        <f>HYPERLINK("https://www.google.ru/search?q=56327-0025&amp;newwindow=1&amp;tbm=isch","Еще фото")</f>
        <v>Еще фото</v>
      </c>
      <c r="F2536" s="14"/>
      <c r="G2536" s="24" t="s">
        <v>2437</v>
      </c>
      <c r="H2536" s="24" t="s">
        <v>27</v>
      </c>
      <c r="I2536" s="24" t="s">
        <v>2438</v>
      </c>
      <c r="J2536" s="15" t="s">
        <v>37</v>
      </c>
      <c r="K2536" s="16" t="s">
        <v>29</v>
      </c>
      <c r="L2536" s="62"/>
      <c r="M2536" s="15" t="s">
        <v>72</v>
      </c>
      <c r="N2536" s="15" t="s">
        <v>31</v>
      </c>
      <c r="O2536" s="15"/>
      <c r="P2536" s="16" t="s">
        <v>32</v>
      </c>
      <c r="Q2536" s="17">
        <v>6799</v>
      </c>
      <c r="R2536" s="18">
        <v>45.58</v>
      </c>
      <c r="S2536" s="19">
        <v>4254.9884999999995</v>
      </c>
      <c r="T2536" s="20" t="s">
        <v>75</v>
      </c>
      <c r="U2536" s="21" t="s">
        <v>2453</v>
      </c>
      <c r="V2536" s="22">
        <v>40</v>
      </c>
      <c r="W2536" s="22">
        <v>2</v>
      </c>
      <c r="X2536" s="23"/>
    </row>
    <row r="2537" spans="1:24" s="1" customFormat="1" ht="108" customHeight="1" x14ac:dyDescent="0.3">
      <c r="A2537" s="11" t="s">
        <v>23</v>
      </c>
      <c r="B2537" s="11" t="s">
        <v>2454</v>
      </c>
      <c r="C2537" s="12" t="s">
        <v>2455</v>
      </c>
      <c r="D2537" s="13"/>
      <c r="E2537" s="43" t="str">
        <f>HYPERLINK("https://www.google.ru/search?q=A1987-0002&amp;newwindow=1&amp;tbm=isch","Еще фото")</f>
        <v>Еще фото</v>
      </c>
      <c r="F2537" s="14"/>
      <c r="G2537" s="11" t="s">
        <v>2438</v>
      </c>
      <c r="H2537" s="11" t="s">
        <v>27</v>
      </c>
      <c r="I2537" s="15" t="s">
        <v>2438</v>
      </c>
      <c r="J2537" s="15" t="s">
        <v>28</v>
      </c>
      <c r="K2537" s="16" t="s">
        <v>29</v>
      </c>
      <c r="L2537" s="15" t="s">
        <v>2456</v>
      </c>
      <c r="M2537" s="15" t="s">
        <v>72</v>
      </c>
      <c r="N2537" s="15" t="s">
        <v>130</v>
      </c>
      <c r="O2537" s="15"/>
      <c r="P2537" s="16" t="s">
        <v>32</v>
      </c>
      <c r="Q2537" s="17">
        <v>7900</v>
      </c>
      <c r="R2537" s="18">
        <v>45.57</v>
      </c>
      <c r="S2537" s="19">
        <v>4944.9884999999995</v>
      </c>
      <c r="T2537" s="20" t="s">
        <v>75</v>
      </c>
      <c r="U2537" s="21" t="s">
        <v>2457</v>
      </c>
      <c r="V2537" s="25" t="s">
        <v>538</v>
      </c>
      <c r="W2537" s="22">
        <v>1</v>
      </c>
      <c r="X2537" s="23"/>
    </row>
    <row r="2538" spans="1:24" s="1" customFormat="1" ht="108" customHeight="1" x14ac:dyDescent="0.3">
      <c r="A2538" s="11" t="s">
        <v>23</v>
      </c>
      <c r="B2538" s="11" t="s">
        <v>2458</v>
      </c>
      <c r="C2538" s="12" t="s">
        <v>2459</v>
      </c>
      <c r="D2538" s="13"/>
      <c r="E2538" s="43" t="str">
        <f>HYPERLINK("https://www.google.ru/search?q=56327-0556&amp;newwindow=1&amp;tbm=isch","Еще фото")</f>
        <v>Еще фото</v>
      </c>
      <c r="F2538" s="14"/>
      <c r="G2538" s="11" t="s">
        <v>2438</v>
      </c>
      <c r="H2538" s="11" t="s">
        <v>27</v>
      </c>
      <c r="I2538" s="15" t="s">
        <v>2438</v>
      </c>
      <c r="J2538" s="15" t="s">
        <v>37</v>
      </c>
      <c r="K2538" s="16" t="s">
        <v>29</v>
      </c>
      <c r="L2538" s="15"/>
      <c r="M2538" s="15"/>
      <c r="N2538" s="15" t="s">
        <v>31</v>
      </c>
      <c r="O2538" s="15"/>
      <c r="P2538" s="16" t="s">
        <v>1250</v>
      </c>
      <c r="Q2538" s="17">
        <v>7499</v>
      </c>
      <c r="R2538" s="18">
        <v>45.33</v>
      </c>
      <c r="S2538" s="19">
        <v>4714.9884999999995</v>
      </c>
      <c r="T2538" s="20" t="s">
        <v>75</v>
      </c>
      <c r="U2538" s="21" t="s">
        <v>212</v>
      </c>
      <c r="V2538" s="22">
        <v>44</v>
      </c>
      <c r="W2538" s="22">
        <v>1</v>
      </c>
      <c r="X2538" s="23"/>
    </row>
    <row r="2539" spans="1:24" s="1" customFormat="1" ht="108" customHeight="1" x14ac:dyDescent="0.3">
      <c r="A2539" s="11" t="s">
        <v>23</v>
      </c>
      <c r="B2539" s="11" t="s">
        <v>2460</v>
      </c>
      <c r="C2539" s="12" t="s">
        <v>2461</v>
      </c>
      <c r="D2539" s="13"/>
      <c r="E2539" s="43" t="str">
        <f>HYPERLINK("https://www.google.ru/search?q=005LU-0002&amp;newwindow=1&amp;tbm=isch","Еще фото")</f>
        <v>Еще фото</v>
      </c>
      <c r="F2539" s="14"/>
      <c r="G2539" s="11" t="s">
        <v>2438</v>
      </c>
      <c r="H2539" s="11" t="s">
        <v>27</v>
      </c>
      <c r="I2539" s="15" t="s">
        <v>2438</v>
      </c>
      <c r="J2539" s="15" t="s">
        <v>37</v>
      </c>
      <c r="K2539" s="16" t="s">
        <v>29</v>
      </c>
      <c r="L2539" s="15" t="s">
        <v>2462</v>
      </c>
      <c r="M2539" s="15"/>
      <c r="N2539" s="15" t="s">
        <v>31</v>
      </c>
      <c r="O2539" s="15"/>
      <c r="P2539" s="16" t="s">
        <v>32</v>
      </c>
      <c r="Q2539" s="17">
        <v>10199</v>
      </c>
      <c r="R2539" s="18">
        <v>45.09</v>
      </c>
      <c r="S2539" s="19">
        <v>6439.9884999999995</v>
      </c>
      <c r="T2539" s="20" t="s">
        <v>75</v>
      </c>
      <c r="U2539" s="21" t="s">
        <v>211</v>
      </c>
      <c r="V2539" s="25" t="s">
        <v>48</v>
      </c>
      <c r="W2539" s="22">
        <v>1</v>
      </c>
      <c r="X2539" s="23"/>
    </row>
    <row r="2540" spans="1:24" s="1" customFormat="1" ht="52.05" customHeight="1" x14ac:dyDescent="0.3">
      <c r="A2540" s="11" t="s">
        <v>23</v>
      </c>
      <c r="B2540" s="11" t="s">
        <v>2463</v>
      </c>
      <c r="C2540" s="12" t="s">
        <v>2464</v>
      </c>
      <c r="D2540" s="63"/>
      <c r="E2540" s="43" t="str">
        <f>HYPERLINK("https://www.google.ru/search?q=000MJ-0016&amp;newwindow=1&amp;tbm=isch","Еще фото")</f>
        <v>Еще фото</v>
      </c>
      <c r="F2540" s="14"/>
      <c r="G2540" s="11" t="s">
        <v>2437</v>
      </c>
      <c r="H2540" s="11" t="s">
        <v>27</v>
      </c>
      <c r="I2540" s="15" t="s">
        <v>2438</v>
      </c>
      <c r="J2540" s="15" t="s">
        <v>37</v>
      </c>
      <c r="K2540" s="16" t="s">
        <v>29</v>
      </c>
      <c r="L2540" s="60" t="s">
        <v>2465</v>
      </c>
      <c r="M2540" s="15"/>
      <c r="N2540" s="15" t="s">
        <v>130</v>
      </c>
      <c r="O2540" s="15"/>
      <c r="P2540" s="16" t="s">
        <v>1290</v>
      </c>
      <c r="Q2540" s="17">
        <v>7499</v>
      </c>
      <c r="R2540" s="18">
        <v>45</v>
      </c>
      <c r="S2540" s="19">
        <v>4743.1174999999994</v>
      </c>
      <c r="T2540" s="20" t="s">
        <v>75</v>
      </c>
      <c r="U2540" s="21" t="s">
        <v>214</v>
      </c>
      <c r="V2540" s="22">
        <v>48</v>
      </c>
      <c r="W2540" s="22">
        <v>1</v>
      </c>
      <c r="X2540" s="23"/>
    </row>
    <row r="2541" spans="1:24" s="1" customFormat="1" ht="61.05" customHeight="1" x14ac:dyDescent="0.3">
      <c r="A2541" s="24" t="s">
        <v>23</v>
      </c>
      <c r="B2541" s="24" t="s">
        <v>2463</v>
      </c>
      <c r="C2541" s="12" t="s">
        <v>2464</v>
      </c>
      <c r="D2541" s="64"/>
      <c r="E2541" s="43" t="str">
        <f>HYPERLINK("https://www.google.ru/search?q=000MJ-0016&amp;newwindow=1&amp;tbm=isch","Еще фото")</f>
        <v>Еще фото</v>
      </c>
      <c r="F2541" s="14"/>
      <c r="G2541" s="24" t="s">
        <v>2437</v>
      </c>
      <c r="H2541" s="24" t="s">
        <v>27</v>
      </c>
      <c r="I2541" s="24" t="s">
        <v>2438</v>
      </c>
      <c r="J2541" s="15" t="s">
        <v>37</v>
      </c>
      <c r="K2541" s="16" t="s">
        <v>29</v>
      </c>
      <c r="L2541" s="62"/>
      <c r="M2541" s="15"/>
      <c r="N2541" s="15" t="s">
        <v>130</v>
      </c>
      <c r="O2541" s="15"/>
      <c r="P2541" s="16" t="s">
        <v>1290</v>
      </c>
      <c r="Q2541" s="17">
        <v>7499</v>
      </c>
      <c r="R2541" s="18">
        <v>45</v>
      </c>
      <c r="S2541" s="19">
        <v>4743.1174999999994</v>
      </c>
      <c r="T2541" s="20" t="s">
        <v>75</v>
      </c>
      <c r="U2541" s="21" t="s">
        <v>216</v>
      </c>
      <c r="V2541" s="22">
        <v>50</v>
      </c>
      <c r="W2541" s="22">
        <v>1</v>
      </c>
      <c r="X2541" s="23"/>
    </row>
    <row r="2542" spans="1:24" s="1" customFormat="1" ht="52.05" customHeight="1" x14ac:dyDescent="0.3">
      <c r="A2542" s="11" t="s">
        <v>23</v>
      </c>
      <c r="B2542" s="11" t="s">
        <v>2466</v>
      </c>
      <c r="C2542" s="12" t="s">
        <v>2467</v>
      </c>
      <c r="D2542" s="63"/>
      <c r="E2542" s="43" t="str">
        <f>HYPERLINK("https://www.google.ru/search?q=000MJ-0017&amp;newwindow=1&amp;tbm=isch","Еще фото")</f>
        <v>Еще фото</v>
      </c>
      <c r="F2542" s="14"/>
      <c r="G2542" s="11" t="s">
        <v>2437</v>
      </c>
      <c r="H2542" s="11" t="s">
        <v>27</v>
      </c>
      <c r="I2542" s="15" t="s">
        <v>2438</v>
      </c>
      <c r="J2542" s="15" t="s">
        <v>37</v>
      </c>
      <c r="K2542" s="16" t="s">
        <v>29</v>
      </c>
      <c r="L2542" s="60" t="s">
        <v>2465</v>
      </c>
      <c r="M2542" s="15"/>
      <c r="N2542" s="15" t="s">
        <v>138</v>
      </c>
      <c r="O2542" s="15"/>
      <c r="P2542" s="16" t="s">
        <v>1290</v>
      </c>
      <c r="Q2542" s="17">
        <v>7499</v>
      </c>
      <c r="R2542" s="18">
        <v>45</v>
      </c>
      <c r="S2542" s="19">
        <v>4743.1174999999994</v>
      </c>
      <c r="T2542" s="20" t="s">
        <v>75</v>
      </c>
      <c r="U2542" s="21" t="s">
        <v>212</v>
      </c>
      <c r="V2542" s="22">
        <v>44</v>
      </c>
      <c r="W2542" s="22">
        <v>1</v>
      </c>
      <c r="X2542" s="23"/>
    </row>
    <row r="2543" spans="1:24" s="1" customFormat="1" ht="61.05" customHeight="1" x14ac:dyDescent="0.3">
      <c r="A2543" s="24" t="s">
        <v>23</v>
      </c>
      <c r="B2543" s="24" t="s">
        <v>2466</v>
      </c>
      <c r="C2543" s="12" t="s">
        <v>2467</v>
      </c>
      <c r="D2543" s="64"/>
      <c r="E2543" s="43" t="str">
        <f>HYPERLINK("https://www.google.ru/search?q=000MJ-0017&amp;newwindow=1&amp;tbm=isch","Еще фото")</f>
        <v>Еще фото</v>
      </c>
      <c r="F2543" s="14"/>
      <c r="G2543" s="24" t="s">
        <v>2437</v>
      </c>
      <c r="H2543" s="24" t="s">
        <v>27</v>
      </c>
      <c r="I2543" s="24" t="s">
        <v>2438</v>
      </c>
      <c r="J2543" s="15" t="s">
        <v>37</v>
      </c>
      <c r="K2543" s="16" t="s">
        <v>29</v>
      </c>
      <c r="L2543" s="62"/>
      <c r="M2543" s="15"/>
      <c r="N2543" s="15" t="s">
        <v>138</v>
      </c>
      <c r="O2543" s="15"/>
      <c r="P2543" s="16" t="s">
        <v>1290</v>
      </c>
      <c r="Q2543" s="17">
        <v>7499</v>
      </c>
      <c r="R2543" s="18">
        <v>45</v>
      </c>
      <c r="S2543" s="19">
        <v>4743.1174999999994</v>
      </c>
      <c r="T2543" s="20" t="s">
        <v>75</v>
      </c>
      <c r="U2543" s="21" t="s">
        <v>213</v>
      </c>
      <c r="V2543" s="22">
        <v>46</v>
      </c>
      <c r="W2543" s="22">
        <v>1</v>
      </c>
      <c r="X2543" s="23"/>
    </row>
    <row r="2544" spans="1:24" s="1" customFormat="1" ht="52.05" customHeight="1" x14ac:dyDescent="0.3">
      <c r="A2544" s="11" t="s">
        <v>23</v>
      </c>
      <c r="B2544" s="11" t="s">
        <v>2468</v>
      </c>
      <c r="C2544" s="12" t="s">
        <v>2469</v>
      </c>
      <c r="D2544" s="63"/>
      <c r="E2544" s="43" t="str">
        <f>HYPERLINK("https://www.google.ru/search?q=001KG-0011&amp;newwindow=1&amp;tbm=isch","Еще фото")</f>
        <v>Еще фото</v>
      </c>
      <c r="F2544" s="14"/>
      <c r="G2544" s="11" t="s">
        <v>2438</v>
      </c>
      <c r="H2544" s="11" t="s">
        <v>27</v>
      </c>
      <c r="I2544" s="15" t="s">
        <v>2438</v>
      </c>
      <c r="J2544" s="15" t="s">
        <v>37</v>
      </c>
      <c r="K2544" s="16" t="s">
        <v>57</v>
      </c>
      <c r="L2544" s="60" t="s">
        <v>2470</v>
      </c>
      <c r="M2544" s="15"/>
      <c r="N2544" s="15" t="s">
        <v>39</v>
      </c>
      <c r="O2544" s="15"/>
      <c r="P2544" s="16" t="s">
        <v>32</v>
      </c>
      <c r="Q2544" s="17">
        <v>7699</v>
      </c>
      <c r="R2544" s="18">
        <v>45</v>
      </c>
      <c r="S2544" s="19">
        <v>4869.6174999999994</v>
      </c>
      <c r="T2544" s="20" t="s">
        <v>75</v>
      </c>
      <c r="U2544" s="21" t="s">
        <v>213</v>
      </c>
      <c r="V2544" s="25" t="s">
        <v>63</v>
      </c>
      <c r="W2544" s="22">
        <v>2</v>
      </c>
      <c r="X2544" s="23"/>
    </row>
    <row r="2545" spans="1:24" s="1" customFormat="1" ht="61.05" customHeight="1" x14ac:dyDescent="0.3">
      <c r="A2545" s="24" t="s">
        <v>23</v>
      </c>
      <c r="B2545" s="24" t="s">
        <v>2468</v>
      </c>
      <c r="C2545" s="12" t="s">
        <v>2469</v>
      </c>
      <c r="D2545" s="64"/>
      <c r="E2545" s="43" t="str">
        <f>HYPERLINK("https://www.google.ru/search?q=001KG-0011&amp;newwindow=1&amp;tbm=isch","Еще фото")</f>
        <v>Еще фото</v>
      </c>
      <c r="F2545" s="14"/>
      <c r="G2545" s="24" t="s">
        <v>2438</v>
      </c>
      <c r="H2545" s="24" t="s">
        <v>27</v>
      </c>
      <c r="I2545" s="24" t="s">
        <v>2438</v>
      </c>
      <c r="J2545" s="15" t="s">
        <v>37</v>
      </c>
      <c r="K2545" s="16" t="s">
        <v>57</v>
      </c>
      <c r="L2545" s="62"/>
      <c r="M2545" s="15"/>
      <c r="N2545" s="15" t="s">
        <v>39</v>
      </c>
      <c r="O2545" s="15"/>
      <c r="P2545" s="16" t="s">
        <v>32</v>
      </c>
      <c r="Q2545" s="17">
        <v>7699</v>
      </c>
      <c r="R2545" s="18">
        <v>45</v>
      </c>
      <c r="S2545" s="19">
        <v>4869.6174999999994</v>
      </c>
      <c r="T2545" s="20" t="s">
        <v>75</v>
      </c>
      <c r="U2545" s="21" t="s">
        <v>214</v>
      </c>
      <c r="V2545" s="25" t="s">
        <v>65</v>
      </c>
      <c r="W2545" s="22">
        <v>1</v>
      </c>
      <c r="X2545" s="23"/>
    </row>
    <row r="2546" spans="1:24" s="1" customFormat="1" ht="108" customHeight="1" x14ac:dyDescent="0.3">
      <c r="A2546" s="11" t="s">
        <v>23</v>
      </c>
      <c r="B2546" s="11" t="s">
        <v>2468</v>
      </c>
      <c r="C2546" s="12" t="s">
        <v>2471</v>
      </c>
      <c r="D2546" s="13"/>
      <c r="E2546" s="43" t="str">
        <f>HYPERLINK("https://www.google.ru/search?q=001KG-0012&amp;newwindow=1&amp;tbm=isch","Еще фото")</f>
        <v>Еще фото</v>
      </c>
      <c r="F2546" s="14" t="s">
        <v>182</v>
      </c>
      <c r="G2546" s="11" t="s">
        <v>2438</v>
      </c>
      <c r="H2546" s="11" t="s">
        <v>27</v>
      </c>
      <c r="I2546" s="15" t="s">
        <v>2438</v>
      </c>
      <c r="J2546" s="15" t="s">
        <v>37</v>
      </c>
      <c r="K2546" s="16" t="s">
        <v>57</v>
      </c>
      <c r="L2546" s="15" t="s">
        <v>2470</v>
      </c>
      <c r="M2546" s="15"/>
      <c r="N2546" s="15" t="s">
        <v>31</v>
      </c>
      <c r="O2546" s="15"/>
      <c r="P2546" s="16" t="s">
        <v>32</v>
      </c>
      <c r="Q2546" s="17">
        <v>8799</v>
      </c>
      <c r="R2546" s="18">
        <v>45</v>
      </c>
      <c r="S2546" s="19">
        <v>5565.3674999999994</v>
      </c>
      <c r="T2546" s="20" t="s">
        <v>75</v>
      </c>
      <c r="U2546" s="21" t="s">
        <v>214</v>
      </c>
      <c r="V2546" s="25" t="s">
        <v>65</v>
      </c>
      <c r="W2546" s="22">
        <v>1</v>
      </c>
      <c r="X2546" s="23"/>
    </row>
    <row r="2547" spans="1:24" s="1" customFormat="1" ht="35" customHeight="1" x14ac:dyDescent="0.3">
      <c r="A2547" s="11" t="s">
        <v>23</v>
      </c>
      <c r="B2547" s="11" t="s">
        <v>2468</v>
      </c>
      <c r="C2547" s="12" t="s">
        <v>2472</v>
      </c>
      <c r="D2547" s="57"/>
      <c r="E2547" s="43" t="str">
        <f>HYPERLINK("https://www.google.ru/search?q=001KG-0013&amp;newwindow=1&amp;tbm=isch","Еще фото")</f>
        <v>Еще фото</v>
      </c>
      <c r="F2547" s="14" t="s">
        <v>182</v>
      </c>
      <c r="G2547" s="11" t="s">
        <v>2438</v>
      </c>
      <c r="H2547" s="11" t="s">
        <v>27</v>
      </c>
      <c r="I2547" s="15" t="s">
        <v>2438</v>
      </c>
      <c r="J2547" s="15" t="s">
        <v>37</v>
      </c>
      <c r="K2547" s="16" t="s">
        <v>57</v>
      </c>
      <c r="L2547" s="60" t="s">
        <v>2470</v>
      </c>
      <c r="M2547" s="15"/>
      <c r="N2547" s="15" t="s">
        <v>83</v>
      </c>
      <c r="O2547" s="15"/>
      <c r="P2547" s="16" t="s">
        <v>32</v>
      </c>
      <c r="Q2547" s="17">
        <v>8599</v>
      </c>
      <c r="R2547" s="18">
        <v>45</v>
      </c>
      <c r="S2547" s="19">
        <v>5438.8674999999994</v>
      </c>
      <c r="T2547" s="20" t="s">
        <v>75</v>
      </c>
      <c r="U2547" s="21" t="s">
        <v>214</v>
      </c>
      <c r="V2547" s="25" t="s">
        <v>65</v>
      </c>
      <c r="W2547" s="22">
        <v>6</v>
      </c>
      <c r="X2547" s="23"/>
    </row>
    <row r="2548" spans="1:24" s="1" customFormat="1" ht="35" customHeight="1" x14ac:dyDescent="0.3">
      <c r="A2548" s="24" t="s">
        <v>23</v>
      </c>
      <c r="B2548" s="24" t="s">
        <v>2468</v>
      </c>
      <c r="C2548" s="12" t="s">
        <v>2472</v>
      </c>
      <c r="D2548" s="58"/>
      <c r="E2548" s="43" t="str">
        <f>HYPERLINK("https://www.google.ru/search?q=001KG-0013&amp;newwindow=1&amp;tbm=isch","Еще фото")</f>
        <v>Еще фото</v>
      </c>
      <c r="F2548" s="14" t="s">
        <v>182</v>
      </c>
      <c r="G2548" s="24" t="s">
        <v>2438</v>
      </c>
      <c r="H2548" s="24" t="s">
        <v>27</v>
      </c>
      <c r="I2548" s="24" t="s">
        <v>2438</v>
      </c>
      <c r="J2548" s="15" t="s">
        <v>37</v>
      </c>
      <c r="K2548" s="16" t="s">
        <v>57</v>
      </c>
      <c r="L2548" s="61"/>
      <c r="M2548" s="15"/>
      <c r="N2548" s="15" t="s">
        <v>83</v>
      </c>
      <c r="O2548" s="15"/>
      <c r="P2548" s="16" t="s">
        <v>32</v>
      </c>
      <c r="Q2548" s="17">
        <v>8599</v>
      </c>
      <c r="R2548" s="18">
        <v>45</v>
      </c>
      <c r="S2548" s="19">
        <v>5438.8674999999994</v>
      </c>
      <c r="T2548" s="20" t="s">
        <v>75</v>
      </c>
      <c r="U2548" s="21" t="s">
        <v>215</v>
      </c>
      <c r="V2548" s="25" t="s">
        <v>65</v>
      </c>
      <c r="W2548" s="22">
        <v>7</v>
      </c>
      <c r="X2548" s="23"/>
    </row>
    <row r="2549" spans="1:24" s="1" customFormat="1" ht="37.049999999999997" customHeight="1" x14ac:dyDescent="0.3">
      <c r="A2549" s="24" t="s">
        <v>23</v>
      </c>
      <c r="B2549" s="24" t="s">
        <v>2468</v>
      </c>
      <c r="C2549" s="12" t="s">
        <v>2472</v>
      </c>
      <c r="D2549" s="59"/>
      <c r="E2549" s="43" t="str">
        <f>HYPERLINK("https://www.google.ru/search?q=001KG-0013&amp;newwindow=1&amp;tbm=isch","Еще фото")</f>
        <v>Еще фото</v>
      </c>
      <c r="F2549" s="14" t="s">
        <v>182</v>
      </c>
      <c r="G2549" s="24" t="s">
        <v>2438</v>
      </c>
      <c r="H2549" s="24" t="s">
        <v>27</v>
      </c>
      <c r="I2549" s="24" t="s">
        <v>2438</v>
      </c>
      <c r="J2549" s="15" t="s">
        <v>37</v>
      </c>
      <c r="K2549" s="16" t="s">
        <v>57</v>
      </c>
      <c r="L2549" s="62"/>
      <c r="M2549" s="15"/>
      <c r="N2549" s="15" t="s">
        <v>83</v>
      </c>
      <c r="O2549" s="15"/>
      <c r="P2549" s="16" t="s">
        <v>32</v>
      </c>
      <c r="Q2549" s="17">
        <v>8599</v>
      </c>
      <c r="R2549" s="18">
        <v>45</v>
      </c>
      <c r="S2549" s="19">
        <v>5438.8674999999994</v>
      </c>
      <c r="T2549" s="20" t="s">
        <v>75</v>
      </c>
      <c r="U2549" s="21" t="s">
        <v>216</v>
      </c>
      <c r="V2549" s="25" t="s">
        <v>96</v>
      </c>
      <c r="W2549" s="22">
        <v>2</v>
      </c>
      <c r="X2549" s="23"/>
    </row>
    <row r="2550" spans="1:24" s="1" customFormat="1" ht="108" customHeight="1" x14ac:dyDescent="0.3">
      <c r="A2550" s="11" t="s">
        <v>23</v>
      </c>
      <c r="B2550" s="11" t="s">
        <v>2473</v>
      </c>
      <c r="C2550" s="12" t="s">
        <v>2474</v>
      </c>
      <c r="D2550" s="13"/>
      <c r="E2550" s="43" t="str">
        <f>HYPERLINK("https://www.google.ru/search?q=005DS-0001&amp;newwindow=1&amp;tbm=isch","Еще фото")</f>
        <v>Еще фото</v>
      </c>
      <c r="F2550" s="14"/>
      <c r="G2550" s="11" t="s">
        <v>2438</v>
      </c>
      <c r="H2550" s="11" t="s">
        <v>27</v>
      </c>
      <c r="I2550" s="15" t="s">
        <v>2438</v>
      </c>
      <c r="J2550" s="15" t="s">
        <v>37</v>
      </c>
      <c r="K2550" s="16" t="s">
        <v>29</v>
      </c>
      <c r="L2550" s="15" t="s">
        <v>2475</v>
      </c>
      <c r="M2550" s="15"/>
      <c r="N2550" s="15" t="s">
        <v>138</v>
      </c>
      <c r="O2550" s="15"/>
      <c r="P2550" s="16" t="s">
        <v>32</v>
      </c>
      <c r="Q2550" s="17">
        <v>10199</v>
      </c>
      <c r="R2550" s="18">
        <v>45</v>
      </c>
      <c r="S2550" s="19">
        <v>6450.8674999999994</v>
      </c>
      <c r="T2550" s="20" t="s">
        <v>75</v>
      </c>
      <c r="U2550" s="21" t="s">
        <v>212</v>
      </c>
      <c r="V2550" s="22">
        <v>44</v>
      </c>
      <c r="W2550" s="22">
        <v>1</v>
      </c>
      <c r="X2550" s="23"/>
    </row>
    <row r="2551" spans="1:24" s="1" customFormat="1" ht="13.05" customHeight="1" x14ac:dyDescent="0.3">
      <c r="A2551" s="11" t="s">
        <v>23</v>
      </c>
      <c r="B2551" s="11" t="s">
        <v>2473</v>
      </c>
      <c r="C2551" s="12" t="s">
        <v>2476</v>
      </c>
      <c r="D2551" s="57"/>
      <c r="E2551" s="43" t="str">
        <f t="shared" ref="E2551:E2558" si="113">HYPERLINK("https://www.google.ru/search?q=005DS-0007&amp;newwindow=1&amp;tbm=isch","Еще фото")</f>
        <v>Еще фото</v>
      </c>
      <c r="F2551" s="14"/>
      <c r="G2551" s="11" t="s">
        <v>2438</v>
      </c>
      <c r="H2551" s="11" t="s">
        <v>27</v>
      </c>
      <c r="I2551" s="15" t="s">
        <v>2438</v>
      </c>
      <c r="J2551" s="15" t="s">
        <v>37</v>
      </c>
      <c r="K2551" s="16" t="s">
        <v>29</v>
      </c>
      <c r="L2551" s="60" t="s">
        <v>2475</v>
      </c>
      <c r="M2551" s="15"/>
      <c r="N2551" s="15" t="s">
        <v>31</v>
      </c>
      <c r="O2551" s="15"/>
      <c r="P2551" s="16" t="s">
        <v>32</v>
      </c>
      <c r="Q2551" s="17">
        <v>10199</v>
      </c>
      <c r="R2551" s="18">
        <v>45</v>
      </c>
      <c r="S2551" s="19">
        <v>6450.8674999999994</v>
      </c>
      <c r="T2551" s="20" t="s">
        <v>75</v>
      </c>
      <c r="U2551" s="33" t="s">
        <v>2453</v>
      </c>
      <c r="V2551" s="22">
        <v>40</v>
      </c>
      <c r="W2551" s="22">
        <v>2</v>
      </c>
      <c r="X2551" s="23"/>
    </row>
    <row r="2552" spans="1:24" s="1" customFormat="1" ht="13.05" customHeight="1" x14ac:dyDescent="0.3">
      <c r="A2552" s="24" t="s">
        <v>23</v>
      </c>
      <c r="B2552" s="24" t="s">
        <v>2473</v>
      </c>
      <c r="C2552" s="12" t="s">
        <v>2476</v>
      </c>
      <c r="D2552" s="58"/>
      <c r="E2552" s="43" t="str">
        <f t="shared" si="113"/>
        <v>Еще фото</v>
      </c>
      <c r="F2552" s="14"/>
      <c r="G2552" s="24" t="s">
        <v>2438</v>
      </c>
      <c r="H2552" s="24" t="s">
        <v>27</v>
      </c>
      <c r="I2552" s="24" t="s">
        <v>2438</v>
      </c>
      <c r="J2552" s="15" t="s">
        <v>37</v>
      </c>
      <c r="K2552" s="16" t="s">
        <v>29</v>
      </c>
      <c r="L2552" s="61"/>
      <c r="M2552" s="15"/>
      <c r="N2552" s="15" t="s">
        <v>31</v>
      </c>
      <c r="O2552" s="15"/>
      <c r="P2552" s="16" t="s">
        <v>32</v>
      </c>
      <c r="Q2552" s="17">
        <v>10199</v>
      </c>
      <c r="R2552" s="18">
        <v>45</v>
      </c>
      <c r="S2552" s="19">
        <v>6450.8674999999994</v>
      </c>
      <c r="T2552" s="20" t="s">
        <v>75</v>
      </c>
      <c r="U2552" s="21" t="s">
        <v>2477</v>
      </c>
      <c r="V2552" s="25" t="s">
        <v>44</v>
      </c>
      <c r="W2552" s="22">
        <v>5</v>
      </c>
      <c r="X2552" s="23"/>
    </row>
    <row r="2553" spans="1:24" s="1" customFormat="1" ht="13.05" customHeight="1" x14ac:dyDescent="0.3">
      <c r="A2553" s="24" t="s">
        <v>23</v>
      </c>
      <c r="B2553" s="24" t="s">
        <v>2473</v>
      </c>
      <c r="C2553" s="12" t="s">
        <v>2476</v>
      </c>
      <c r="D2553" s="58"/>
      <c r="E2553" s="43" t="str">
        <f t="shared" si="113"/>
        <v>Еще фото</v>
      </c>
      <c r="F2553" s="14"/>
      <c r="G2553" s="24" t="s">
        <v>2438</v>
      </c>
      <c r="H2553" s="24" t="s">
        <v>27</v>
      </c>
      <c r="I2553" s="24" t="s">
        <v>2438</v>
      </c>
      <c r="J2553" s="15" t="s">
        <v>37</v>
      </c>
      <c r="K2553" s="16" t="s">
        <v>29</v>
      </c>
      <c r="L2553" s="61"/>
      <c r="M2553" s="15"/>
      <c r="N2553" s="15" t="s">
        <v>31</v>
      </c>
      <c r="O2553" s="15"/>
      <c r="P2553" s="16" t="s">
        <v>32</v>
      </c>
      <c r="Q2553" s="17">
        <v>10199</v>
      </c>
      <c r="R2553" s="18">
        <v>45</v>
      </c>
      <c r="S2553" s="19">
        <v>6450.8674999999994</v>
      </c>
      <c r="T2553" s="20" t="s">
        <v>75</v>
      </c>
      <c r="U2553" s="21" t="s">
        <v>210</v>
      </c>
      <c r="V2553" s="22">
        <v>42</v>
      </c>
      <c r="W2553" s="22">
        <v>3</v>
      </c>
      <c r="X2553" s="23"/>
    </row>
    <row r="2554" spans="1:24" s="1" customFormat="1" ht="13.05" customHeight="1" x14ac:dyDescent="0.3">
      <c r="A2554" s="24" t="s">
        <v>23</v>
      </c>
      <c r="B2554" s="24" t="s">
        <v>2473</v>
      </c>
      <c r="C2554" s="12" t="s">
        <v>2476</v>
      </c>
      <c r="D2554" s="58"/>
      <c r="E2554" s="43" t="str">
        <f t="shared" si="113"/>
        <v>Еще фото</v>
      </c>
      <c r="F2554" s="14"/>
      <c r="G2554" s="24" t="s">
        <v>2438</v>
      </c>
      <c r="H2554" s="24" t="s">
        <v>27</v>
      </c>
      <c r="I2554" s="24" t="s">
        <v>2438</v>
      </c>
      <c r="J2554" s="15" t="s">
        <v>37</v>
      </c>
      <c r="K2554" s="16" t="s">
        <v>29</v>
      </c>
      <c r="L2554" s="61"/>
      <c r="M2554" s="15"/>
      <c r="N2554" s="15" t="s">
        <v>31</v>
      </c>
      <c r="O2554" s="15"/>
      <c r="P2554" s="16" t="s">
        <v>32</v>
      </c>
      <c r="Q2554" s="17">
        <v>10199</v>
      </c>
      <c r="R2554" s="18">
        <v>45</v>
      </c>
      <c r="S2554" s="19">
        <v>6450.8674999999994</v>
      </c>
      <c r="T2554" s="20" t="s">
        <v>75</v>
      </c>
      <c r="U2554" s="21" t="s">
        <v>211</v>
      </c>
      <c r="V2554" s="25" t="s">
        <v>48</v>
      </c>
      <c r="W2554" s="22">
        <v>4</v>
      </c>
      <c r="X2554" s="23"/>
    </row>
    <row r="2555" spans="1:24" s="1" customFormat="1" ht="13.05" customHeight="1" x14ac:dyDescent="0.3">
      <c r="A2555" s="24" t="s">
        <v>23</v>
      </c>
      <c r="B2555" s="24" t="s">
        <v>2473</v>
      </c>
      <c r="C2555" s="12" t="s">
        <v>2476</v>
      </c>
      <c r="D2555" s="58"/>
      <c r="E2555" s="43" t="str">
        <f t="shared" si="113"/>
        <v>Еще фото</v>
      </c>
      <c r="F2555" s="14"/>
      <c r="G2555" s="24" t="s">
        <v>2438</v>
      </c>
      <c r="H2555" s="24" t="s">
        <v>27</v>
      </c>
      <c r="I2555" s="24" t="s">
        <v>2438</v>
      </c>
      <c r="J2555" s="15" t="s">
        <v>37</v>
      </c>
      <c r="K2555" s="16" t="s">
        <v>29</v>
      </c>
      <c r="L2555" s="61"/>
      <c r="M2555" s="15"/>
      <c r="N2555" s="15" t="s">
        <v>31</v>
      </c>
      <c r="O2555" s="15"/>
      <c r="P2555" s="16" t="s">
        <v>32</v>
      </c>
      <c r="Q2555" s="17">
        <v>10199</v>
      </c>
      <c r="R2555" s="18">
        <v>45</v>
      </c>
      <c r="S2555" s="19">
        <v>6450.8674999999994</v>
      </c>
      <c r="T2555" s="20" t="s">
        <v>75</v>
      </c>
      <c r="U2555" s="21" t="s">
        <v>212</v>
      </c>
      <c r="V2555" s="22">
        <v>44</v>
      </c>
      <c r="W2555" s="22">
        <v>5</v>
      </c>
      <c r="X2555" s="23"/>
    </row>
    <row r="2556" spans="1:24" s="1" customFormat="1" ht="13.05" customHeight="1" x14ac:dyDescent="0.3">
      <c r="A2556" s="24" t="s">
        <v>23</v>
      </c>
      <c r="B2556" s="24" t="s">
        <v>2473</v>
      </c>
      <c r="C2556" s="12" t="s">
        <v>2476</v>
      </c>
      <c r="D2556" s="58"/>
      <c r="E2556" s="43" t="str">
        <f t="shared" si="113"/>
        <v>Еще фото</v>
      </c>
      <c r="F2556" s="14"/>
      <c r="G2556" s="24" t="s">
        <v>2438</v>
      </c>
      <c r="H2556" s="24" t="s">
        <v>27</v>
      </c>
      <c r="I2556" s="24" t="s">
        <v>2438</v>
      </c>
      <c r="J2556" s="15" t="s">
        <v>37</v>
      </c>
      <c r="K2556" s="16" t="s">
        <v>29</v>
      </c>
      <c r="L2556" s="61"/>
      <c r="M2556" s="15"/>
      <c r="N2556" s="15" t="s">
        <v>31</v>
      </c>
      <c r="O2556" s="15"/>
      <c r="P2556" s="16" t="s">
        <v>32</v>
      </c>
      <c r="Q2556" s="17">
        <v>10199</v>
      </c>
      <c r="R2556" s="18">
        <v>45</v>
      </c>
      <c r="S2556" s="19">
        <v>6450.8674999999994</v>
      </c>
      <c r="T2556" s="20" t="s">
        <v>75</v>
      </c>
      <c r="U2556" s="21" t="s">
        <v>213</v>
      </c>
      <c r="V2556" s="22">
        <v>46</v>
      </c>
      <c r="W2556" s="22">
        <v>2</v>
      </c>
      <c r="X2556" s="23"/>
    </row>
    <row r="2557" spans="1:24" s="1" customFormat="1" ht="13.05" customHeight="1" x14ac:dyDescent="0.3">
      <c r="A2557" s="24" t="s">
        <v>23</v>
      </c>
      <c r="B2557" s="24" t="s">
        <v>2473</v>
      </c>
      <c r="C2557" s="12" t="s">
        <v>2476</v>
      </c>
      <c r="D2557" s="58"/>
      <c r="E2557" s="43" t="str">
        <f t="shared" si="113"/>
        <v>Еще фото</v>
      </c>
      <c r="F2557" s="14"/>
      <c r="G2557" s="24" t="s">
        <v>2438</v>
      </c>
      <c r="H2557" s="24" t="s">
        <v>27</v>
      </c>
      <c r="I2557" s="24" t="s">
        <v>2438</v>
      </c>
      <c r="J2557" s="15" t="s">
        <v>37</v>
      </c>
      <c r="K2557" s="16" t="s">
        <v>29</v>
      </c>
      <c r="L2557" s="61"/>
      <c r="M2557" s="15"/>
      <c r="N2557" s="15" t="s">
        <v>31</v>
      </c>
      <c r="O2557" s="15"/>
      <c r="P2557" s="16" t="s">
        <v>32</v>
      </c>
      <c r="Q2557" s="17">
        <v>10199</v>
      </c>
      <c r="R2557" s="18">
        <v>45</v>
      </c>
      <c r="S2557" s="19">
        <v>6450.8674999999994</v>
      </c>
      <c r="T2557" s="20" t="s">
        <v>75</v>
      </c>
      <c r="U2557" s="21" t="s">
        <v>214</v>
      </c>
      <c r="V2557" s="22">
        <v>48</v>
      </c>
      <c r="W2557" s="22">
        <v>2</v>
      </c>
      <c r="X2557" s="23"/>
    </row>
    <row r="2558" spans="1:24" s="1" customFormat="1" ht="18" customHeight="1" x14ac:dyDescent="0.3">
      <c r="A2558" s="24" t="s">
        <v>23</v>
      </c>
      <c r="B2558" s="24" t="s">
        <v>2473</v>
      </c>
      <c r="C2558" s="12" t="s">
        <v>2476</v>
      </c>
      <c r="D2558" s="59"/>
      <c r="E2558" s="43" t="str">
        <f t="shared" si="113"/>
        <v>Еще фото</v>
      </c>
      <c r="F2558" s="14"/>
      <c r="G2558" s="24" t="s">
        <v>2438</v>
      </c>
      <c r="H2558" s="24" t="s">
        <v>27</v>
      </c>
      <c r="I2558" s="24" t="s">
        <v>2438</v>
      </c>
      <c r="J2558" s="15" t="s">
        <v>37</v>
      </c>
      <c r="K2558" s="16" t="s">
        <v>29</v>
      </c>
      <c r="L2558" s="62"/>
      <c r="M2558" s="15"/>
      <c r="N2558" s="15" t="s">
        <v>31</v>
      </c>
      <c r="O2558" s="15"/>
      <c r="P2558" s="16" t="s">
        <v>32</v>
      </c>
      <c r="Q2558" s="17">
        <v>10199</v>
      </c>
      <c r="R2558" s="18">
        <v>45</v>
      </c>
      <c r="S2558" s="19">
        <v>6450.8674999999994</v>
      </c>
      <c r="T2558" s="20" t="s">
        <v>75</v>
      </c>
      <c r="U2558" s="21" t="s">
        <v>215</v>
      </c>
      <c r="V2558" s="25" t="s">
        <v>96</v>
      </c>
      <c r="W2558" s="22">
        <v>1</v>
      </c>
      <c r="X2558" s="23"/>
    </row>
    <row r="2559" spans="1:24" s="1" customFormat="1" ht="52.05" customHeight="1" x14ac:dyDescent="0.3">
      <c r="A2559" s="11" t="s">
        <v>23</v>
      </c>
      <c r="B2559" s="11" t="s">
        <v>2478</v>
      </c>
      <c r="C2559" s="12" t="s">
        <v>2479</v>
      </c>
      <c r="D2559" s="63"/>
      <c r="E2559" s="43" t="str">
        <f>HYPERLINK("https://www.google.ru/search?q=005DT-0002&amp;newwindow=1&amp;tbm=isch","Еще фото")</f>
        <v>Еще фото</v>
      </c>
      <c r="F2559" s="14"/>
      <c r="G2559" s="11" t="s">
        <v>2438</v>
      </c>
      <c r="H2559" s="11" t="s">
        <v>27</v>
      </c>
      <c r="I2559" s="15" t="s">
        <v>2438</v>
      </c>
      <c r="J2559" s="15" t="s">
        <v>37</v>
      </c>
      <c r="K2559" s="16" t="s">
        <v>29</v>
      </c>
      <c r="L2559" s="60" t="s">
        <v>2480</v>
      </c>
      <c r="M2559" s="15"/>
      <c r="N2559" s="15" t="s">
        <v>130</v>
      </c>
      <c r="O2559" s="15"/>
      <c r="P2559" s="16" t="s">
        <v>172</v>
      </c>
      <c r="Q2559" s="17">
        <v>7099</v>
      </c>
      <c r="R2559" s="18">
        <v>45</v>
      </c>
      <c r="S2559" s="19">
        <v>4490.1174999999994</v>
      </c>
      <c r="T2559" s="20" t="s">
        <v>75</v>
      </c>
      <c r="U2559" s="21" t="s">
        <v>210</v>
      </c>
      <c r="V2559" s="22">
        <v>42</v>
      </c>
      <c r="W2559" s="22">
        <v>1</v>
      </c>
      <c r="X2559" s="23"/>
    </row>
    <row r="2560" spans="1:24" s="1" customFormat="1" ht="61.05" customHeight="1" x14ac:dyDescent="0.3">
      <c r="A2560" s="24" t="s">
        <v>23</v>
      </c>
      <c r="B2560" s="24" t="s">
        <v>2478</v>
      </c>
      <c r="C2560" s="12" t="s">
        <v>2479</v>
      </c>
      <c r="D2560" s="64"/>
      <c r="E2560" s="43" t="str">
        <f>HYPERLINK("https://www.google.ru/search?q=005DT-0002&amp;newwindow=1&amp;tbm=isch","Еще фото")</f>
        <v>Еще фото</v>
      </c>
      <c r="F2560" s="14"/>
      <c r="G2560" s="24" t="s">
        <v>2438</v>
      </c>
      <c r="H2560" s="24" t="s">
        <v>27</v>
      </c>
      <c r="I2560" s="24" t="s">
        <v>2438</v>
      </c>
      <c r="J2560" s="15" t="s">
        <v>37</v>
      </c>
      <c r="K2560" s="16" t="s">
        <v>29</v>
      </c>
      <c r="L2560" s="62"/>
      <c r="M2560" s="15"/>
      <c r="N2560" s="15" t="s">
        <v>130</v>
      </c>
      <c r="O2560" s="15"/>
      <c r="P2560" s="16" t="s">
        <v>172</v>
      </c>
      <c r="Q2560" s="17">
        <v>7099</v>
      </c>
      <c r="R2560" s="18">
        <v>45</v>
      </c>
      <c r="S2560" s="19">
        <v>4490.1174999999994</v>
      </c>
      <c r="T2560" s="20" t="s">
        <v>75</v>
      </c>
      <c r="U2560" s="21" t="s">
        <v>213</v>
      </c>
      <c r="V2560" s="22">
        <v>46</v>
      </c>
      <c r="W2560" s="22">
        <v>1</v>
      </c>
      <c r="X2560" s="23"/>
    </row>
    <row r="2561" spans="1:24" s="1" customFormat="1" ht="108" customHeight="1" x14ac:dyDescent="0.3">
      <c r="A2561" s="11" t="s">
        <v>23</v>
      </c>
      <c r="B2561" s="11" t="s">
        <v>2481</v>
      </c>
      <c r="C2561" s="12" t="s">
        <v>2482</v>
      </c>
      <c r="D2561" s="13"/>
      <c r="E2561" s="43" t="str">
        <f>HYPERLINK("https://www.google.ru/search?q=005DT-0004&amp;newwindow=1&amp;tbm=isch","Еще фото")</f>
        <v>Еще фото</v>
      </c>
      <c r="F2561" s="14"/>
      <c r="G2561" s="11" t="s">
        <v>2438</v>
      </c>
      <c r="H2561" s="11" t="s">
        <v>27</v>
      </c>
      <c r="I2561" s="15" t="s">
        <v>2438</v>
      </c>
      <c r="J2561" s="15" t="s">
        <v>37</v>
      </c>
      <c r="K2561" s="16" t="s">
        <v>29</v>
      </c>
      <c r="L2561" s="15"/>
      <c r="M2561" s="15"/>
      <c r="N2561" s="15" t="s">
        <v>130</v>
      </c>
      <c r="O2561" s="15"/>
      <c r="P2561" s="16" t="s">
        <v>32</v>
      </c>
      <c r="Q2561" s="17">
        <v>7499</v>
      </c>
      <c r="R2561" s="18">
        <v>45</v>
      </c>
      <c r="S2561" s="19">
        <v>4743.1174999999994</v>
      </c>
      <c r="T2561" s="20" t="s">
        <v>75</v>
      </c>
      <c r="U2561" s="21" t="s">
        <v>210</v>
      </c>
      <c r="V2561" s="22">
        <v>42</v>
      </c>
      <c r="W2561" s="22">
        <v>1</v>
      </c>
      <c r="X2561" s="23"/>
    </row>
    <row r="2562" spans="1:24" s="1" customFormat="1" ht="52.05" customHeight="1" x14ac:dyDescent="0.3">
      <c r="A2562" s="11" t="s">
        <v>23</v>
      </c>
      <c r="B2562" s="11" t="s">
        <v>2483</v>
      </c>
      <c r="C2562" s="12" t="s">
        <v>2484</v>
      </c>
      <c r="D2562" s="63"/>
      <c r="E2562" s="43" t="str">
        <f>HYPERLINK("https://www.google.ru/search?q=36512-0278&amp;newwindow=1&amp;tbm=isch","Еще фото")</f>
        <v>Еще фото</v>
      </c>
      <c r="F2562" s="14"/>
      <c r="G2562" s="11" t="s">
        <v>2438</v>
      </c>
      <c r="H2562" s="11" t="s">
        <v>27</v>
      </c>
      <c r="I2562" s="15" t="s">
        <v>2438</v>
      </c>
      <c r="J2562" s="15" t="s">
        <v>37</v>
      </c>
      <c r="K2562" s="16" t="s">
        <v>57</v>
      </c>
      <c r="L2562" s="60"/>
      <c r="M2562" s="15"/>
      <c r="N2562" s="15" t="s">
        <v>39</v>
      </c>
      <c r="O2562" s="15"/>
      <c r="P2562" s="16" t="s">
        <v>254</v>
      </c>
      <c r="Q2562" s="17">
        <v>8199</v>
      </c>
      <c r="R2562" s="18">
        <v>45</v>
      </c>
      <c r="S2562" s="19">
        <v>5185.8674999999994</v>
      </c>
      <c r="T2562" s="20" t="s">
        <v>75</v>
      </c>
      <c r="U2562" s="21" t="s">
        <v>215</v>
      </c>
      <c r="V2562" s="25" t="s">
        <v>65</v>
      </c>
      <c r="W2562" s="22">
        <v>1</v>
      </c>
      <c r="X2562" s="23"/>
    </row>
    <row r="2563" spans="1:24" s="1" customFormat="1" ht="61.05" customHeight="1" x14ac:dyDescent="0.3">
      <c r="A2563" s="24" t="s">
        <v>23</v>
      </c>
      <c r="B2563" s="24" t="s">
        <v>2483</v>
      </c>
      <c r="C2563" s="12" t="s">
        <v>2484</v>
      </c>
      <c r="D2563" s="64"/>
      <c r="E2563" s="43" t="str">
        <f>HYPERLINK("https://www.google.ru/search?q=36512-0278&amp;newwindow=1&amp;tbm=isch","Еще фото")</f>
        <v>Еще фото</v>
      </c>
      <c r="F2563" s="14"/>
      <c r="G2563" s="24" t="s">
        <v>2438</v>
      </c>
      <c r="H2563" s="24" t="s">
        <v>27</v>
      </c>
      <c r="I2563" s="24" t="s">
        <v>2438</v>
      </c>
      <c r="J2563" s="15" t="s">
        <v>37</v>
      </c>
      <c r="K2563" s="16" t="s">
        <v>57</v>
      </c>
      <c r="L2563" s="62"/>
      <c r="M2563" s="15"/>
      <c r="N2563" s="15" t="s">
        <v>39</v>
      </c>
      <c r="O2563" s="15"/>
      <c r="P2563" s="16" t="s">
        <v>254</v>
      </c>
      <c r="Q2563" s="17">
        <v>8199</v>
      </c>
      <c r="R2563" s="18">
        <v>45</v>
      </c>
      <c r="S2563" s="19">
        <v>5185.8674999999994</v>
      </c>
      <c r="T2563" s="20" t="s">
        <v>75</v>
      </c>
      <c r="U2563" s="21" t="s">
        <v>2485</v>
      </c>
      <c r="V2563" s="22">
        <v>50</v>
      </c>
      <c r="W2563" s="22">
        <v>1</v>
      </c>
      <c r="X2563" s="23"/>
    </row>
    <row r="2564" spans="1:24" s="1" customFormat="1" ht="108" customHeight="1" x14ac:dyDescent="0.3">
      <c r="A2564" s="11" t="s">
        <v>23</v>
      </c>
      <c r="B2564" s="11" t="s">
        <v>2486</v>
      </c>
      <c r="C2564" s="12" t="s">
        <v>2487</v>
      </c>
      <c r="D2564" s="13"/>
      <c r="E2564" s="43" t="str">
        <f>HYPERLINK("https://www.google.ru/search?q=36512-0281&amp;newwindow=1&amp;tbm=isch","Еще фото")</f>
        <v>Еще фото</v>
      </c>
      <c r="F2564" s="14"/>
      <c r="G2564" s="11" t="s">
        <v>2438</v>
      </c>
      <c r="H2564" s="11" t="s">
        <v>27</v>
      </c>
      <c r="I2564" s="15" t="s">
        <v>2438</v>
      </c>
      <c r="J2564" s="15" t="s">
        <v>37</v>
      </c>
      <c r="K2564" s="16" t="s">
        <v>57</v>
      </c>
      <c r="L2564" s="15" t="s">
        <v>2488</v>
      </c>
      <c r="M2564" s="15"/>
      <c r="N2564" s="15" t="s">
        <v>130</v>
      </c>
      <c r="O2564" s="15"/>
      <c r="P2564" s="16" t="s">
        <v>254</v>
      </c>
      <c r="Q2564" s="17">
        <v>8199</v>
      </c>
      <c r="R2564" s="18">
        <v>45</v>
      </c>
      <c r="S2564" s="19">
        <v>5185.8674999999994</v>
      </c>
      <c r="T2564" s="20" t="s">
        <v>75</v>
      </c>
      <c r="U2564" s="21" t="s">
        <v>2485</v>
      </c>
      <c r="V2564" s="22">
        <v>50</v>
      </c>
      <c r="W2564" s="22">
        <v>1</v>
      </c>
      <c r="X2564" s="23"/>
    </row>
    <row r="2565" spans="1:24" s="1" customFormat="1" ht="108" customHeight="1" x14ac:dyDescent="0.3">
      <c r="A2565" s="11" t="s">
        <v>23</v>
      </c>
      <c r="B2565" s="11" t="s">
        <v>2483</v>
      </c>
      <c r="C2565" s="12" t="s">
        <v>2489</v>
      </c>
      <c r="D2565" s="13"/>
      <c r="E2565" s="43" t="str">
        <f>HYPERLINK("https://www.google.ru/search?q=36512-0292&amp;newwindow=1&amp;tbm=isch","Еще фото")</f>
        <v>Еще фото</v>
      </c>
      <c r="F2565" s="14"/>
      <c r="G2565" s="11" t="s">
        <v>2438</v>
      </c>
      <c r="H2565" s="11" t="s">
        <v>27</v>
      </c>
      <c r="I2565" s="15" t="s">
        <v>2438</v>
      </c>
      <c r="J2565" s="15" t="s">
        <v>37</v>
      </c>
      <c r="K2565" s="16" t="s">
        <v>57</v>
      </c>
      <c r="L2565" s="15" t="s">
        <v>2488</v>
      </c>
      <c r="M2565" s="15"/>
      <c r="N2565" s="15" t="s">
        <v>87</v>
      </c>
      <c r="O2565" s="15"/>
      <c r="P2565" s="16" t="s">
        <v>254</v>
      </c>
      <c r="Q2565" s="17">
        <v>8199</v>
      </c>
      <c r="R2565" s="18">
        <v>45</v>
      </c>
      <c r="S2565" s="19">
        <v>5185.8674999999994</v>
      </c>
      <c r="T2565" s="20" t="s">
        <v>75</v>
      </c>
      <c r="U2565" s="21" t="s">
        <v>2490</v>
      </c>
      <c r="V2565" s="22">
        <v>54</v>
      </c>
      <c r="W2565" s="22">
        <v>1</v>
      </c>
      <c r="X2565" s="23"/>
    </row>
    <row r="2566" spans="1:24" s="1" customFormat="1" ht="17" customHeight="1" x14ac:dyDescent="0.3">
      <c r="A2566" s="11" t="s">
        <v>23</v>
      </c>
      <c r="B2566" s="11" t="s">
        <v>2491</v>
      </c>
      <c r="C2566" s="12" t="s">
        <v>2492</v>
      </c>
      <c r="D2566" s="57"/>
      <c r="E2566" s="43" t="str">
        <f t="shared" ref="E2566:E2571" si="114">HYPERLINK("https://www.google.ru/search?q=39864-0037&amp;newwindow=1&amp;tbm=isch","Еще фото")</f>
        <v>Еще фото</v>
      </c>
      <c r="F2566" s="14"/>
      <c r="G2566" s="11" t="s">
        <v>2437</v>
      </c>
      <c r="H2566" s="11" t="s">
        <v>27</v>
      </c>
      <c r="I2566" s="15" t="s">
        <v>2438</v>
      </c>
      <c r="J2566" s="15" t="s">
        <v>37</v>
      </c>
      <c r="K2566" s="16" t="s">
        <v>57</v>
      </c>
      <c r="L2566" s="60" t="s">
        <v>2493</v>
      </c>
      <c r="M2566" s="15" t="s">
        <v>72</v>
      </c>
      <c r="N2566" s="15" t="s">
        <v>39</v>
      </c>
      <c r="O2566" s="15" t="s">
        <v>308</v>
      </c>
      <c r="P2566" s="16" t="s">
        <v>358</v>
      </c>
      <c r="Q2566" s="17">
        <v>10199</v>
      </c>
      <c r="R2566" s="18">
        <v>45</v>
      </c>
      <c r="S2566" s="19">
        <v>6450.8674999999994</v>
      </c>
      <c r="T2566" s="20" t="s">
        <v>75</v>
      </c>
      <c r="U2566" s="21" t="s">
        <v>2494</v>
      </c>
      <c r="V2566" s="25" t="s">
        <v>63</v>
      </c>
      <c r="W2566" s="22">
        <v>6</v>
      </c>
      <c r="X2566" s="23"/>
    </row>
    <row r="2567" spans="1:24" s="1" customFormat="1" ht="17" customHeight="1" x14ac:dyDescent="0.3">
      <c r="A2567" s="24" t="s">
        <v>23</v>
      </c>
      <c r="B2567" s="24" t="s">
        <v>2491</v>
      </c>
      <c r="C2567" s="12" t="s">
        <v>2492</v>
      </c>
      <c r="D2567" s="58"/>
      <c r="E2567" s="43" t="str">
        <f t="shared" si="114"/>
        <v>Еще фото</v>
      </c>
      <c r="F2567" s="14"/>
      <c r="G2567" s="24" t="s">
        <v>2437</v>
      </c>
      <c r="H2567" s="24" t="s">
        <v>27</v>
      </c>
      <c r="I2567" s="24" t="s">
        <v>2438</v>
      </c>
      <c r="J2567" s="15" t="s">
        <v>37</v>
      </c>
      <c r="K2567" s="16" t="s">
        <v>57</v>
      </c>
      <c r="L2567" s="61"/>
      <c r="M2567" s="15" t="s">
        <v>72</v>
      </c>
      <c r="N2567" s="15" t="s">
        <v>39</v>
      </c>
      <c r="O2567" s="15" t="s">
        <v>308</v>
      </c>
      <c r="P2567" s="16" t="s">
        <v>358</v>
      </c>
      <c r="Q2567" s="17">
        <v>10199</v>
      </c>
      <c r="R2567" s="18">
        <v>45</v>
      </c>
      <c r="S2567" s="19">
        <v>6450.8674999999994</v>
      </c>
      <c r="T2567" s="20" t="s">
        <v>75</v>
      </c>
      <c r="U2567" s="21" t="s">
        <v>2495</v>
      </c>
      <c r="V2567" s="25" t="s">
        <v>63</v>
      </c>
      <c r="W2567" s="22">
        <v>2</v>
      </c>
      <c r="X2567" s="23"/>
    </row>
    <row r="2568" spans="1:24" s="1" customFormat="1" ht="17" customHeight="1" x14ac:dyDescent="0.3">
      <c r="A2568" s="24" t="s">
        <v>23</v>
      </c>
      <c r="B2568" s="24" t="s">
        <v>2491</v>
      </c>
      <c r="C2568" s="12" t="s">
        <v>2492</v>
      </c>
      <c r="D2568" s="58"/>
      <c r="E2568" s="43" t="str">
        <f t="shared" si="114"/>
        <v>Еще фото</v>
      </c>
      <c r="F2568" s="14"/>
      <c r="G2568" s="24" t="s">
        <v>2437</v>
      </c>
      <c r="H2568" s="24" t="s">
        <v>27</v>
      </c>
      <c r="I2568" s="24" t="s">
        <v>2438</v>
      </c>
      <c r="J2568" s="15" t="s">
        <v>37</v>
      </c>
      <c r="K2568" s="16" t="s">
        <v>57</v>
      </c>
      <c r="L2568" s="61"/>
      <c r="M2568" s="15" t="s">
        <v>72</v>
      </c>
      <c r="N2568" s="15" t="s">
        <v>39</v>
      </c>
      <c r="O2568" s="15" t="s">
        <v>308</v>
      </c>
      <c r="P2568" s="16" t="s">
        <v>358</v>
      </c>
      <c r="Q2568" s="17">
        <v>10199</v>
      </c>
      <c r="R2568" s="18">
        <v>45</v>
      </c>
      <c r="S2568" s="19">
        <v>6450.8674999999994</v>
      </c>
      <c r="T2568" s="20" t="s">
        <v>75</v>
      </c>
      <c r="U2568" s="21" t="s">
        <v>2496</v>
      </c>
      <c r="V2568" s="25" t="s">
        <v>65</v>
      </c>
      <c r="W2568" s="22">
        <v>8</v>
      </c>
      <c r="X2568" s="23"/>
    </row>
    <row r="2569" spans="1:24" s="1" customFormat="1" ht="17" customHeight="1" x14ac:dyDescent="0.3">
      <c r="A2569" s="24" t="s">
        <v>23</v>
      </c>
      <c r="B2569" s="24" t="s">
        <v>2491</v>
      </c>
      <c r="C2569" s="12" t="s">
        <v>2492</v>
      </c>
      <c r="D2569" s="58"/>
      <c r="E2569" s="43" t="str">
        <f t="shared" si="114"/>
        <v>Еще фото</v>
      </c>
      <c r="F2569" s="14"/>
      <c r="G2569" s="24" t="s">
        <v>2437</v>
      </c>
      <c r="H2569" s="24" t="s">
        <v>27</v>
      </c>
      <c r="I2569" s="24" t="s">
        <v>2438</v>
      </c>
      <c r="J2569" s="15" t="s">
        <v>37</v>
      </c>
      <c r="K2569" s="16" t="s">
        <v>57</v>
      </c>
      <c r="L2569" s="61"/>
      <c r="M2569" s="15" t="s">
        <v>72</v>
      </c>
      <c r="N2569" s="15" t="s">
        <v>39</v>
      </c>
      <c r="O2569" s="15" t="s">
        <v>308</v>
      </c>
      <c r="P2569" s="16" t="s">
        <v>358</v>
      </c>
      <c r="Q2569" s="17">
        <v>10199</v>
      </c>
      <c r="R2569" s="18">
        <v>45</v>
      </c>
      <c r="S2569" s="19">
        <v>6450.8674999999994</v>
      </c>
      <c r="T2569" s="20" t="s">
        <v>75</v>
      </c>
      <c r="U2569" s="21" t="s">
        <v>2497</v>
      </c>
      <c r="V2569" s="25" t="s">
        <v>65</v>
      </c>
      <c r="W2569" s="22">
        <v>9</v>
      </c>
      <c r="X2569" s="23"/>
    </row>
    <row r="2570" spans="1:24" s="1" customFormat="1" ht="17" customHeight="1" x14ac:dyDescent="0.3">
      <c r="A2570" s="24" t="s">
        <v>23</v>
      </c>
      <c r="B2570" s="24" t="s">
        <v>2491</v>
      </c>
      <c r="C2570" s="12" t="s">
        <v>2492</v>
      </c>
      <c r="D2570" s="58"/>
      <c r="E2570" s="43" t="str">
        <f t="shared" si="114"/>
        <v>Еще фото</v>
      </c>
      <c r="F2570" s="14"/>
      <c r="G2570" s="24" t="s">
        <v>2437</v>
      </c>
      <c r="H2570" s="24" t="s">
        <v>27</v>
      </c>
      <c r="I2570" s="24" t="s">
        <v>2438</v>
      </c>
      <c r="J2570" s="15" t="s">
        <v>37</v>
      </c>
      <c r="K2570" s="16" t="s">
        <v>57</v>
      </c>
      <c r="L2570" s="61"/>
      <c r="M2570" s="15" t="s">
        <v>72</v>
      </c>
      <c r="N2570" s="15" t="s">
        <v>39</v>
      </c>
      <c r="O2570" s="15" t="s">
        <v>308</v>
      </c>
      <c r="P2570" s="16" t="s">
        <v>358</v>
      </c>
      <c r="Q2570" s="17">
        <v>10199</v>
      </c>
      <c r="R2570" s="18">
        <v>45</v>
      </c>
      <c r="S2570" s="19">
        <v>6450.8674999999994</v>
      </c>
      <c r="T2570" s="20" t="s">
        <v>75</v>
      </c>
      <c r="U2570" s="21" t="s">
        <v>2498</v>
      </c>
      <c r="V2570" s="25" t="s">
        <v>96</v>
      </c>
      <c r="W2570" s="22">
        <v>5</v>
      </c>
      <c r="X2570" s="23"/>
    </row>
    <row r="2571" spans="1:24" s="1" customFormat="1" ht="22.05" customHeight="1" x14ac:dyDescent="0.3">
      <c r="A2571" s="24" t="s">
        <v>23</v>
      </c>
      <c r="B2571" s="24" t="s">
        <v>2491</v>
      </c>
      <c r="C2571" s="12" t="s">
        <v>2492</v>
      </c>
      <c r="D2571" s="59"/>
      <c r="E2571" s="43" t="str">
        <f t="shared" si="114"/>
        <v>Еще фото</v>
      </c>
      <c r="F2571" s="14"/>
      <c r="G2571" s="24" t="s">
        <v>2437</v>
      </c>
      <c r="H2571" s="24" t="s">
        <v>27</v>
      </c>
      <c r="I2571" s="24" t="s">
        <v>2438</v>
      </c>
      <c r="J2571" s="15" t="s">
        <v>37</v>
      </c>
      <c r="K2571" s="16" t="s">
        <v>57</v>
      </c>
      <c r="L2571" s="62"/>
      <c r="M2571" s="15" t="s">
        <v>72</v>
      </c>
      <c r="N2571" s="15" t="s">
        <v>39</v>
      </c>
      <c r="O2571" s="15" t="s">
        <v>308</v>
      </c>
      <c r="P2571" s="16" t="s">
        <v>358</v>
      </c>
      <c r="Q2571" s="17">
        <v>10199</v>
      </c>
      <c r="R2571" s="18">
        <v>45</v>
      </c>
      <c r="S2571" s="19">
        <v>6450.8674999999994</v>
      </c>
      <c r="T2571" s="20" t="s">
        <v>75</v>
      </c>
      <c r="U2571" s="21" t="s">
        <v>2499</v>
      </c>
      <c r="V2571" s="22">
        <v>52</v>
      </c>
      <c r="W2571" s="22">
        <v>1</v>
      </c>
      <c r="X2571" s="23"/>
    </row>
    <row r="2572" spans="1:24" s="1" customFormat="1" ht="26" customHeight="1" x14ac:dyDescent="0.3">
      <c r="A2572" s="11" t="s">
        <v>23</v>
      </c>
      <c r="B2572" s="11" t="s">
        <v>2500</v>
      </c>
      <c r="C2572" s="12" t="s">
        <v>2501</v>
      </c>
      <c r="D2572" s="57"/>
      <c r="E2572" s="43" t="str">
        <f>HYPERLINK("https://www.google.ru/search?q=56327-0081&amp;newwindow=1&amp;tbm=isch","Еще фото")</f>
        <v>Еще фото</v>
      </c>
      <c r="F2572" s="14"/>
      <c r="G2572" s="11" t="s">
        <v>2437</v>
      </c>
      <c r="H2572" s="11" t="s">
        <v>27</v>
      </c>
      <c r="I2572" s="15" t="s">
        <v>2438</v>
      </c>
      <c r="J2572" s="15" t="s">
        <v>37</v>
      </c>
      <c r="K2572" s="16" t="s">
        <v>29</v>
      </c>
      <c r="L2572" s="60" t="s">
        <v>2502</v>
      </c>
      <c r="M2572" s="15" t="s">
        <v>72</v>
      </c>
      <c r="N2572" s="15" t="s">
        <v>130</v>
      </c>
      <c r="O2572" s="15" t="s">
        <v>308</v>
      </c>
      <c r="P2572" s="16" t="s">
        <v>32</v>
      </c>
      <c r="Q2572" s="17">
        <v>22899</v>
      </c>
      <c r="R2572" s="18">
        <v>45</v>
      </c>
      <c r="S2572" s="19">
        <v>14483.6175</v>
      </c>
      <c r="T2572" s="20" t="s">
        <v>75</v>
      </c>
      <c r="U2572" s="21" t="s">
        <v>213</v>
      </c>
      <c r="V2572" s="22">
        <v>46</v>
      </c>
      <c r="W2572" s="22">
        <v>1</v>
      </c>
      <c r="X2572" s="23"/>
    </row>
    <row r="2573" spans="1:24" s="1" customFormat="1" ht="26" customHeight="1" x14ac:dyDescent="0.3">
      <c r="A2573" s="24" t="s">
        <v>23</v>
      </c>
      <c r="B2573" s="24" t="s">
        <v>2500</v>
      </c>
      <c r="C2573" s="12" t="s">
        <v>2501</v>
      </c>
      <c r="D2573" s="58"/>
      <c r="E2573" s="43" t="str">
        <f>HYPERLINK("https://www.google.ru/search?q=56327-0081&amp;newwindow=1&amp;tbm=isch","Еще фото")</f>
        <v>Еще фото</v>
      </c>
      <c r="F2573" s="14"/>
      <c r="G2573" s="24" t="s">
        <v>2437</v>
      </c>
      <c r="H2573" s="24" t="s">
        <v>27</v>
      </c>
      <c r="I2573" s="24" t="s">
        <v>2438</v>
      </c>
      <c r="J2573" s="15" t="s">
        <v>37</v>
      </c>
      <c r="K2573" s="16" t="s">
        <v>29</v>
      </c>
      <c r="L2573" s="61"/>
      <c r="M2573" s="15" t="s">
        <v>72</v>
      </c>
      <c r="N2573" s="15" t="s">
        <v>130</v>
      </c>
      <c r="O2573" s="15" t="s">
        <v>308</v>
      </c>
      <c r="P2573" s="16" t="s">
        <v>32</v>
      </c>
      <c r="Q2573" s="17">
        <v>22899</v>
      </c>
      <c r="R2573" s="18">
        <v>45</v>
      </c>
      <c r="S2573" s="19">
        <v>14483.6175</v>
      </c>
      <c r="T2573" s="20" t="s">
        <v>75</v>
      </c>
      <c r="U2573" s="21" t="s">
        <v>214</v>
      </c>
      <c r="V2573" s="22">
        <v>48</v>
      </c>
      <c r="W2573" s="22">
        <v>1</v>
      </c>
      <c r="X2573" s="23"/>
    </row>
    <row r="2574" spans="1:24" s="1" customFormat="1" ht="26" customHeight="1" x14ac:dyDescent="0.3">
      <c r="A2574" s="24" t="s">
        <v>23</v>
      </c>
      <c r="B2574" s="24" t="s">
        <v>2500</v>
      </c>
      <c r="C2574" s="12" t="s">
        <v>2501</v>
      </c>
      <c r="D2574" s="58"/>
      <c r="E2574" s="43" t="str">
        <f>HYPERLINK("https://www.google.ru/search?q=56327-0081&amp;newwindow=1&amp;tbm=isch","Еще фото")</f>
        <v>Еще фото</v>
      </c>
      <c r="F2574" s="14"/>
      <c r="G2574" s="24" t="s">
        <v>2437</v>
      </c>
      <c r="H2574" s="24" t="s">
        <v>27</v>
      </c>
      <c r="I2574" s="24" t="s">
        <v>2438</v>
      </c>
      <c r="J2574" s="15" t="s">
        <v>37</v>
      </c>
      <c r="K2574" s="16" t="s">
        <v>29</v>
      </c>
      <c r="L2574" s="61"/>
      <c r="M2574" s="15" t="s">
        <v>72</v>
      </c>
      <c r="N2574" s="15" t="s">
        <v>130</v>
      </c>
      <c r="O2574" s="15" t="s">
        <v>308</v>
      </c>
      <c r="P2574" s="16" t="s">
        <v>32</v>
      </c>
      <c r="Q2574" s="17">
        <v>22899</v>
      </c>
      <c r="R2574" s="18">
        <v>45</v>
      </c>
      <c r="S2574" s="19">
        <v>14483.6175</v>
      </c>
      <c r="T2574" s="20" t="s">
        <v>75</v>
      </c>
      <c r="U2574" s="21" t="s">
        <v>215</v>
      </c>
      <c r="V2574" s="25" t="s">
        <v>96</v>
      </c>
      <c r="W2574" s="22">
        <v>2</v>
      </c>
      <c r="X2574" s="23"/>
    </row>
    <row r="2575" spans="1:24" s="1" customFormat="1" ht="26" customHeight="1" x14ac:dyDescent="0.3">
      <c r="A2575" s="24" t="s">
        <v>23</v>
      </c>
      <c r="B2575" s="24" t="s">
        <v>2500</v>
      </c>
      <c r="C2575" s="12" t="s">
        <v>2501</v>
      </c>
      <c r="D2575" s="59"/>
      <c r="E2575" s="43" t="str">
        <f>HYPERLINK("https://www.google.ru/search?q=56327-0081&amp;newwindow=1&amp;tbm=isch","Еще фото")</f>
        <v>Еще фото</v>
      </c>
      <c r="F2575" s="14"/>
      <c r="G2575" s="24" t="s">
        <v>2437</v>
      </c>
      <c r="H2575" s="24" t="s">
        <v>27</v>
      </c>
      <c r="I2575" s="24" t="s">
        <v>2438</v>
      </c>
      <c r="J2575" s="15" t="s">
        <v>37</v>
      </c>
      <c r="K2575" s="16" t="s">
        <v>29</v>
      </c>
      <c r="L2575" s="62"/>
      <c r="M2575" s="15" t="s">
        <v>72</v>
      </c>
      <c r="N2575" s="15" t="s">
        <v>130</v>
      </c>
      <c r="O2575" s="15" t="s">
        <v>308</v>
      </c>
      <c r="P2575" s="16" t="s">
        <v>32</v>
      </c>
      <c r="Q2575" s="17">
        <v>22899</v>
      </c>
      <c r="R2575" s="18">
        <v>45</v>
      </c>
      <c r="S2575" s="19">
        <v>14483.6175</v>
      </c>
      <c r="T2575" s="20" t="s">
        <v>75</v>
      </c>
      <c r="U2575" s="21" t="s">
        <v>216</v>
      </c>
      <c r="V2575" s="22">
        <v>50</v>
      </c>
      <c r="W2575" s="22">
        <v>2</v>
      </c>
      <c r="X2575" s="23"/>
    </row>
    <row r="2576" spans="1:24" s="1" customFormat="1" ht="21" customHeight="1" x14ac:dyDescent="0.3">
      <c r="A2576" s="11" t="s">
        <v>23</v>
      </c>
      <c r="B2576" s="11" t="s">
        <v>2503</v>
      </c>
      <c r="C2576" s="30" t="s">
        <v>2504</v>
      </c>
      <c r="D2576" s="57"/>
      <c r="E2576" s="43" t="str">
        <f>HYPERLINK("https://www.google.ru/search?q=56327-0530&amp;newwindow=1&amp;tbm=isch","Еще фото")</f>
        <v>Еще фото</v>
      </c>
      <c r="F2576" s="14"/>
      <c r="G2576" s="11" t="s">
        <v>2438</v>
      </c>
      <c r="H2576" s="11" t="s">
        <v>27</v>
      </c>
      <c r="I2576" s="15" t="s">
        <v>2438</v>
      </c>
      <c r="J2576" s="15" t="s">
        <v>37</v>
      </c>
      <c r="K2576" s="16" t="s">
        <v>29</v>
      </c>
      <c r="L2576" s="60" t="s">
        <v>2505</v>
      </c>
      <c r="M2576" s="15"/>
      <c r="N2576" s="15" t="s">
        <v>130</v>
      </c>
      <c r="O2576" s="15"/>
      <c r="P2576" s="16" t="s">
        <v>254</v>
      </c>
      <c r="Q2576" s="17">
        <v>7499</v>
      </c>
      <c r="R2576" s="18">
        <v>45</v>
      </c>
      <c r="S2576" s="19">
        <v>4743.1174999999994</v>
      </c>
      <c r="T2576" s="20" t="s">
        <v>75</v>
      </c>
      <c r="U2576" s="21" t="s">
        <v>2477</v>
      </c>
      <c r="V2576" s="25" t="s">
        <v>44</v>
      </c>
      <c r="W2576" s="22">
        <v>5</v>
      </c>
      <c r="X2576" s="23"/>
    </row>
    <row r="2577" spans="1:24" s="1" customFormat="1" ht="21" customHeight="1" x14ac:dyDescent="0.3">
      <c r="A2577" s="24" t="s">
        <v>23</v>
      </c>
      <c r="B2577" s="24" t="s">
        <v>2503</v>
      </c>
      <c r="C2577" s="31" t="s">
        <v>2504</v>
      </c>
      <c r="D2577" s="58"/>
      <c r="E2577" s="43" t="str">
        <f>HYPERLINK("https://www.google.ru/search?q=56327-0530&amp;newwindow=1&amp;tbm=isch","Еще фото")</f>
        <v>Еще фото</v>
      </c>
      <c r="F2577" s="14"/>
      <c r="G2577" s="24" t="s">
        <v>2438</v>
      </c>
      <c r="H2577" s="24" t="s">
        <v>27</v>
      </c>
      <c r="I2577" s="24" t="s">
        <v>2438</v>
      </c>
      <c r="J2577" s="15" t="s">
        <v>37</v>
      </c>
      <c r="K2577" s="16" t="s">
        <v>29</v>
      </c>
      <c r="L2577" s="61"/>
      <c r="M2577" s="15"/>
      <c r="N2577" s="15" t="s">
        <v>130</v>
      </c>
      <c r="O2577" s="15"/>
      <c r="P2577" s="16" t="s">
        <v>254</v>
      </c>
      <c r="Q2577" s="17">
        <v>7499</v>
      </c>
      <c r="R2577" s="18">
        <v>45</v>
      </c>
      <c r="S2577" s="19">
        <v>4743.1174999999994</v>
      </c>
      <c r="T2577" s="20" t="s">
        <v>75</v>
      </c>
      <c r="U2577" s="21" t="s">
        <v>210</v>
      </c>
      <c r="V2577" s="22">
        <v>42</v>
      </c>
      <c r="W2577" s="22">
        <v>2</v>
      </c>
      <c r="X2577" s="23"/>
    </row>
    <row r="2578" spans="1:24" s="1" customFormat="1" ht="21" customHeight="1" x14ac:dyDescent="0.3">
      <c r="A2578" s="24" t="s">
        <v>23</v>
      </c>
      <c r="B2578" s="24" t="s">
        <v>2503</v>
      </c>
      <c r="C2578" s="31" t="s">
        <v>2504</v>
      </c>
      <c r="D2578" s="58"/>
      <c r="E2578" s="43" t="str">
        <f>HYPERLINK("https://www.google.ru/search?q=56327-0530&amp;newwindow=1&amp;tbm=isch","Еще фото")</f>
        <v>Еще фото</v>
      </c>
      <c r="F2578" s="14"/>
      <c r="G2578" s="24" t="s">
        <v>2438</v>
      </c>
      <c r="H2578" s="24" t="s">
        <v>27</v>
      </c>
      <c r="I2578" s="24" t="s">
        <v>2438</v>
      </c>
      <c r="J2578" s="15" t="s">
        <v>37</v>
      </c>
      <c r="K2578" s="16" t="s">
        <v>29</v>
      </c>
      <c r="L2578" s="61"/>
      <c r="M2578" s="15"/>
      <c r="N2578" s="15" t="s">
        <v>130</v>
      </c>
      <c r="O2578" s="15"/>
      <c r="P2578" s="16" t="s">
        <v>254</v>
      </c>
      <c r="Q2578" s="17">
        <v>7499</v>
      </c>
      <c r="R2578" s="18">
        <v>45</v>
      </c>
      <c r="S2578" s="19">
        <v>4743.1174999999994</v>
      </c>
      <c r="T2578" s="20" t="s">
        <v>75</v>
      </c>
      <c r="U2578" s="21" t="s">
        <v>213</v>
      </c>
      <c r="V2578" s="22">
        <v>46</v>
      </c>
      <c r="W2578" s="22">
        <v>3</v>
      </c>
      <c r="X2578" s="23"/>
    </row>
    <row r="2579" spans="1:24" s="1" customFormat="1" ht="21" customHeight="1" x14ac:dyDescent="0.3">
      <c r="A2579" s="24" t="s">
        <v>23</v>
      </c>
      <c r="B2579" s="24" t="s">
        <v>2503</v>
      </c>
      <c r="C2579" s="31" t="s">
        <v>2504</v>
      </c>
      <c r="D2579" s="58"/>
      <c r="E2579" s="43" t="str">
        <f>HYPERLINK("https://www.google.ru/search?q=56327-0530&amp;newwindow=1&amp;tbm=isch","Еще фото")</f>
        <v>Еще фото</v>
      </c>
      <c r="F2579" s="14"/>
      <c r="G2579" s="24" t="s">
        <v>2438</v>
      </c>
      <c r="H2579" s="24" t="s">
        <v>27</v>
      </c>
      <c r="I2579" s="24" t="s">
        <v>2438</v>
      </c>
      <c r="J2579" s="15" t="s">
        <v>37</v>
      </c>
      <c r="K2579" s="16" t="s">
        <v>29</v>
      </c>
      <c r="L2579" s="61"/>
      <c r="M2579" s="15"/>
      <c r="N2579" s="15" t="s">
        <v>130</v>
      </c>
      <c r="O2579" s="15"/>
      <c r="P2579" s="16" t="s">
        <v>254</v>
      </c>
      <c r="Q2579" s="17">
        <v>7499</v>
      </c>
      <c r="R2579" s="18">
        <v>45</v>
      </c>
      <c r="S2579" s="19">
        <v>4743.1174999999994</v>
      </c>
      <c r="T2579" s="20" t="s">
        <v>75</v>
      </c>
      <c r="U2579" s="21" t="s">
        <v>214</v>
      </c>
      <c r="V2579" s="22">
        <v>48</v>
      </c>
      <c r="W2579" s="22">
        <v>2</v>
      </c>
      <c r="X2579" s="23"/>
    </row>
    <row r="2580" spans="1:24" s="1" customFormat="1" ht="32" customHeight="1" x14ac:dyDescent="0.3">
      <c r="A2580" s="24" t="s">
        <v>23</v>
      </c>
      <c r="B2580" s="24" t="s">
        <v>2503</v>
      </c>
      <c r="C2580" s="31" t="s">
        <v>2504</v>
      </c>
      <c r="D2580" s="59"/>
      <c r="E2580" s="43" t="str">
        <f>HYPERLINK("https://www.google.ru/search?q=56327-0530&amp;newwindow=1&amp;tbm=isch","Еще фото")</f>
        <v>Еще фото</v>
      </c>
      <c r="F2580" s="14"/>
      <c r="G2580" s="24" t="s">
        <v>2438</v>
      </c>
      <c r="H2580" s="24" t="s">
        <v>27</v>
      </c>
      <c r="I2580" s="24" t="s">
        <v>2438</v>
      </c>
      <c r="J2580" s="15" t="s">
        <v>37</v>
      </c>
      <c r="K2580" s="16" t="s">
        <v>29</v>
      </c>
      <c r="L2580" s="62"/>
      <c r="M2580" s="15"/>
      <c r="N2580" s="15" t="s">
        <v>130</v>
      </c>
      <c r="O2580" s="15"/>
      <c r="P2580" s="16" t="s">
        <v>254</v>
      </c>
      <c r="Q2580" s="17">
        <v>7499</v>
      </c>
      <c r="R2580" s="18">
        <v>45</v>
      </c>
      <c r="S2580" s="19">
        <v>4743.1174999999994</v>
      </c>
      <c r="T2580" s="20" t="s">
        <v>75</v>
      </c>
      <c r="U2580" s="21" t="s">
        <v>215</v>
      </c>
      <c r="V2580" s="25" t="s">
        <v>96</v>
      </c>
      <c r="W2580" s="22">
        <v>1</v>
      </c>
      <c r="X2580" s="23"/>
    </row>
    <row r="2581" spans="1:24" s="1" customFormat="1" ht="26" customHeight="1" x14ac:dyDescent="0.3">
      <c r="A2581" s="11" t="s">
        <v>23</v>
      </c>
      <c r="B2581" s="11" t="s">
        <v>2506</v>
      </c>
      <c r="C2581" s="12" t="s">
        <v>2507</v>
      </c>
      <c r="D2581" s="57"/>
      <c r="E2581" s="43" t="str">
        <f>HYPERLINK("https://www.google.ru/search?q=A4661-0049&amp;newwindow=1&amp;tbm=isch","Еще фото")</f>
        <v>Еще фото</v>
      </c>
      <c r="F2581" s="14"/>
      <c r="G2581" s="11" t="s">
        <v>2508</v>
      </c>
      <c r="H2581" s="11" t="s">
        <v>27</v>
      </c>
      <c r="I2581" s="15" t="s">
        <v>2438</v>
      </c>
      <c r="J2581" s="15" t="s">
        <v>37</v>
      </c>
      <c r="K2581" s="16" t="s">
        <v>57</v>
      </c>
      <c r="L2581" s="60" t="s">
        <v>2509</v>
      </c>
      <c r="M2581" s="15"/>
      <c r="N2581" s="15" t="s">
        <v>83</v>
      </c>
      <c r="O2581" s="15"/>
      <c r="P2581" s="16" t="s">
        <v>32</v>
      </c>
      <c r="Q2581" s="17">
        <v>8799</v>
      </c>
      <c r="R2581" s="18">
        <v>45</v>
      </c>
      <c r="S2581" s="19">
        <v>5565.3674999999994</v>
      </c>
      <c r="T2581" s="20" t="s">
        <v>75</v>
      </c>
      <c r="U2581" s="21" t="s">
        <v>214</v>
      </c>
      <c r="V2581" s="25" t="s">
        <v>65</v>
      </c>
      <c r="W2581" s="22">
        <v>4</v>
      </c>
      <c r="X2581" s="23"/>
    </row>
    <row r="2582" spans="1:24" s="1" customFormat="1" ht="26" customHeight="1" x14ac:dyDescent="0.3">
      <c r="A2582" s="24" t="s">
        <v>23</v>
      </c>
      <c r="B2582" s="24" t="s">
        <v>2506</v>
      </c>
      <c r="C2582" s="12" t="s">
        <v>2507</v>
      </c>
      <c r="D2582" s="58"/>
      <c r="E2582" s="43" t="str">
        <f>HYPERLINK("https://www.google.ru/search?q=A4661-0049&amp;newwindow=1&amp;tbm=isch","Еще фото")</f>
        <v>Еще фото</v>
      </c>
      <c r="F2582" s="14"/>
      <c r="G2582" s="24" t="s">
        <v>2508</v>
      </c>
      <c r="H2582" s="24" t="s">
        <v>27</v>
      </c>
      <c r="I2582" s="24" t="s">
        <v>2438</v>
      </c>
      <c r="J2582" s="15" t="s">
        <v>37</v>
      </c>
      <c r="K2582" s="16" t="s">
        <v>57</v>
      </c>
      <c r="L2582" s="61"/>
      <c r="M2582" s="15"/>
      <c r="N2582" s="15" t="s">
        <v>83</v>
      </c>
      <c r="O2582" s="15"/>
      <c r="P2582" s="16" t="s">
        <v>32</v>
      </c>
      <c r="Q2582" s="17">
        <v>8799</v>
      </c>
      <c r="R2582" s="18">
        <v>45</v>
      </c>
      <c r="S2582" s="19">
        <v>5565.3674999999994</v>
      </c>
      <c r="T2582" s="20" t="s">
        <v>75</v>
      </c>
      <c r="U2582" s="21" t="s">
        <v>215</v>
      </c>
      <c r="V2582" s="25" t="s">
        <v>65</v>
      </c>
      <c r="W2582" s="22">
        <v>4</v>
      </c>
      <c r="X2582" s="23"/>
    </row>
    <row r="2583" spans="1:24" s="1" customFormat="1" ht="26" customHeight="1" x14ac:dyDescent="0.3">
      <c r="A2583" s="24" t="s">
        <v>23</v>
      </c>
      <c r="B2583" s="24" t="s">
        <v>2506</v>
      </c>
      <c r="C2583" s="12" t="s">
        <v>2507</v>
      </c>
      <c r="D2583" s="58"/>
      <c r="E2583" s="43" t="str">
        <f>HYPERLINK("https://www.google.ru/search?q=A4661-0049&amp;newwindow=1&amp;tbm=isch","Еще фото")</f>
        <v>Еще фото</v>
      </c>
      <c r="F2583" s="14"/>
      <c r="G2583" s="24" t="s">
        <v>2508</v>
      </c>
      <c r="H2583" s="24" t="s">
        <v>27</v>
      </c>
      <c r="I2583" s="24" t="s">
        <v>2438</v>
      </c>
      <c r="J2583" s="15" t="s">
        <v>37</v>
      </c>
      <c r="K2583" s="16" t="s">
        <v>57</v>
      </c>
      <c r="L2583" s="61"/>
      <c r="M2583" s="15"/>
      <c r="N2583" s="15" t="s">
        <v>83</v>
      </c>
      <c r="O2583" s="15"/>
      <c r="P2583" s="16" t="s">
        <v>32</v>
      </c>
      <c r="Q2583" s="17">
        <v>8799</v>
      </c>
      <c r="R2583" s="18">
        <v>45</v>
      </c>
      <c r="S2583" s="19">
        <v>5565.3674999999994</v>
      </c>
      <c r="T2583" s="20" t="s">
        <v>75</v>
      </c>
      <c r="U2583" s="21" t="s">
        <v>216</v>
      </c>
      <c r="V2583" s="25" t="s">
        <v>96</v>
      </c>
      <c r="W2583" s="22">
        <v>4</v>
      </c>
      <c r="X2583" s="23"/>
    </row>
    <row r="2584" spans="1:24" s="1" customFormat="1" ht="26" customHeight="1" x14ac:dyDescent="0.3">
      <c r="A2584" s="24" t="s">
        <v>23</v>
      </c>
      <c r="B2584" s="24" t="s">
        <v>2506</v>
      </c>
      <c r="C2584" s="12" t="s">
        <v>2507</v>
      </c>
      <c r="D2584" s="59"/>
      <c r="E2584" s="43" t="str">
        <f>HYPERLINK("https://www.google.ru/search?q=A4661-0049&amp;newwindow=1&amp;tbm=isch","Еще фото")</f>
        <v>Еще фото</v>
      </c>
      <c r="F2584" s="14"/>
      <c r="G2584" s="24" t="s">
        <v>2508</v>
      </c>
      <c r="H2584" s="24" t="s">
        <v>27</v>
      </c>
      <c r="I2584" s="24" t="s">
        <v>2438</v>
      </c>
      <c r="J2584" s="15" t="s">
        <v>37</v>
      </c>
      <c r="K2584" s="16" t="s">
        <v>57</v>
      </c>
      <c r="L2584" s="62"/>
      <c r="M2584" s="15"/>
      <c r="N2584" s="15" t="s">
        <v>83</v>
      </c>
      <c r="O2584" s="15"/>
      <c r="P2584" s="16" t="s">
        <v>32</v>
      </c>
      <c r="Q2584" s="17">
        <v>8799</v>
      </c>
      <c r="R2584" s="18">
        <v>45</v>
      </c>
      <c r="S2584" s="19">
        <v>5565.3674999999994</v>
      </c>
      <c r="T2584" s="20" t="s">
        <v>75</v>
      </c>
      <c r="U2584" s="21" t="s">
        <v>2510</v>
      </c>
      <c r="V2584" s="25" t="s">
        <v>96</v>
      </c>
      <c r="W2584" s="22">
        <v>3</v>
      </c>
      <c r="X2584" s="23"/>
    </row>
    <row r="2585" spans="1:24" s="1" customFormat="1" ht="26" customHeight="1" x14ac:dyDescent="0.3">
      <c r="A2585" s="11" t="s">
        <v>23</v>
      </c>
      <c r="B2585" s="11" t="s">
        <v>2506</v>
      </c>
      <c r="C2585" s="12" t="s">
        <v>2511</v>
      </c>
      <c r="D2585" s="57"/>
      <c r="E2585" s="43" t="str">
        <f>HYPERLINK("https://www.google.ru/search?q=A4661-0066&amp;newwindow=1&amp;tbm=isch","Еще фото")</f>
        <v>Еще фото</v>
      </c>
      <c r="F2585" s="14"/>
      <c r="G2585" s="11" t="s">
        <v>2508</v>
      </c>
      <c r="H2585" s="11" t="s">
        <v>27</v>
      </c>
      <c r="I2585" s="15" t="s">
        <v>2438</v>
      </c>
      <c r="J2585" s="15" t="s">
        <v>37</v>
      </c>
      <c r="K2585" s="16" t="s">
        <v>57</v>
      </c>
      <c r="L2585" s="60" t="s">
        <v>2509</v>
      </c>
      <c r="M2585" s="15"/>
      <c r="N2585" s="15" t="s">
        <v>83</v>
      </c>
      <c r="O2585" s="15"/>
      <c r="P2585" s="16" t="s">
        <v>32</v>
      </c>
      <c r="Q2585" s="17">
        <v>8799</v>
      </c>
      <c r="R2585" s="18">
        <v>45</v>
      </c>
      <c r="S2585" s="19">
        <v>5565.3674999999994</v>
      </c>
      <c r="T2585" s="20" t="s">
        <v>75</v>
      </c>
      <c r="U2585" s="21" t="s">
        <v>214</v>
      </c>
      <c r="V2585" s="25" t="s">
        <v>65</v>
      </c>
      <c r="W2585" s="22">
        <v>3</v>
      </c>
      <c r="X2585" s="23"/>
    </row>
    <row r="2586" spans="1:24" s="1" customFormat="1" ht="26" customHeight="1" x14ac:dyDescent="0.3">
      <c r="A2586" s="24" t="s">
        <v>23</v>
      </c>
      <c r="B2586" s="24" t="s">
        <v>2506</v>
      </c>
      <c r="C2586" s="12" t="s">
        <v>2511</v>
      </c>
      <c r="D2586" s="58"/>
      <c r="E2586" s="43" t="str">
        <f>HYPERLINK("https://www.google.ru/search?q=A4661-0066&amp;newwindow=1&amp;tbm=isch","Еще фото")</f>
        <v>Еще фото</v>
      </c>
      <c r="F2586" s="14"/>
      <c r="G2586" s="24" t="s">
        <v>2508</v>
      </c>
      <c r="H2586" s="24" t="s">
        <v>27</v>
      </c>
      <c r="I2586" s="24" t="s">
        <v>2438</v>
      </c>
      <c r="J2586" s="15" t="s">
        <v>37</v>
      </c>
      <c r="K2586" s="16" t="s">
        <v>57</v>
      </c>
      <c r="L2586" s="61"/>
      <c r="M2586" s="15"/>
      <c r="N2586" s="15" t="s">
        <v>83</v>
      </c>
      <c r="O2586" s="15"/>
      <c r="P2586" s="16" t="s">
        <v>32</v>
      </c>
      <c r="Q2586" s="17">
        <v>8799</v>
      </c>
      <c r="R2586" s="18">
        <v>45</v>
      </c>
      <c r="S2586" s="19">
        <v>5565.3674999999994</v>
      </c>
      <c r="T2586" s="20" t="s">
        <v>75</v>
      </c>
      <c r="U2586" s="21" t="s">
        <v>215</v>
      </c>
      <c r="V2586" s="25" t="s">
        <v>65</v>
      </c>
      <c r="W2586" s="22">
        <v>7</v>
      </c>
      <c r="X2586" s="23"/>
    </row>
    <row r="2587" spans="1:24" s="1" customFormat="1" ht="26" customHeight="1" x14ac:dyDescent="0.3">
      <c r="A2587" s="24" t="s">
        <v>23</v>
      </c>
      <c r="B2587" s="24" t="s">
        <v>2506</v>
      </c>
      <c r="C2587" s="12" t="s">
        <v>2511</v>
      </c>
      <c r="D2587" s="58"/>
      <c r="E2587" s="43" t="str">
        <f>HYPERLINK("https://www.google.ru/search?q=A4661-0066&amp;newwindow=1&amp;tbm=isch","Еще фото")</f>
        <v>Еще фото</v>
      </c>
      <c r="F2587" s="14"/>
      <c r="G2587" s="24" t="s">
        <v>2508</v>
      </c>
      <c r="H2587" s="24" t="s">
        <v>27</v>
      </c>
      <c r="I2587" s="24" t="s">
        <v>2438</v>
      </c>
      <c r="J2587" s="15" t="s">
        <v>37</v>
      </c>
      <c r="K2587" s="16" t="s">
        <v>57</v>
      </c>
      <c r="L2587" s="61"/>
      <c r="M2587" s="15"/>
      <c r="N2587" s="15" t="s">
        <v>83</v>
      </c>
      <c r="O2587" s="15"/>
      <c r="P2587" s="16" t="s">
        <v>32</v>
      </c>
      <c r="Q2587" s="17">
        <v>8799</v>
      </c>
      <c r="R2587" s="18">
        <v>45</v>
      </c>
      <c r="S2587" s="19">
        <v>5565.3674999999994</v>
      </c>
      <c r="T2587" s="20" t="s">
        <v>75</v>
      </c>
      <c r="U2587" s="21" t="s">
        <v>216</v>
      </c>
      <c r="V2587" s="25" t="s">
        <v>96</v>
      </c>
      <c r="W2587" s="22">
        <v>1</v>
      </c>
      <c r="X2587" s="23"/>
    </row>
    <row r="2588" spans="1:24" s="1" customFormat="1" ht="26" customHeight="1" x14ac:dyDescent="0.3">
      <c r="A2588" s="24" t="s">
        <v>23</v>
      </c>
      <c r="B2588" s="24" t="s">
        <v>2506</v>
      </c>
      <c r="C2588" s="12" t="s">
        <v>2511</v>
      </c>
      <c r="D2588" s="59"/>
      <c r="E2588" s="43" t="str">
        <f>HYPERLINK("https://www.google.ru/search?q=A4661-0066&amp;newwindow=1&amp;tbm=isch","Еще фото")</f>
        <v>Еще фото</v>
      </c>
      <c r="F2588" s="14"/>
      <c r="G2588" s="24" t="s">
        <v>2508</v>
      </c>
      <c r="H2588" s="24" t="s">
        <v>27</v>
      </c>
      <c r="I2588" s="24" t="s">
        <v>2438</v>
      </c>
      <c r="J2588" s="15" t="s">
        <v>37</v>
      </c>
      <c r="K2588" s="16" t="s">
        <v>57</v>
      </c>
      <c r="L2588" s="62"/>
      <c r="M2588" s="15"/>
      <c r="N2588" s="15" t="s">
        <v>83</v>
      </c>
      <c r="O2588" s="15"/>
      <c r="P2588" s="16" t="s">
        <v>32</v>
      </c>
      <c r="Q2588" s="17">
        <v>8799</v>
      </c>
      <c r="R2588" s="18">
        <v>45</v>
      </c>
      <c r="S2588" s="19">
        <v>5565.3674999999994</v>
      </c>
      <c r="T2588" s="20" t="s">
        <v>75</v>
      </c>
      <c r="U2588" s="21" t="s">
        <v>2485</v>
      </c>
      <c r="V2588" s="22">
        <v>50</v>
      </c>
      <c r="W2588" s="22">
        <v>3</v>
      </c>
      <c r="X2588" s="23"/>
    </row>
    <row r="2589" spans="1:24" s="1" customFormat="1" ht="108" customHeight="1" x14ac:dyDescent="0.3">
      <c r="A2589" s="11" t="s">
        <v>23</v>
      </c>
      <c r="B2589" s="11" t="s">
        <v>2512</v>
      </c>
      <c r="C2589" s="12" t="s">
        <v>2513</v>
      </c>
      <c r="D2589" s="13"/>
      <c r="E2589" s="43" t="str">
        <f>HYPERLINK("https://www.google.ru/search?q=A4695-0015&amp;newwindow=1&amp;tbm=isch","Еще фото")</f>
        <v>Еще фото</v>
      </c>
      <c r="F2589" s="14"/>
      <c r="G2589" s="11" t="s">
        <v>2438</v>
      </c>
      <c r="H2589" s="11" t="s">
        <v>27</v>
      </c>
      <c r="I2589" s="15" t="s">
        <v>2438</v>
      </c>
      <c r="J2589" s="15" t="s">
        <v>37</v>
      </c>
      <c r="K2589" s="16" t="s">
        <v>29</v>
      </c>
      <c r="L2589" s="15" t="s">
        <v>2514</v>
      </c>
      <c r="M2589" s="15"/>
      <c r="N2589" s="15" t="s">
        <v>130</v>
      </c>
      <c r="O2589" s="15"/>
      <c r="P2589" s="16" t="s">
        <v>1276</v>
      </c>
      <c r="Q2589" s="17">
        <v>9899</v>
      </c>
      <c r="R2589" s="18">
        <v>45</v>
      </c>
      <c r="S2589" s="19">
        <v>6261.1174999999994</v>
      </c>
      <c r="T2589" s="20" t="s">
        <v>75</v>
      </c>
      <c r="U2589" s="21" t="s">
        <v>216</v>
      </c>
      <c r="V2589" s="22">
        <v>50</v>
      </c>
      <c r="W2589" s="22">
        <v>1</v>
      </c>
      <c r="X2589" s="23"/>
    </row>
    <row r="2590" spans="1:24" s="1" customFormat="1" ht="108" customHeight="1" x14ac:dyDescent="0.3">
      <c r="A2590" s="11" t="s">
        <v>23</v>
      </c>
      <c r="B2590" s="11" t="s">
        <v>2515</v>
      </c>
      <c r="C2590" s="12" t="s">
        <v>2516</v>
      </c>
      <c r="D2590" s="13"/>
      <c r="E2590" s="43" t="str">
        <f>HYPERLINK("https://www.google.ru/search?q=A8461-0039&amp;newwindow=1&amp;tbm=isch","Еще фото")</f>
        <v>Еще фото</v>
      </c>
      <c r="F2590" s="14"/>
      <c r="G2590" s="11" t="s">
        <v>2438</v>
      </c>
      <c r="H2590" s="11" t="s">
        <v>27</v>
      </c>
      <c r="I2590" s="15" t="s">
        <v>2438</v>
      </c>
      <c r="J2590" s="15" t="s">
        <v>37</v>
      </c>
      <c r="K2590" s="16" t="s">
        <v>57</v>
      </c>
      <c r="L2590" s="15" t="s">
        <v>2517</v>
      </c>
      <c r="M2590" s="15"/>
      <c r="N2590" s="15" t="s">
        <v>138</v>
      </c>
      <c r="O2590" s="15"/>
      <c r="P2590" s="16" t="s">
        <v>32</v>
      </c>
      <c r="Q2590" s="17">
        <v>8199</v>
      </c>
      <c r="R2590" s="18">
        <v>45</v>
      </c>
      <c r="S2590" s="19">
        <v>5185.8674999999994</v>
      </c>
      <c r="T2590" s="20" t="s">
        <v>75</v>
      </c>
      <c r="U2590" s="21" t="s">
        <v>215</v>
      </c>
      <c r="V2590" s="25" t="s">
        <v>65</v>
      </c>
      <c r="W2590" s="22">
        <v>1</v>
      </c>
      <c r="X2590" s="23"/>
    </row>
    <row r="2591" spans="1:24" s="1" customFormat="1" ht="13.05" customHeight="1" x14ac:dyDescent="0.3">
      <c r="A2591" s="11" t="s">
        <v>23</v>
      </c>
      <c r="B2591" s="11" t="s">
        <v>2518</v>
      </c>
      <c r="C2591" s="12" t="s">
        <v>2519</v>
      </c>
      <c r="D2591" s="57"/>
      <c r="E2591" s="43" t="str">
        <f t="shared" ref="E2591:E2598" si="115">HYPERLINK("https://www.google.ru/search?q=A9296-0006&amp;newwindow=1&amp;tbm=isch","Еще фото")</f>
        <v>Еще фото</v>
      </c>
      <c r="F2591" s="14"/>
      <c r="G2591" s="11" t="s">
        <v>2438</v>
      </c>
      <c r="H2591" s="11" t="s">
        <v>27</v>
      </c>
      <c r="I2591" s="15" t="s">
        <v>2438</v>
      </c>
      <c r="J2591" s="15" t="s">
        <v>37</v>
      </c>
      <c r="K2591" s="16" t="s">
        <v>29</v>
      </c>
      <c r="L2591" s="60" t="s">
        <v>2520</v>
      </c>
      <c r="M2591" s="15"/>
      <c r="N2591" s="15" t="s">
        <v>130</v>
      </c>
      <c r="O2591" s="15"/>
      <c r="P2591" s="16" t="s">
        <v>943</v>
      </c>
      <c r="Q2591" s="17">
        <v>11099</v>
      </c>
      <c r="R2591" s="18">
        <v>45</v>
      </c>
      <c r="S2591" s="19">
        <v>7020.1174999999994</v>
      </c>
      <c r="T2591" s="20" t="s">
        <v>75</v>
      </c>
      <c r="U2591" s="33" t="s">
        <v>2477</v>
      </c>
      <c r="V2591" s="25" t="s">
        <v>44</v>
      </c>
      <c r="W2591" s="22">
        <v>15</v>
      </c>
      <c r="X2591" s="23"/>
    </row>
    <row r="2592" spans="1:24" s="1" customFormat="1" ht="13.05" customHeight="1" x14ac:dyDescent="0.3">
      <c r="A2592" s="24" t="s">
        <v>23</v>
      </c>
      <c r="B2592" s="24" t="s">
        <v>2518</v>
      </c>
      <c r="C2592" s="12" t="s">
        <v>2519</v>
      </c>
      <c r="D2592" s="58"/>
      <c r="E2592" s="43" t="str">
        <f t="shared" si="115"/>
        <v>Еще фото</v>
      </c>
      <c r="F2592" s="14"/>
      <c r="G2592" s="24" t="s">
        <v>2438</v>
      </c>
      <c r="H2592" s="24" t="s">
        <v>27</v>
      </c>
      <c r="I2592" s="24" t="s">
        <v>2438</v>
      </c>
      <c r="J2592" s="15" t="s">
        <v>37</v>
      </c>
      <c r="K2592" s="16" t="s">
        <v>29</v>
      </c>
      <c r="L2592" s="61"/>
      <c r="M2592" s="15"/>
      <c r="N2592" s="15" t="s">
        <v>130</v>
      </c>
      <c r="O2592" s="15"/>
      <c r="P2592" s="16" t="s">
        <v>943</v>
      </c>
      <c r="Q2592" s="17">
        <v>11099</v>
      </c>
      <c r="R2592" s="18">
        <v>45</v>
      </c>
      <c r="S2592" s="19">
        <v>7020.1174999999994</v>
      </c>
      <c r="T2592" s="20" t="s">
        <v>75</v>
      </c>
      <c r="U2592" s="21" t="s">
        <v>210</v>
      </c>
      <c r="V2592" s="22">
        <v>42</v>
      </c>
      <c r="W2592" s="22">
        <v>26</v>
      </c>
      <c r="X2592" s="23"/>
    </row>
    <row r="2593" spans="1:24" s="1" customFormat="1" ht="13.05" customHeight="1" x14ac:dyDescent="0.3">
      <c r="A2593" s="24" t="s">
        <v>23</v>
      </c>
      <c r="B2593" s="24" t="s">
        <v>2518</v>
      </c>
      <c r="C2593" s="12" t="s">
        <v>2519</v>
      </c>
      <c r="D2593" s="58"/>
      <c r="E2593" s="43" t="str">
        <f t="shared" si="115"/>
        <v>Еще фото</v>
      </c>
      <c r="F2593" s="14"/>
      <c r="G2593" s="24" t="s">
        <v>2438</v>
      </c>
      <c r="H2593" s="24" t="s">
        <v>27</v>
      </c>
      <c r="I2593" s="24" t="s">
        <v>2438</v>
      </c>
      <c r="J2593" s="15" t="s">
        <v>37</v>
      </c>
      <c r="K2593" s="16" t="s">
        <v>29</v>
      </c>
      <c r="L2593" s="61"/>
      <c r="M2593" s="15"/>
      <c r="N2593" s="15" t="s">
        <v>130</v>
      </c>
      <c r="O2593" s="15"/>
      <c r="P2593" s="16" t="s">
        <v>943</v>
      </c>
      <c r="Q2593" s="17">
        <v>11099</v>
      </c>
      <c r="R2593" s="18">
        <v>45</v>
      </c>
      <c r="S2593" s="19">
        <v>7020.1174999999994</v>
      </c>
      <c r="T2593" s="20" t="s">
        <v>75</v>
      </c>
      <c r="U2593" s="21" t="s">
        <v>211</v>
      </c>
      <c r="V2593" s="25" t="s">
        <v>48</v>
      </c>
      <c r="W2593" s="22">
        <v>30</v>
      </c>
      <c r="X2593" s="23"/>
    </row>
    <row r="2594" spans="1:24" s="1" customFormat="1" ht="13.05" customHeight="1" x14ac:dyDescent="0.3">
      <c r="A2594" s="24" t="s">
        <v>23</v>
      </c>
      <c r="B2594" s="24" t="s">
        <v>2518</v>
      </c>
      <c r="C2594" s="12" t="s">
        <v>2519</v>
      </c>
      <c r="D2594" s="58"/>
      <c r="E2594" s="43" t="str">
        <f t="shared" si="115"/>
        <v>Еще фото</v>
      </c>
      <c r="F2594" s="14"/>
      <c r="G2594" s="24" t="s">
        <v>2438</v>
      </c>
      <c r="H2594" s="24" t="s">
        <v>27</v>
      </c>
      <c r="I2594" s="24" t="s">
        <v>2438</v>
      </c>
      <c r="J2594" s="15" t="s">
        <v>37</v>
      </c>
      <c r="K2594" s="16" t="s">
        <v>29</v>
      </c>
      <c r="L2594" s="61"/>
      <c r="M2594" s="15"/>
      <c r="N2594" s="15" t="s">
        <v>130</v>
      </c>
      <c r="O2594" s="15"/>
      <c r="P2594" s="16" t="s">
        <v>943</v>
      </c>
      <c r="Q2594" s="17">
        <v>11099</v>
      </c>
      <c r="R2594" s="18">
        <v>45</v>
      </c>
      <c r="S2594" s="19">
        <v>7020.1174999999994</v>
      </c>
      <c r="T2594" s="20" t="s">
        <v>75</v>
      </c>
      <c r="U2594" s="21" t="s">
        <v>212</v>
      </c>
      <c r="V2594" s="22">
        <v>44</v>
      </c>
      <c r="W2594" s="22">
        <v>26</v>
      </c>
      <c r="X2594" s="23"/>
    </row>
    <row r="2595" spans="1:24" s="1" customFormat="1" ht="13.05" customHeight="1" x14ac:dyDescent="0.3">
      <c r="A2595" s="24" t="s">
        <v>23</v>
      </c>
      <c r="B2595" s="24" t="s">
        <v>2518</v>
      </c>
      <c r="C2595" s="12" t="s">
        <v>2519</v>
      </c>
      <c r="D2595" s="58"/>
      <c r="E2595" s="43" t="str">
        <f t="shared" si="115"/>
        <v>Еще фото</v>
      </c>
      <c r="F2595" s="14"/>
      <c r="G2595" s="24" t="s">
        <v>2438</v>
      </c>
      <c r="H2595" s="24" t="s">
        <v>27</v>
      </c>
      <c r="I2595" s="24" t="s">
        <v>2438</v>
      </c>
      <c r="J2595" s="15" t="s">
        <v>37</v>
      </c>
      <c r="K2595" s="16" t="s">
        <v>29</v>
      </c>
      <c r="L2595" s="61"/>
      <c r="M2595" s="15"/>
      <c r="N2595" s="15" t="s">
        <v>130</v>
      </c>
      <c r="O2595" s="15"/>
      <c r="P2595" s="16" t="s">
        <v>943</v>
      </c>
      <c r="Q2595" s="17">
        <v>11099</v>
      </c>
      <c r="R2595" s="18">
        <v>45</v>
      </c>
      <c r="S2595" s="19">
        <v>7020.1174999999994</v>
      </c>
      <c r="T2595" s="20" t="s">
        <v>75</v>
      </c>
      <c r="U2595" s="21" t="s">
        <v>213</v>
      </c>
      <c r="V2595" s="22">
        <v>46</v>
      </c>
      <c r="W2595" s="22">
        <v>25</v>
      </c>
      <c r="X2595" s="23"/>
    </row>
    <row r="2596" spans="1:24" s="1" customFormat="1" ht="13.05" customHeight="1" x14ac:dyDescent="0.3">
      <c r="A2596" s="24" t="s">
        <v>23</v>
      </c>
      <c r="B2596" s="24" t="s">
        <v>2518</v>
      </c>
      <c r="C2596" s="12" t="s">
        <v>2519</v>
      </c>
      <c r="D2596" s="58"/>
      <c r="E2596" s="43" t="str">
        <f t="shared" si="115"/>
        <v>Еще фото</v>
      </c>
      <c r="F2596" s="14"/>
      <c r="G2596" s="24" t="s">
        <v>2438</v>
      </c>
      <c r="H2596" s="24" t="s">
        <v>27</v>
      </c>
      <c r="I2596" s="24" t="s">
        <v>2438</v>
      </c>
      <c r="J2596" s="15" t="s">
        <v>37</v>
      </c>
      <c r="K2596" s="16" t="s">
        <v>29</v>
      </c>
      <c r="L2596" s="61"/>
      <c r="M2596" s="15"/>
      <c r="N2596" s="15" t="s">
        <v>130</v>
      </c>
      <c r="O2596" s="15"/>
      <c r="P2596" s="16" t="s">
        <v>943</v>
      </c>
      <c r="Q2596" s="17">
        <v>11099</v>
      </c>
      <c r="R2596" s="18">
        <v>45</v>
      </c>
      <c r="S2596" s="19">
        <v>7020.1174999999994</v>
      </c>
      <c r="T2596" s="20" t="s">
        <v>75</v>
      </c>
      <c r="U2596" s="21" t="s">
        <v>214</v>
      </c>
      <c r="V2596" s="22">
        <v>48</v>
      </c>
      <c r="W2596" s="22">
        <v>31</v>
      </c>
      <c r="X2596" s="23"/>
    </row>
    <row r="2597" spans="1:24" s="1" customFormat="1" ht="13.05" customHeight="1" x14ac:dyDescent="0.3">
      <c r="A2597" s="24" t="s">
        <v>23</v>
      </c>
      <c r="B2597" s="24" t="s">
        <v>2518</v>
      </c>
      <c r="C2597" s="12" t="s">
        <v>2519</v>
      </c>
      <c r="D2597" s="58"/>
      <c r="E2597" s="43" t="str">
        <f t="shared" si="115"/>
        <v>Еще фото</v>
      </c>
      <c r="F2597" s="14"/>
      <c r="G2597" s="24" t="s">
        <v>2438</v>
      </c>
      <c r="H2597" s="24" t="s">
        <v>27</v>
      </c>
      <c r="I2597" s="24" t="s">
        <v>2438</v>
      </c>
      <c r="J2597" s="15" t="s">
        <v>37</v>
      </c>
      <c r="K2597" s="16" t="s">
        <v>29</v>
      </c>
      <c r="L2597" s="61"/>
      <c r="M2597" s="15"/>
      <c r="N2597" s="15" t="s">
        <v>130</v>
      </c>
      <c r="O2597" s="15"/>
      <c r="P2597" s="16" t="s">
        <v>943</v>
      </c>
      <c r="Q2597" s="17">
        <v>11099</v>
      </c>
      <c r="R2597" s="18">
        <v>45</v>
      </c>
      <c r="S2597" s="19">
        <v>7020.1174999999994</v>
      </c>
      <c r="T2597" s="20" t="s">
        <v>75</v>
      </c>
      <c r="U2597" s="21" t="s">
        <v>215</v>
      </c>
      <c r="V2597" s="25" t="s">
        <v>96</v>
      </c>
      <c r="W2597" s="22">
        <v>26</v>
      </c>
      <c r="X2597" s="23"/>
    </row>
    <row r="2598" spans="1:24" s="1" customFormat="1" ht="18" customHeight="1" x14ac:dyDescent="0.3">
      <c r="A2598" s="24" t="s">
        <v>23</v>
      </c>
      <c r="B2598" s="24" t="s">
        <v>2518</v>
      </c>
      <c r="C2598" s="12" t="s">
        <v>2519</v>
      </c>
      <c r="D2598" s="59"/>
      <c r="E2598" s="43" t="str">
        <f t="shared" si="115"/>
        <v>Еще фото</v>
      </c>
      <c r="F2598" s="14"/>
      <c r="G2598" s="24" t="s">
        <v>2438</v>
      </c>
      <c r="H2598" s="24" t="s">
        <v>27</v>
      </c>
      <c r="I2598" s="24" t="s">
        <v>2438</v>
      </c>
      <c r="J2598" s="15" t="s">
        <v>37</v>
      </c>
      <c r="K2598" s="16" t="s">
        <v>29</v>
      </c>
      <c r="L2598" s="62"/>
      <c r="M2598" s="15"/>
      <c r="N2598" s="15" t="s">
        <v>130</v>
      </c>
      <c r="O2598" s="15"/>
      <c r="P2598" s="16" t="s">
        <v>943</v>
      </c>
      <c r="Q2598" s="17">
        <v>11099</v>
      </c>
      <c r="R2598" s="18">
        <v>45</v>
      </c>
      <c r="S2598" s="19">
        <v>7020.1174999999994</v>
      </c>
      <c r="T2598" s="20" t="s">
        <v>75</v>
      </c>
      <c r="U2598" s="21" t="s">
        <v>216</v>
      </c>
      <c r="V2598" s="22">
        <v>50</v>
      </c>
      <c r="W2598" s="22">
        <v>21</v>
      </c>
      <c r="X2598" s="23"/>
    </row>
    <row r="2599" spans="1:24" s="1" customFormat="1" ht="13.05" customHeight="1" x14ac:dyDescent="0.3">
      <c r="A2599" s="11" t="s">
        <v>23</v>
      </c>
      <c r="B2599" s="11" t="s">
        <v>2521</v>
      </c>
      <c r="C2599" s="12" t="s">
        <v>2522</v>
      </c>
      <c r="D2599" s="57"/>
      <c r="E2599" s="43" t="str">
        <f t="shared" ref="E2599:E2606" si="116">HYPERLINK("https://www.google.ru/search?q=A9296-0008&amp;newwindow=1&amp;tbm=isch","Еще фото")</f>
        <v>Еще фото</v>
      </c>
      <c r="F2599" s="14"/>
      <c r="G2599" s="11" t="s">
        <v>2438</v>
      </c>
      <c r="H2599" s="11" t="s">
        <v>27</v>
      </c>
      <c r="I2599" s="15" t="s">
        <v>2438</v>
      </c>
      <c r="J2599" s="15" t="s">
        <v>37</v>
      </c>
      <c r="K2599" s="16" t="s">
        <v>29</v>
      </c>
      <c r="L2599" s="60" t="s">
        <v>2520</v>
      </c>
      <c r="M2599" s="15"/>
      <c r="N2599" s="15" t="s">
        <v>138</v>
      </c>
      <c r="O2599" s="15"/>
      <c r="P2599" s="16" t="s">
        <v>943</v>
      </c>
      <c r="Q2599" s="17">
        <v>11099</v>
      </c>
      <c r="R2599" s="18">
        <v>45</v>
      </c>
      <c r="S2599" s="19">
        <v>7020.1174999999994</v>
      </c>
      <c r="T2599" s="20" t="s">
        <v>75</v>
      </c>
      <c r="U2599" s="33" t="s">
        <v>2477</v>
      </c>
      <c r="V2599" s="25" t="s">
        <v>44</v>
      </c>
      <c r="W2599" s="22">
        <v>5</v>
      </c>
      <c r="X2599" s="23"/>
    </row>
    <row r="2600" spans="1:24" s="1" customFormat="1" ht="13.05" customHeight="1" x14ac:dyDescent="0.3">
      <c r="A2600" s="24" t="s">
        <v>23</v>
      </c>
      <c r="B2600" s="24" t="s">
        <v>2521</v>
      </c>
      <c r="C2600" s="12" t="s">
        <v>2522</v>
      </c>
      <c r="D2600" s="58"/>
      <c r="E2600" s="43" t="str">
        <f t="shared" si="116"/>
        <v>Еще фото</v>
      </c>
      <c r="F2600" s="14"/>
      <c r="G2600" s="24" t="s">
        <v>2438</v>
      </c>
      <c r="H2600" s="24" t="s">
        <v>27</v>
      </c>
      <c r="I2600" s="24" t="s">
        <v>2438</v>
      </c>
      <c r="J2600" s="15" t="s">
        <v>37</v>
      </c>
      <c r="K2600" s="16" t="s">
        <v>29</v>
      </c>
      <c r="L2600" s="61"/>
      <c r="M2600" s="15"/>
      <c r="N2600" s="15" t="s">
        <v>138</v>
      </c>
      <c r="O2600" s="15"/>
      <c r="P2600" s="16" t="s">
        <v>943</v>
      </c>
      <c r="Q2600" s="17">
        <v>11099</v>
      </c>
      <c r="R2600" s="18">
        <v>45</v>
      </c>
      <c r="S2600" s="19">
        <v>7020.1174999999994</v>
      </c>
      <c r="T2600" s="20" t="s">
        <v>75</v>
      </c>
      <c r="U2600" s="21" t="s">
        <v>210</v>
      </c>
      <c r="V2600" s="22">
        <v>42</v>
      </c>
      <c r="W2600" s="22">
        <v>21</v>
      </c>
      <c r="X2600" s="23"/>
    </row>
    <row r="2601" spans="1:24" s="1" customFormat="1" ht="13.05" customHeight="1" x14ac:dyDescent="0.3">
      <c r="A2601" s="24" t="s">
        <v>23</v>
      </c>
      <c r="B2601" s="24" t="s">
        <v>2521</v>
      </c>
      <c r="C2601" s="12" t="s">
        <v>2522</v>
      </c>
      <c r="D2601" s="58"/>
      <c r="E2601" s="43" t="str">
        <f t="shared" si="116"/>
        <v>Еще фото</v>
      </c>
      <c r="F2601" s="14"/>
      <c r="G2601" s="24" t="s">
        <v>2438</v>
      </c>
      <c r="H2601" s="24" t="s">
        <v>27</v>
      </c>
      <c r="I2601" s="24" t="s">
        <v>2438</v>
      </c>
      <c r="J2601" s="15" t="s">
        <v>37</v>
      </c>
      <c r="K2601" s="16" t="s">
        <v>29</v>
      </c>
      <c r="L2601" s="61"/>
      <c r="M2601" s="15"/>
      <c r="N2601" s="15" t="s">
        <v>138</v>
      </c>
      <c r="O2601" s="15"/>
      <c r="P2601" s="16" t="s">
        <v>943</v>
      </c>
      <c r="Q2601" s="17">
        <v>11099</v>
      </c>
      <c r="R2601" s="18">
        <v>45</v>
      </c>
      <c r="S2601" s="19">
        <v>7020.1174999999994</v>
      </c>
      <c r="T2601" s="20" t="s">
        <v>75</v>
      </c>
      <c r="U2601" s="21" t="s">
        <v>211</v>
      </c>
      <c r="V2601" s="25" t="s">
        <v>48</v>
      </c>
      <c r="W2601" s="22">
        <v>31</v>
      </c>
      <c r="X2601" s="23"/>
    </row>
    <row r="2602" spans="1:24" s="1" customFormat="1" ht="13.05" customHeight="1" x14ac:dyDescent="0.3">
      <c r="A2602" s="24" t="s">
        <v>23</v>
      </c>
      <c r="B2602" s="24" t="s">
        <v>2521</v>
      </c>
      <c r="C2602" s="12" t="s">
        <v>2522</v>
      </c>
      <c r="D2602" s="58"/>
      <c r="E2602" s="43" t="str">
        <f t="shared" si="116"/>
        <v>Еще фото</v>
      </c>
      <c r="F2602" s="14"/>
      <c r="G2602" s="24" t="s">
        <v>2438</v>
      </c>
      <c r="H2602" s="24" t="s">
        <v>27</v>
      </c>
      <c r="I2602" s="24" t="s">
        <v>2438</v>
      </c>
      <c r="J2602" s="15" t="s">
        <v>37</v>
      </c>
      <c r="K2602" s="16" t="s">
        <v>29</v>
      </c>
      <c r="L2602" s="61"/>
      <c r="M2602" s="15"/>
      <c r="N2602" s="15" t="s">
        <v>138</v>
      </c>
      <c r="O2602" s="15"/>
      <c r="P2602" s="16" t="s">
        <v>943</v>
      </c>
      <c r="Q2602" s="17">
        <v>11099</v>
      </c>
      <c r="R2602" s="18">
        <v>45</v>
      </c>
      <c r="S2602" s="19">
        <v>7020.1174999999994</v>
      </c>
      <c r="T2602" s="20" t="s">
        <v>75</v>
      </c>
      <c r="U2602" s="21" t="s">
        <v>212</v>
      </c>
      <c r="V2602" s="22">
        <v>44</v>
      </c>
      <c r="W2602" s="22">
        <v>33</v>
      </c>
      <c r="X2602" s="23"/>
    </row>
    <row r="2603" spans="1:24" s="1" customFormat="1" ht="13.05" customHeight="1" x14ac:dyDescent="0.3">
      <c r="A2603" s="24" t="s">
        <v>23</v>
      </c>
      <c r="B2603" s="24" t="s">
        <v>2521</v>
      </c>
      <c r="C2603" s="12" t="s">
        <v>2522</v>
      </c>
      <c r="D2603" s="58"/>
      <c r="E2603" s="43" t="str">
        <f t="shared" si="116"/>
        <v>Еще фото</v>
      </c>
      <c r="F2603" s="14"/>
      <c r="G2603" s="24" t="s">
        <v>2438</v>
      </c>
      <c r="H2603" s="24" t="s">
        <v>27</v>
      </c>
      <c r="I2603" s="24" t="s">
        <v>2438</v>
      </c>
      <c r="J2603" s="15" t="s">
        <v>37</v>
      </c>
      <c r="K2603" s="16" t="s">
        <v>29</v>
      </c>
      <c r="L2603" s="61"/>
      <c r="M2603" s="15"/>
      <c r="N2603" s="15" t="s">
        <v>138</v>
      </c>
      <c r="O2603" s="15"/>
      <c r="P2603" s="16" t="s">
        <v>943</v>
      </c>
      <c r="Q2603" s="17">
        <v>11099</v>
      </c>
      <c r="R2603" s="18">
        <v>45</v>
      </c>
      <c r="S2603" s="19">
        <v>7020.1174999999994</v>
      </c>
      <c r="T2603" s="20" t="s">
        <v>75</v>
      </c>
      <c r="U2603" s="21" t="s">
        <v>213</v>
      </c>
      <c r="V2603" s="22">
        <v>46</v>
      </c>
      <c r="W2603" s="22">
        <v>27</v>
      </c>
      <c r="X2603" s="23"/>
    </row>
    <row r="2604" spans="1:24" s="1" customFormat="1" ht="13.05" customHeight="1" x14ac:dyDescent="0.3">
      <c r="A2604" s="24" t="s">
        <v>23</v>
      </c>
      <c r="B2604" s="24" t="s">
        <v>2521</v>
      </c>
      <c r="C2604" s="12" t="s">
        <v>2522</v>
      </c>
      <c r="D2604" s="58"/>
      <c r="E2604" s="43" t="str">
        <f t="shared" si="116"/>
        <v>Еще фото</v>
      </c>
      <c r="F2604" s="14"/>
      <c r="G2604" s="24" t="s">
        <v>2438</v>
      </c>
      <c r="H2604" s="24" t="s">
        <v>27</v>
      </c>
      <c r="I2604" s="24" t="s">
        <v>2438</v>
      </c>
      <c r="J2604" s="15" t="s">
        <v>37</v>
      </c>
      <c r="K2604" s="16" t="s">
        <v>29</v>
      </c>
      <c r="L2604" s="61"/>
      <c r="M2604" s="15"/>
      <c r="N2604" s="15" t="s">
        <v>138</v>
      </c>
      <c r="O2604" s="15"/>
      <c r="P2604" s="16" t="s">
        <v>943</v>
      </c>
      <c r="Q2604" s="17">
        <v>11099</v>
      </c>
      <c r="R2604" s="18">
        <v>45</v>
      </c>
      <c r="S2604" s="19">
        <v>7020.1174999999994</v>
      </c>
      <c r="T2604" s="20" t="s">
        <v>75</v>
      </c>
      <c r="U2604" s="21" t="s">
        <v>214</v>
      </c>
      <c r="V2604" s="22">
        <v>48</v>
      </c>
      <c r="W2604" s="22">
        <v>40</v>
      </c>
      <c r="X2604" s="23"/>
    </row>
    <row r="2605" spans="1:24" s="1" customFormat="1" ht="13.05" customHeight="1" x14ac:dyDescent="0.3">
      <c r="A2605" s="24" t="s">
        <v>23</v>
      </c>
      <c r="B2605" s="24" t="s">
        <v>2521</v>
      </c>
      <c r="C2605" s="12" t="s">
        <v>2522</v>
      </c>
      <c r="D2605" s="58"/>
      <c r="E2605" s="43" t="str">
        <f t="shared" si="116"/>
        <v>Еще фото</v>
      </c>
      <c r="F2605" s="14"/>
      <c r="G2605" s="24" t="s">
        <v>2438</v>
      </c>
      <c r="H2605" s="24" t="s">
        <v>27</v>
      </c>
      <c r="I2605" s="24" t="s">
        <v>2438</v>
      </c>
      <c r="J2605" s="15" t="s">
        <v>37</v>
      </c>
      <c r="K2605" s="16" t="s">
        <v>29</v>
      </c>
      <c r="L2605" s="61"/>
      <c r="M2605" s="15"/>
      <c r="N2605" s="15" t="s">
        <v>138</v>
      </c>
      <c r="O2605" s="15"/>
      <c r="P2605" s="16" t="s">
        <v>943</v>
      </c>
      <c r="Q2605" s="17">
        <v>11099</v>
      </c>
      <c r="R2605" s="18">
        <v>45</v>
      </c>
      <c r="S2605" s="19">
        <v>7020.1174999999994</v>
      </c>
      <c r="T2605" s="20" t="s">
        <v>75</v>
      </c>
      <c r="U2605" s="21" t="s">
        <v>215</v>
      </c>
      <c r="V2605" s="25" t="s">
        <v>96</v>
      </c>
      <c r="W2605" s="22">
        <v>37</v>
      </c>
      <c r="X2605" s="23"/>
    </row>
    <row r="2606" spans="1:24" s="1" customFormat="1" ht="18" customHeight="1" x14ac:dyDescent="0.3">
      <c r="A2606" s="24" t="s">
        <v>23</v>
      </c>
      <c r="B2606" s="24" t="s">
        <v>2521</v>
      </c>
      <c r="C2606" s="12" t="s">
        <v>2522</v>
      </c>
      <c r="D2606" s="59"/>
      <c r="E2606" s="43" t="str">
        <f t="shared" si="116"/>
        <v>Еще фото</v>
      </c>
      <c r="F2606" s="14"/>
      <c r="G2606" s="24" t="s">
        <v>2438</v>
      </c>
      <c r="H2606" s="24" t="s">
        <v>27</v>
      </c>
      <c r="I2606" s="24" t="s">
        <v>2438</v>
      </c>
      <c r="J2606" s="15" t="s">
        <v>37</v>
      </c>
      <c r="K2606" s="16" t="s">
        <v>29</v>
      </c>
      <c r="L2606" s="62"/>
      <c r="M2606" s="15"/>
      <c r="N2606" s="15" t="s">
        <v>138</v>
      </c>
      <c r="O2606" s="15"/>
      <c r="P2606" s="16" t="s">
        <v>943</v>
      </c>
      <c r="Q2606" s="17">
        <v>11099</v>
      </c>
      <c r="R2606" s="18">
        <v>45</v>
      </c>
      <c r="S2606" s="19">
        <v>7020.1174999999994</v>
      </c>
      <c r="T2606" s="20" t="s">
        <v>75</v>
      </c>
      <c r="U2606" s="21" t="s">
        <v>216</v>
      </c>
      <c r="V2606" s="22">
        <v>50</v>
      </c>
      <c r="W2606" s="22">
        <v>22</v>
      </c>
      <c r="X2606" s="23"/>
    </row>
    <row r="2607" spans="1:24" s="1" customFormat="1" ht="108" customHeight="1" x14ac:dyDescent="0.3">
      <c r="A2607" s="11" t="s">
        <v>23</v>
      </c>
      <c r="B2607" s="11" t="s">
        <v>2523</v>
      </c>
      <c r="C2607" s="12" t="s">
        <v>2524</v>
      </c>
      <c r="D2607" s="13"/>
      <c r="E2607" s="43" t="str">
        <f>HYPERLINK("https://www.google.ru/search?q=A9311-0000&amp;newwindow=1&amp;tbm=isch","Еще фото")</f>
        <v>Еще фото</v>
      </c>
      <c r="F2607" s="14" t="s">
        <v>182</v>
      </c>
      <c r="G2607" s="11" t="s">
        <v>2437</v>
      </c>
      <c r="H2607" s="11" t="s">
        <v>27</v>
      </c>
      <c r="I2607" s="15" t="s">
        <v>2438</v>
      </c>
      <c r="J2607" s="15" t="s">
        <v>37</v>
      </c>
      <c r="K2607" s="16" t="s">
        <v>29</v>
      </c>
      <c r="L2607" s="15" t="s">
        <v>2525</v>
      </c>
      <c r="M2607" s="15"/>
      <c r="N2607" s="15" t="s">
        <v>130</v>
      </c>
      <c r="O2607" s="15"/>
      <c r="P2607" s="16" t="s">
        <v>32</v>
      </c>
      <c r="Q2607" s="17">
        <v>12599</v>
      </c>
      <c r="R2607" s="18">
        <v>45</v>
      </c>
      <c r="S2607" s="19">
        <v>7968.8674999999994</v>
      </c>
      <c r="T2607" s="20" t="s">
        <v>75</v>
      </c>
      <c r="U2607" s="21" t="s">
        <v>214</v>
      </c>
      <c r="V2607" s="22">
        <v>48</v>
      </c>
      <c r="W2607" s="22">
        <v>1</v>
      </c>
      <c r="X2607" s="23"/>
    </row>
    <row r="2608" spans="1:24" s="1" customFormat="1" ht="108" customHeight="1" x14ac:dyDescent="0.3">
      <c r="A2608" s="11" t="s">
        <v>23</v>
      </c>
      <c r="B2608" s="11" t="s">
        <v>2526</v>
      </c>
      <c r="C2608" s="12" t="s">
        <v>2527</v>
      </c>
      <c r="D2608" s="13"/>
      <c r="E2608" s="43" t="str">
        <f>HYPERLINK("https://www.google.ru/search?q=A9311-0005&amp;newwindow=1&amp;tbm=isch","Еще фото")</f>
        <v>Еще фото</v>
      </c>
      <c r="F2608" s="14"/>
      <c r="G2608" s="11" t="s">
        <v>2437</v>
      </c>
      <c r="H2608" s="11" t="s">
        <v>27</v>
      </c>
      <c r="I2608" s="15" t="s">
        <v>2438</v>
      </c>
      <c r="J2608" s="15" t="s">
        <v>37</v>
      </c>
      <c r="K2608" s="16" t="s">
        <v>29</v>
      </c>
      <c r="L2608" s="15" t="s">
        <v>2525</v>
      </c>
      <c r="M2608" s="15"/>
      <c r="N2608" s="15" t="s">
        <v>130</v>
      </c>
      <c r="O2608" s="15"/>
      <c r="P2608" s="16" t="s">
        <v>32</v>
      </c>
      <c r="Q2608" s="17">
        <v>11699</v>
      </c>
      <c r="R2608" s="18">
        <v>45</v>
      </c>
      <c r="S2608" s="19">
        <v>7399.6174999999994</v>
      </c>
      <c r="T2608" s="20" t="s">
        <v>75</v>
      </c>
      <c r="U2608" s="21" t="s">
        <v>2477</v>
      </c>
      <c r="V2608" s="25" t="s">
        <v>44</v>
      </c>
      <c r="W2608" s="22">
        <v>3</v>
      </c>
      <c r="X2608" s="23"/>
    </row>
    <row r="2609" spans="1:24" s="1" customFormat="1" ht="108" customHeight="1" x14ac:dyDescent="0.3">
      <c r="A2609" s="11" t="s">
        <v>23</v>
      </c>
      <c r="B2609" s="11" t="s">
        <v>2528</v>
      </c>
      <c r="C2609" s="12" t="s">
        <v>2529</v>
      </c>
      <c r="D2609" s="13"/>
      <c r="E2609" s="43" t="str">
        <f>HYPERLINK("https://www.google.ru/search?q=0061T-0000&amp;newwindow=1&amp;tbm=isch","Еще фото")</f>
        <v>Еще фото</v>
      </c>
      <c r="F2609" s="14"/>
      <c r="G2609" s="11" t="s">
        <v>2530</v>
      </c>
      <c r="H2609" s="11" t="s">
        <v>27</v>
      </c>
      <c r="I2609" s="15" t="s">
        <v>2531</v>
      </c>
      <c r="J2609" s="15" t="s">
        <v>37</v>
      </c>
      <c r="K2609" s="16" t="s">
        <v>29</v>
      </c>
      <c r="L2609" s="15" t="s">
        <v>2532</v>
      </c>
      <c r="M2609" s="15"/>
      <c r="N2609" s="15" t="s">
        <v>130</v>
      </c>
      <c r="O2609" s="15"/>
      <c r="P2609" s="16" t="s">
        <v>32</v>
      </c>
      <c r="Q2609" s="17">
        <v>10899</v>
      </c>
      <c r="R2609" s="18">
        <v>45.87</v>
      </c>
      <c r="S2609" s="19">
        <v>6784.9884999999995</v>
      </c>
      <c r="T2609" s="20" t="s">
        <v>33</v>
      </c>
      <c r="U2609" s="21" t="s">
        <v>62</v>
      </c>
      <c r="V2609" s="22">
        <v>44</v>
      </c>
      <c r="W2609" s="22">
        <v>1</v>
      </c>
      <c r="X2609" s="23"/>
    </row>
    <row r="2610" spans="1:24" s="1" customFormat="1" ht="108" customHeight="1" x14ac:dyDescent="0.3">
      <c r="A2610" s="11" t="s">
        <v>23</v>
      </c>
      <c r="B2610" s="11" t="s">
        <v>2533</v>
      </c>
      <c r="C2610" s="12" t="s">
        <v>2534</v>
      </c>
      <c r="D2610" s="13"/>
      <c r="E2610" s="43" t="str">
        <f>HYPERLINK("https://www.google.ru/search?q=A7596-0001&amp;newwindow=1&amp;tbm=isch","Еще фото")</f>
        <v>Еще фото</v>
      </c>
      <c r="F2610" s="14"/>
      <c r="G2610" s="11" t="s">
        <v>2530</v>
      </c>
      <c r="H2610" s="11" t="s">
        <v>27</v>
      </c>
      <c r="I2610" s="15" t="s">
        <v>2531</v>
      </c>
      <c r="J2610" s="15" t="s">
        <v>37</v>
      </c>
      <c r="K2610" s="16" t="s">
        <v>29</v>
      </c>
      <c r="L2610" s="15" t="s">
        <v>2535</v>
      </c>
      <c r="M2610" s="15"/>
      <c r="N2610" s="15" t="s">
        <v>73</v>
      </c>
      <c r="O2610" s="15"/>
      <c r="P2610" s="16" t="s">
        <v>2536</v>
      </c>
      <c r="Q2610" s="17">
        <v>9199</v>
      </c>
      <c r="R2610" s="18">
        <v>45.65</v>
      </c>
      <c r="S2610" s="19">
        <v>5749.9884999999995</v>
      </c>
      <c r="T2610" s="20" t="s">
        <v>33</v>
      </c>
      <c r="U2610" s="21" t="s">
        <v>61</v>
      </c>
      <c r="V2610" s="22">
        <v>42</v>
      </c>
      <c r="W2610" s="22">
        <v>1</v>
      </c>
      <c r="X2610" s="23"/>
    </row>
    <row r="2611" spans="1:24" s="1" customFormat="1" ht="108" customHeight="1" x14ac:dyDescent="0.3">
      <c r="A2611" s="11" t="s">
        <v>23</v>
      </c>
      <c r="B2611" s="11" t="s">
        <v>2537</v>
      </c>
      <c r="C2611" s="12" t="s">
        <v>2538</v>
      </c>
      <c r="D2611" s="13"/>
      <c r="E2611" s="43" t="str">
        <f>HYPERLINK("https://www.google.ru/search?q=A8658-0000&amp;newwindow=1&amp;tbm=isch","Еще фото")</f>
        <v>Еще фото</v>
      </c>
      <c r="F2611" s="14"/>
      <c r="G2611" s="11" t="s">
        <v>2530</v>
      </c>
      <c r="H2611" s="11" t="s">
        <v>27</v>
      </c>
      <c r="I2611" s="15" t="s">
        <v>2531</v>
      </c>
      <c r="J2611" s="15" t="s">
        <v>37</v>
      </c>
      <c r="K2611" s="16" t="s">
        <v>29</v>
      </c>
      <c r="L2611" s="15" t="s">
        <v>2539</v>
      </c>
      <c r="M2611" s="15"/>
      <c r="N2611" s="15" t="s">
        <v>130</v>
      </c>
      <c r="O2611" s="15"/>
      <c r="P2611" s="16" t="s">
        <v>2540</v>
      </c>
      <c r="Q2611" s="17">
        <v>16799</v>
      </c>
      <c r="R2611" s="18">
        <v>45.23</v>
      </c>
      <c r="S2611" s="19">
        <v>10579.988499999999</v>
      </c>
      <c r="T2611" s="20" t="s">
        <v>33</v>
      </c>
      <c r="U2611" s="21" t="s">
        <v>34</v>
      </c>
      <c r="V2611" s="22">
        <v>48</v>
      </c>
      <c r="W2611" s="22">
        <v>1</v>
      </c>
      <c r="X2611" s="23"/>
    </row>
    <row r="2612" spans="1:24" s="1" customFormat="1" ht="108" customHeight="1" x14ac:dyDescent="0.3">
      <c r="A2612" s="11" t="s">
        <v>23</v>
      </c>
      <c r="B2612" s="11" t="s">
        <v>2541</v>
      </c>
      <c r="C2612" s="12" t="s">
        <v>2542</v>
      </c>
      <c r="D2612" s="13"/>
      <c r="E2612" s="43" t="str">
        <f>HYPERLINK("https://www.google.ru/search?q=A0830-0001&amp;newwindow=1&amp;tbm=isch","Еще фото")</f>
        <v>Еще фото</v>
      </c>
      <c r="F2612" s="14"/>
      <c r="G2612" s="11" t="s">
        <v>2530</v>
      </c>
      <c r="H2612" s="11" t="s">
        <v>27</v>
      </c>
      <c r="I2612" s="15" t="s">
        <v>2531</v>
      </c>
      <c r="J2612" s="15" t="s">
        <v>28</v>
      </c>
      <c r="K2612" s="16" t="s">
        <v>29</v>
      </c>
      <c r="L2612" s="15" t="s">
        <v>2543</v>
      </c>
      <c r="M2612" s="15" t="s">
        <v>72</v>
      </c>
      <c r="N2612" s="15" t="s">
        <v>99</v>
      </c>
      <c r="O2612" s="15" t="s">
        <v>121</v>
      </c>
      <c r="P2612" s="16" t="s">
        <v>32</v>
      </c>
      <c r="Q2612" s="17">
        <v>12599</v>
      </c>
      <c r="R2612" s="18">
        <v>45.23</v>
      </c>
      <c r="S2612" s="19">
        <v>7934.9884999999995</v>
      </c>
      <c r="T2612" s="20" t="s">
        <v>33</v>
      </c>
      <c r="U2612" s="21" t="s">
        <v>62</v>
      </c>
      <c r="V2612" s="22">
        <v>44</v>
      </c>
      <c r="W2612" s="22">
        <v>2</v>
      </c>
      <c r="X2612" s="23"/>
    </row>
    <row r="2613" spans="1:24" s="1" customFormat="1" ht="26" customHeight="1" x14ac:dyDescent="0.3">
      <c r="A2613" s="11" t="s">
        <v>23</v>
      </c>
      <c r="B2613" s="11" t="s">
        <v>2544</v>
      </c>
      <c r="C2613" s="12" t="s">
        <v>2545</v>
      </c>
      <c r="D2613" s="57"/>
      <c r="E2613" s="43" t="str">
        <f>HYPERLINK("https://www.google.ru/search?q=005LW-0002&amp;newwindow=1&amp;tbm=isch","Еще фото")</f>
        <v>Еще фото</v>
      </c>
      <c r="F2613" s="14"/>
      <c r="G2613" s="11" t="s">
        <v>2546</v>
      </c>
      <c r="H2613" s="11" t="s">
        <v>27</v>
      </c>
      <c r="I2613" s="15" t="s">
        <v>2531</v>
      </c>
      <c r="J2613" s="15" t="s">
        <v>37</v>
      </c>
      <c r="K2613" s="16" t="s">
        <v>29</v>
      </c>
      <c r="L2613" s="60"/>
      <c r="M2613" s="15"/>
      <c r="N2613" s="15" t="s">
        <v>39</v>
      </c>
      <c r="O2613" s="15"/>
      <c r="P2613" s="16" t="s">
        <v>172</v>
      </c>
      <c r="Q2613" s="17">
        <v>9399</v>
      </c>
      <c r="R2613" s="18">
        <v>45</v>
      </c>
      <c r="S2613" s="19">
        <v>5944.8674999999994</v>
      </c>
      <c r="T2613" s="20" t="s">
        <v>75</v>
      </c>
      <c r="U2613" s="21" t="s">
        <v>2477</v>
      </c>
      <c r="V2613" s="25" t="s">
        <v>44</v>
      </c>
      <c r="W2613" s="22">
        <v>1</v>
      </c>
      <c r="X2613" s="23"/>
    </row>
    <row r="2614" spans="1:24" s="1" customFormat="1" ht="26" customHeight="1" x14ac:dyDescent="0.3">
      <c r="A2614" s="24" t="s">
        <v>23</v>
      </c>
      <c r="B2614" s="24" t="s">
        <v>2544</v>
      </c>
      <c r="C2614" s="12" t="s">
        <v>2545</v>
      </c>
      <c r="D2614" s="58"/>
      <c r="E2614" s="43" t="str">
        <f>HYPERLINK("https://www.google.ru/search?q=005LW-0002&amp;newwindow=1&amp;tbm=isch","Еще фото")</f>
        <v>Еще фото</v>
      </c>
      <c r="F2614" s="14"/>
      <c r="G2614" s="24" t="s">
        <v>2546</v>
      </c>
      <c r="H2614" s="24" t="s">
        <v>27</v>
      </c>
      <c r="I2614" s="24" t="s">
        <v>2531</v>
      </c>
      <c r="J2614" s="15" t="s">
        <v>37</v>
      </c>
      <c r="K2614" s="16" t="s">
        <v>29</v>
      </c>
      <c r="L2614" s="61"/>
      <c r="M2614" s="15"/>
      <c r="N2614" s="15" t="s">
        <v>39</v>
      </c>
      <c r="O2614" s="15"/>
      <c r="P2614" s="16" t="s">
        <v>172</v>
      </c>
      <c r="Q2614" s="17">
        <v>9399</v>
      </c>
      <c r="R2614" s="18">
        <v>45</v>
      </c>
      <c r="S2614" s="19">
        <v>5944.8674999999994</v>
      </c>
      <c r="T2614" s="20" t="s">
        <v>75</v>
      </c>
      <c r="U2614" s="21" t="s">
        <v>210</v>
      </c>
      <c r="V2614" s="22">
        <v>42</v>
      </c>
      <c r="W2614" s="22">
        <v>1</v>
      </c>
      <c r="X2614" s="23"/>
    </row>
    <row r="2615" spans="1:24" s="1" customFormat="1" ht="26" customHeight="1" x14ac:dyDescent="0.3">
      <c r="A2615" s="24" t="s">
        <v>23</v>
      </c>
      <c r="B2615" s="24" t="s">
        <v>2544</v>
      </c>
      <c r="C2615" s="12" t="s">
        <v>2545</v>
      </c>
      <c r="D2615" s="58"/>
      <c r="E2615" s="43" t="str">
        <f>HYPERLINK("https://www.google.ru/search?q=005LW-0002&amp;newwindow=1&amp;tbm=isch","Еще фото")</f>
        <v>Еще фото</v>
      </c>
      <c r="F2615" s="14"/>
      <c r="G2615" s="24" t="s">
        <v>2546</v>
      </c>
      <c r="H2615" s="24" t="s">
        <v>27</v>
      </c>
      <c r="I2615" s="24" t="s">
        <v>2531</v>
      </c>
      <c r="J2615" s="15" t="s">
        <v>37</v>
      </c>
      <c r="K2615" s="16" t="s">
        <v>29</v>
      </c>
      <c r="L2615" s="61"/>
      <c r="M2615" s="15"/>
      <c r="N2615" s="15" t="s">
        <v>39</v>
      </c>
      <c r="O2615" s="15"/>
      <c r="P2615" s="16" t="s">
        <v>172</v>
      </c>
      <c r="Q2615" s="17">
        <v>9399</v>
      </c>
      <c r="R2615" s="18">
        <v>45</v>
      </c>
      <c r="S2615" s="19">
        <v>5944.8674999999994</v>
      </c>
      <c r="T2615" s="20" t="s">
        <v>75</v>
      </c>
      <c r="U2615" s="21" t="s">
        <v>211</v>
      </c>
      <c r="V2615" s="25" t="s">
        <v>48</v>
      </c>
      <c r="W2615" s="22">
        <v>1</v>
      </c>
      <c r="X2615" s="23"/>
    </row>
    <row r="2616" spans="1:24" s="1" customFormat="1" ht="26" customHeight="1" x14ac:dyDescent="0.3">
      <c r="A2616" s="24" t="s">
        <v>23</v>
      </c>
      <c r="B2616" s="24" t="s">
        <v>2544</v>
      </c>
      <c r="C2616" s="12" t="s">
        <v>2545</v>
      </c>
      <c r="D2616" s="59"/>
      <c r="E2616" s="43" t="str">
        <f>HYPERLINK("https://www.google.ru/search?q=005LW-0002&amp;newwindow=1&amp;tbm=isch","Еще фото")</f>
        <v>Еще фото</v>
      </c>
      <c r="F2616" s="14"/>
      <c r="G2616" s="24" t="s">
        <v>2546</v>
      </c>
      <c r="H2616" s="24" t="s">
        <v>27</v>
      </c>
      <c r="I2616" s="24" t="s">
        <v>2531</v>
      </c>
      <c r="J2616" s="15" t="s">
        <v>37</v>
      </c>
      <c r="K2616" s="16" t="s">
        <v>29</v>
      </c>
      <c r="L2616" s="62"/>
      <c r="M2616" s="15"/>
      <c r="N2616" s="15" t="s">
        <v>39</v>
      </c>
      <c r="O2616" s="15"/>
      <c r="P2616" s="16" t="s">
        <v>172</v>
      </c>
      <c r="Q2616" s="17">
        <v>9399</v>
      </c>
      <c r="R2616" s="18">
        <v>45</v>
      </c>
      <c r="S2616" s="19">
        <v>5944.8674999999994</v>
      </c>
      <c r="T2616" s="20" t="s">
        <v>75</v>
      </c>
      <c r="U2616" s="21" t="s">
        <v>212</v>
      </c>
      <c r="V2616" s="22">
        <v>44</v>
      </c>
      <c r="W2616" s="22">
        <v>1</v>
      </c>
      <c r="X2616" s="23"/>
    </row>
    <row r="2617" spans="1:24" s="1" customFormat="1" ht="52.05" customHeight="1" x14ac:dyDescent="0.3">
      <c r="A2617" s="11" t="s">
        <v>23</v>
      </c>
      <c r="B2617" s="11" t="s">
        <v>2547</v>
      </c>
      <c r="C2617" s="12" t="s">
        <v>2548</v>
      </c>
      <c r="D2617" s="63"/>
      <c r="E2617" s="43" t="str">
        <f>HYPERLINK("https://www.google.ru/search?q=005LZ-0001&amp;newwindow=1&amp;tbm=isch","Еще фото")</f>
        <v>Еще фото</v>
      </c>
      <c r="F2617" s="14"/>
      <c r="G2617" s="11" t="s">
        <v>2546</v>
      </c>
      <c r="H2617" s="11" t="s">
        <v>27</v>
      </c>
      <c r="I2617" s="15" t="s">
        <v>2531</v>
      </c>
      <c r="J2617" s="15" t="s">
        <v>37</v>
      </c>
      <c r="K2617" s="16" t="s">
        <v>29</v>
      </c>
      <c r="L2617" s="60" t="s">
        <v>2549</v>
      </c>
      <c r="M2617" s="15"/>
      <c r="N2617" s="15" t="s">
        <v>130</v>
      </c>
      <c r="O2617" s="15"/>
      <c r="P2617" s="16" t="s">
        <v>254</v>
      </c>
      <c r="Q2617" s="17">
        <v>8199</v>
      </c>
      <c r="R2617" s="18">
        <v>45</v>
      </c>
      <c r="S2617" s="19">
        <v>5185.8674999999994</v>
      </c>
      <c r="T2617" s="20" t="s">
        <v>75</v>
      </c>
      <c r="U2617" s="21" t="s">
        <v>2477</v>
      </c>
      <c r="V2617" s="25" t="s">
        <v>44</v>
      </c>
      <c r="W2617" s="22">
        <v>1</v>
      </c>
      <c r="X2617" s="23"/>
    </row>
    <row r="2618" spans="1:24" s="1" customFormat="1" ht="61.05" customHeight="1" x14ac:dyDescent="0.3">
      <c r="A2618" s="24" t="s">
        <v>23</v>
      </c>
      <c r="B2618" s="24" t="s">
        <v>2547</v>
      </c>
      <c r="C2618" s="12" t="s">
        <v>2548</v>
      </c>
      <c r="D2618" s="64"/>
      <c r="E2618" s="43" t="str">
        <f>HYPERLINK("https://www.google.ru/search?q=005LZ-0001&amp;newwindow=1&amp;tbm=isch","Еще фото")</f>
        <v>Еще фото</v>
      </c>
      <c r="F2618" s="14"/>
      <c r="G2618" s="24" t="s">
        <v>2546</v>
      </c>
      <c r="H2618" s="24" t="s">
        <v>27</v>
      </c>
      <c r="I2618" s="24" t="s">
        <v>2531</v>
      </c>
      <c r="J2618" s="15" t="s">
        <v>37</v>
      </c>
      <c r="K2618" s="16" t="s">
        <v>29</v>
      </c>
      <c r="L2618" s="62"/>
      <c r="M2618" s="15"/>
      <c r="N2618" s="15" t="s">
        <v>130</v>
      </c>
      <c r="O2618" s="15"/>
      <c r="P2618" s="16" t="s">
        <v>254</v>
      </c>
      <c r="Q2618" s="17">
        <v>8199</v>
      </c>
      <c r="R2618" s="18">
        <v>45</v>
      </c>
      <c r="S2618" s="19">
        <v>5185.8674999999994</v>
      </c>
      <c r="T2618" s="20" t="s">
        <v>75</v>
      </c>
      <c r="U2618" s="21" t="s">
        <v>210</v>
      </c>
      <c r="V2618" s="22">
        <v>42</v>
      </c>
      <c r="W2618" s="22">
        <v>1</v>
      </c>
      <c r="X2618" s="23"/>
    </row>
    <row r="2619" spans="1:24" s="1" customFormat="1" ht="11" customHeight="1" x14ac:dyDescent="0.3">
      <c r="A2619" s="11" t="s">
        <v>23</v>
      </c>
      <c r="B2619" s="11" t="s">
        <v>2550</v>
      </c>
      <c r="C2619" s="12" t="s">
        <v>2551</v>
      </c>
      <c r="D2619" s="57"/>
      <c r="E2619" s="43" t="str">
        <f t="shared" ref="E2619:E2628" si="117">HYPERLINK("https://www.google.ru/search?q=008AF-0001&amp;newwindow=1&amp;tbm=isch","Еще фото")</f>
        <v>Еще фото</v>
      </c>
      <c r="F2619" s="14"/>
      <c r="G2619" s="11" t="s">
        <v>2552</v>
      </c>
      <c r="H2619" s="11" t="s">
        <v>27</v>
      </c>
      <c r="I2619" s="15" t="s">
        <v>2531</v>
      </c>
      <c r="J2619" s="15" t="s">
        <v>37</v>
      </c>
      <c r="K2619" s="16" t="s">
        <v>29</v>
      </c>
      <c r="L2619" s="60"/>
      <c r="M2619" s="15"/>
      <c r="N2619" s="15" t="s">
        <v>130</v>
      </c>
      <c r="O2619" s="15"/>
      <c r="P2619" s="16" t="s">
        <v>172</v>
      </c>
      <c r="Q2619" s="17">
        <v>10399</v>
      </c>
      <c r="R2619" s="18">
        <v>45</v>
      </c>
      <c r="S2619" s="19">
        <v>6577.3674999999994</v>
      </c>
      <c r="T2619" s="20" t="s">
        <v>75</v>
      </c>
      <c r="U2619" s="21" t="s">
        <v>2440</v>
      </c>
      <c r="V2619" s="22">
        <v>38</v>
      </c>
      <c r="W2619" s="22">
        <v>2</v>
      </c>
      <c r="X2619" s="23"/>
    </row>
    <row r="2620" spans="1:24" s="1" customFormat="1" ht="11" customHeight="1" x14ac:dyDescent="0.3">
      <c r="A2620" s="24" t="s">
        <v>23</v>
      </c>
      <c r="B2620" s="24" t="s">
        <v>2550</v>
      </c>
      <c r="C2620" s="12" t="s">
        <v>2551</v>
      </c>
      <c r="D2620" s="58"/>
      <c r="E2620" s="43" t="str">
        <f t="shared" si="117"/>
        <v>Еще фото</v>
      </c>
      <c r="F2620" s="14"/>
      <c r="G2620" s="24" t="s">
        <v>2552</v>
      </c>
      <c r="H2620" s="24" t="s">
        <v>27</v>
      </c>
      <c r="I2620" s="24" t="s">
        <v>2531</v>
      </c>
      <c r="J2620" s="15" t="s">
        <v>37</v>
      </c>
      <c r="K2620" s="16" t="s">
        <v>29</v>
      </c>
      <c r="L2620" s="61"/>
      <c r="M2620" s="15"/>
      <c r="N2620" s="15" t="s">
        <v>130</v>
      </c>
      <c r="O2620" s="15"/>
      <c r="P2620" s="16" t="s">
        <v>172</v>
      </c>
      <c r="Q2620" s="17">
        <v>10399</v>
      </c>
      <c r="R2620" s="18">
        <v>45</v>
      </c>
      <c r="S2620" s="19">
        <v>6577.3674999999994</v>
      </c>
      <c r="T2620" s="20" t="s">
        <v>75</v>
      </c>
      <c r="U2620" s="21" t="s">
        <v>2453</v>
      </c>
      <c r="V2620" s="22">
        <v>40</v>
      </c>
      <c r="W2620" s="22">
        <v>2</v>
      </c>
      <c r="X2620" s="23"/>
    </row>
    <row r="2621" spans="1:24" s="1" customFormat="1" ht="11" customHeight="1" x14ac:dyDescent="0.3">
      <c r="A2621" s="24" t="s">
        <v>23</v>
      </c>
      <c r="B2621" s="24" t="s">
        <v>2550</v>
      </c>
      <c r="C2621" s="12" t="s">
        <v>2551</v>
      </c>
      <c r="D2621" s="58"/>
      <c r="E2621" s="43" t="str">
        <f t="shared" si="117"/>
        <v>Еще фото</v>
      </c>
      <c r="F2621" s="14"/>
      <c r="G2621" s="24" t="s">
        <v>2552</v>
      </c>
      <c r="H2621" s="24" t="s">
        <v>27</v>
      </c>
      <c r="I2621" s="24" t="s">
        <v>2531</v>
      </c>
      <c r="J2621" s="15" t="s">
        <v>37</v>
      </c>
      <c r="K2621" s="16" t="s">
        <v>29</v>
      </c>
      <c r="L2621" s="61"/>
      <c r="M2621" s="15"/>
      <c r="N2621" s="15" t="s">
        <v>130</v>
      </c>
      <c r="O2621" s="15"/>
      <c r="P2621" s="16" t="s">
        <v>172</v>
      </c>
      <c r="Q2621" s="17">
        <v>10399</v>
      </c>
      <c r="R2621" s="18">
        <v>45</v>
      </c>
      <c r="S2621" s="19">
        <v>6577.3674999999994</v>
      </c>
      <c r="T2621" s="20" t="s">
        <v>75</v>
      </c>
      <c r="U2621" s="21" t="s">
        <v>2477</v>
      </c>
      <c r="V2621" s="25" t="s">
        <v>44</v>
      </c>
      <c r="W2621" s="22">
        <v>16</v>
      </c>
      <c r="X2621" s="23"/>
    </row>
    <row r="2622" spans="1:24" s="1" customFormat="1" ht="11" customHeight="1" x14ac:dyDescent="0.3">
      <c r="A2622" s="24" t="s">
        <v>23</v>
      </c>
      <c r="B2622" s="24" t="s">
        <v>2550</v>
      </c>
      <c r="C2622" s="12" t="s">
        <v>2551</v>
      </c>
      <c r="D2622" s="58"/>
      <c r="E2622" s="43" t="str">
        <f t="shared" si="117"/>
        <v>Еще фото</v>
      </c>
      <c r="F2622" s="14"/>
      <c r="G2622" s="24" t="s">
        <v>2552</v>
      </c>
      <c r="H2622" s="24" t="s">
        <v>27</v>
      </c>
      <c r="I2622" s="24" t="s">
        <v>2531</v>
      </c>
      <c r="J2622" s="15" t="s">
        <v>37</v>
      </c>
      <c r="K2622" s="16" t="s">
        <v>29</v>
      </c>
      <c r="L2622" s="61"/>
      <c r="M2622" s="15"/>
      <c r="N2622" s="15" t="s">
        <v>130</v>
      </c>
      <c r="O2622" s="15"/>
      <c r="P2622" s="16" t="s">
        <v>172</v>
      </c>
      <c r="Q2622" s="17">
        <v>10399</v>
      </c>
      <c r="R2622" s="18">
        <v>45</v>
      </c>
      <c r="S2622" s="19">
        <v>6577.3674999999994</v>
      </c>
      <c r="T2622" s="20" t="s">
        <v>75</v>
      </c>
      <c r="U2622" s="21" t="s">
        <v>210</v>
      </c>
      <c r="V2622" s="22">
        <v>42</v>
      </c>
      <c r="W2622" s="22">
        <v>13</v>
      </c>
      <c r="X2622" s="23"/>
    </row>
    <row r="2623" spans="1:24" s="1" customFormat="1" ht="11" customHeight="1" x14ac:dyDescent="0.3">
      <c r="A2623" s="24" t="s">
        <v>23</v>
      </c>
      <c r="B2623" s="24" t="s">
        <v>2550</v>
      </c>
      <c r="C2623" s="12" t="s">
        <v>2551</v>
      </c>
      <c r="D2623" s="58"/>
      <c r="E2623" s="43" t="str">
        <f t="shared" si="117"/>
        <v>Еще фото</v>
      </c>
      <c r="F2623" s="14"/>
      <c r="G2623" s="24" t="s">
        <v>2552</v>
      </c>
      <c r="H2623" s="24" t="s">
        <v>27</v>
      </c>
      <c r="I2623" s="24" t="s">
        <v>2531</v>
      </c>
      <c r="J2623" s="15" t="s">
        <v>37</v>
      </c>
      <c r="K2623" s="16" t="s">
        <v>29</v>
      </c>
      <c r="L2623" s="61"/>
      <c r="M2623" s="15"/>
      <c r="N2623" s="15" t="s">
        <v>130</v>
      </c>
      <c r="O2623" s="15"/>
      <c r="P2623" s="16" t="s">
        <v>172</v>
      </c>
      <c r="Q2623" s="17">
        <v>10399</v>
      </c>
      <c r="R2623" s="18">
        <v>45</v>
      </c>
      <c r="S2623" s="19">
        <v>6577.3674999999994</v>
      </c>
      <c r="T2623" s="20" t="s">
        <v>75</v>
      </c>
      <c r="U2623" s="21" t="s">
        <v>211</v>
      </c>
      <c r="V2623" s="25" t="s">
        <v>48</v>
      </c>
      <c r="W2623" s="22">
        <v>7</v>
      </c>
      <c r="X2623" s="23"/>
    </row>
    <row r="2624" spans="1:24" s="1" customFormat="1" ht="11" customHeight="1" x14ac:dyDescent="0.3">
      <c r="A2624" s="24" t="s">
        <v>23</v>
      </c>
      <c r="B2624" s="24" t="s">
        <v>2550</v>
      </c>
      <c r="C2624" s="12" t="s">
        <v>2551</v>
      </c>
      <c r="D2624" s="58"/>
      <c r="E2624" s="43" t="str">
        <f t="shared" si="117"/>
        <v>Еще фото</v>
      </c>
      <c r="F2624" s="14"/>
      <c r="G2624" s="24" t="s">
        <v>2552</v>
      </c>
      <c r="H2624" s="24" t="s">
        <v>27</v>
      </c>
      <c r="I2624" s="24" t="s">
        <v>2531</v>
      </c>
      <c r="J2624" s="15" t="s">
        <v>37</v>
      </c>
      <c r="K2624" s="16" t="s">
        <v>29</v>
      </c>
      <c r="L2624" s="61"/>
      <c r="M2624" s="15"/>
      <c r="N2624" s="15" t="s">
        <v>130</v>
      </c>
      <c r="O2624" s="15"/>
      <c r="P2624" s="16" t="s">
        <v>172</v>
      </c>
      <c r="Q2624" s="17">
        <v>10399</v>
      </c>
      <c r="R2624" s="18">
        <v>45</v>
      </c>
      <c r="S2624" s="19">
        <v>6577.3674999999994</v>
      </c>
      <c r="T2624" s="20" t="s">
        <v>75</v>
      </c>
      <c r="U2624" s="21" t="s">
        <v>212</v>
      </c>
      <c r="V2624" s="22">
        <v>44</v>
      </c>
      <c r="W2624" s="22">
        <v>11</v>
      </c>
      <c r="X2624" s="23"/>
    </row>
    <row r="2625" spans="1:24" s="1" customFormat="1" ht="11" customHeight="1" x14ac:dyDescent="0.3">
      <c r="A2625" s="24" t="s">
        <v>23</v>
      </c>
      <c r="B2625" s="24" t="s">
        <v>2550</v>
      </c>
      <c r="C2625" s="12" t="s">
        <v>2551</v>
      </c>
      <c r="D2625" s="58"/>
      <c r="E2625" s="43" t="str">
        <f t="shared" si="117"/>
        <v>Еще фото</v>
      </c>
      <c r="F2625" s="14"/>
      <c r="G2625" s="24" t="s">
        <v>2552</v>
      </c>
      <c r="H2625" s="24" t="s">
        <v>27</v>
      </c>
      <c r="I2625" s="24" t="s">
        <v>2531</v>
      </c>
      <c r="J2625" s="15" t="s">
        <v>37</v>
      </c>
      <c r="K2625" s="16" t="s">
        <v>29</v>
      </c>
      <c r="L2625" s="61"/>
      <c r="M2625" s="15"/>
      <c r="N2625" s="15" t="s">
        <v>130</v>
      </c>
      <c r="O2625" s="15"/>
      <c r="P2625" s="16" t="s">
        <v>172</v>
      </c>
      <c r="Q2625" s="17">
        <v>10399</v>
      </c>
      <c r="R2625" s="18">
        <v>45</v>
      </c>
      <c r="S2625" s="19">
        <v>6577.3674999999994</v>
      </c>
      <c r="T2625" s="20" t="s">
        <v>75</v>
      </c>
      <c r="U2625" s="21" t="s">
        <v>213</v>
      </c>
      <c r="V2625" s="22">
        <v>46</v>
      </c>
      <c r="W2625" s="22">
        <v>10</v>
      </c>
      <c r="X2625" s="23"/>
    </row>
    <row r="2626" spans="1:24" s="1" customFormat="1" ht="11" customHeight="1" x14ac:dyDescent="0.3">
      <c r="A2626" s="24" t="s">
        <v>23</v>
      </c>
      <c r="B2626" s="24" t="s">
        <v>2550</v>
      </c>
      <c r="C2626" s="12" t="s">
        <v>2551</v>
      </c>
      <c r="D2626" s="58"/>
      <c r="E2626" s="43" t="str">
        <f t="shared" si="117"/>
        <v>Еще фото</v>
      </c>
      <c r="F2626" s="14"/>
      <c r="G2626" s="24" t="s">
        <v>2552</v>
      </c>
      <c r="H2626" s="24" t="s">
        <v>27</v>
      </c>
      <c r="I2626" s="24" t="s">
        <v>2531</v>
      </c>
      <c r="J2626" s="15" t="s">
        <v>37</v>
      </c>
      <c r="K2626" s="16" t="s">
        <v>29</v>
      </c>
      <c r="L2626" s="61"/>
      <c r="M2626" s="15"/>
      <c r="N2626" s="15" t="s">
        <v>130</v>
      </c>
      <c r="O2626" s="15"/>
      <c r="P2626" s="16" t="s">
        <v>172</v>
      </c>
      <c r="Q2626" s="17">
        <v>10399</v>
      </c>
      <c r="R2626" s="18">
        <v>45</v>
      </c>
      <c r="S2626" s="19">
        <v>6577.3674999999994</v>
      </c>
      <c r="T2626" s="20" t="s">
        <v>75</v>
      </c>
      <c r="U2626" s="21" t="s">
        <v>214</v>
      </c>
      <c r="V2626" s="22">
        <v>48</v>
      </c>
      <c r="W2626" s="22">
        <v>1</v>
      </c>
      <c r="X2626" s="23"/>
    </row>
    <row r="2627" spans="1:24" s="1" customFormat="1" ht="11" customHeight="1" x14ac:dyDescent="0.3">
      <c r="A2627" s="24" t="s">
        <v>23</v>
      </c>
      <c r="B2627" s="24" t="s">
        <v>2550</v>
      </c>
      <c r="C2627" s="12" t="s">
        <v>2551</v>
      </c>
      <c r="D2627" s="58"/>
      <c r="E2627" s="43" t="str">
        <f t="shared" si="117"/>
        <v>Еще фото</v>
      </c>
      <c r="F2627" s="14"/>
      <c r="G2627" s="24" t="s">
        <v>2552</v>
      </c>
      <c r="H2627" s="24" t="s">
        <v>27</v>
      </c>
      <c r="I2627" s="24" t="s">
        <v>2531</v>
      </c>
      <c r="J2627" s="15" t="s">
        <v>37</v>
      </c>
      <c r="K2627" s="16" t="s">
        <v>29</v>
      </c>
      <c r="L2627" s="61"/>
      <c r="M2627" s="15"/>
      <c r="N2627" s="15" t="s">
        <v>130</v>
      </c>
      <c r="O2627" s="15"/>
      <c r="P2627" s="16" t="s">
        <v>172</v>
      </c>
      <c r="Q2627" s="17">
        <v>10399</v>
      </c>
      <c r="R2627" s="18">
        <v>45</v>
      </c>
      <c r="S2627" s="19">
        <v>6577.3674999999994</v>
      </c>
      <c r="T2627" s="20" t="s">
        <v>75</v>
      </c>
      <c r="U2627" s="21" t="s">
        <v>215</v>
      </c>
      <c r="V2627" s="25" t="s">
        <v>96</v>
      </c>
      <c r="W2627" s="22">
        <v>2</v>
      </c>
      <c r="X2627" s="23"/>
    </row>
    <row r="2628" spans="1:24" s="1" customFormat="1" ht="11" customHeight="1" x14ac:dyDescent="0.3">
      <c r="A2628" s="15" t="s">
        <v>23</v>
      </c>
      <c r="B2628" s="15" t="s">
        <v>2550</v>
      </c>
      <c r="C2628" s="12" t="s">
        <v>2551</v>
      </c>
      <c r="D2628" s="59"/>
      <c r="E2628" s="43" t="str">
        <f t="shared" si="117"/>
        <v>Еще фото</v>
      </c>
      <c r="F2628" s="26"/>
      <c r="G2628" s="15" t="s">
        <v>2552</v>
      </c>
      <c r="H2628" s="15" t="s">
        <v>27</v>
      </c>
      <c r="I2628" s="15" t="s">
        <v>2531</v>
      </c>
      <c r="J2628" s="15" t="s">
        <v>37</v>
      </c>
      <c r="K2628" s="15" t="s">
        <v>29</v>
      </c>
      <c r="L2628" s="62"/>
      <c r="M2628" s="15"/>
      <c r="N2628" s="15" t="s">
        <v>130</v>
      </c>
      <c r="O2628" s="15"/>
      <c r="P2628" s="15" t="s">
        <v>172</v>
      </c>
      <c r="Q2628" s="27">
        <v>10399</v>
      </c>
      <c r="R2628" s="28">
        <v>45</v>
      </c>
      <c r="S2628" s="29">
        <v>6577.3674999999994</v>
      </c>
      <c r="T2628" s="20" t="s">
        <v>75</v>
      </c>
      <c r="U2628" s="21" t="s">
        <v>216</v>
      </c>
      <c r="V2628" s="22">
        <v>50</v>
      </c>
      <c r="W2628" s="22">
        <v>3</v>
      </c>
      <c r="X2628" s="23"/>
    </row>
    <row r="2629" spans="1:24" s="1" customFormat="1" ht="108" customHeight="1" x14ac:dyDescent="0.3">
      <c r="A2629" s="11" t="s">
        <v>23</v>
      </c>
      <c r="B2629" s="11" t="s">
        <v>2553</v>
      </c>
      <c r="C2629" s="12" t="s">
        <v>2554</v>
      </c>
      <c r="D2629" s="13"/>
      <c r="E2629" s="43" t="str">
        <f>HYPERLINK("https://www.google.ru/search?q=A4694-0022&amp;newwindow=1&amp;tbm=isch","Еще фото")</f>
        <v>Еще фото</v>
      </c>
      <c r="F2629" s="14"/>
      <c r="G2629" s="11" t="s">
        <v>2546</v>
      </c>
      <c r="H2629" s="11" t="s">
        <v>27</v>
      </c>
      <c r="I2629" s="15" t="s">
        <v>2531</v>
      </c>
      <c r="J2629" s="15" t="s">
        <v>37</v>
      </c>
      <c r="K2629" s="16" t="s">
        <v>29</v>
      </c>
      <c r="L2629" s="15" t="s">
        <v>2555</v>
      </c>
      <c r="M2629" s="15"/>
      <c r="N2629" s="15" t="s">
        <v>130</v>
      </c>
      <c r="O2629" s="15"/>
      <c r="P2629" s="16" t="s">
        <v>32</v>
      </c>
      <c r="Q2629" s="17">
        <v>9499</v>
      </c>
      <c r="R2629" s="18">
        <v>45</v>
      </c>
      <c r="S2629" s="19">
        <v>6008.1174999999994</v>
      </c>
      <c r="T2629" s="20" t="s">
        <v>75</v>
      </c>
      <c r="U2629" s="21" t="s">
        <v>214</v>
      </c>
      <c r="V2629" s="22">
        <v>48</v>
      </c>
      <c r="W2629" s="22">
        <v>1</v>
      </c>
      <c r="X2629" s="23"/>
    </row>
  </sheetData>
  <autoFilter ref="A3:X2629" xr:uid="{00000000-0009-0000-0000-000000000000}"/>
  <mergeCells count="1040">
    <mergeCell ref="D5:D14"/>
    <mergeCell ref="L5:L14"/>
    <mergeCell ref="D15:D17"/>
    <mergeCell ref="L15:L17"/>
    <mergeCell ref="D18:D19"/>
    <mergeCell ref="L18:L19"/>
    <mergeCell ref="D20:D24"/>
    <mergeCell ref="L20:L24"/>
    <mergeCell ref="D30:D31"/>
    <mergeCell ref="L30:L31"/>
    <mergeCell ref="D39:D40"/>
    <mergeCell ref="L39:L40"/>
    <mergeCell ref="D42:D44"/>
    <mergeCell ref="L42:L44"/>
    <mergeCell ref="D49:D55"/>
    <mergeCell ref="L49:L55"/>
    <mergeCell ref="D56:D64"/>
    <mergeCell ref="L56:L64"/>
    <mergeCell ref="D67:D69"/>
    <mergeCell ref="L67:L69"/>
    <mergeCell ref="D70:D72"/>
    <mergeCell ref="L70:L72"/>
    <mergeCell ref="D73:D82"/>
    <mergeCell ref="L73:L82"/>
    <mergeCell ref="D83:D84"/>
    <mergeCell ref="L83:L84"/>
    <mergeCell ref="D86:D91"/>
    <mergeCell ref="L86:L91"/>
    <mergeCell ref="D92:D96"/>
    <mergeCell ref="L92:L96"/>
    <mergeCell ref="D97:D105"/>
    <mergeCell ref="L97:L105"/>
    <mergeCell ref="D106:D109"/>
    <mergeCell ref="L106:L109"/>
    <mergeCell ref="D110:D112"/>
    <mergeCell ref="L110:L112"/>
    <mergeCell ref="D113:D119"/>
    <mergeCell ref="L113:L119"/>
    <mergeCell ref="D120:D126"/>
    <mergeCell ref="L120:L126"/>
    <mergeCell ref="D127:D128"/>
    <mergeCell ref="L127:L128"/>
    <mergeCell ref="D132:D140"/>
    <mergeCell ref="L132:L140"/>
    <mergeCell ref="D142:D144"/>
    <mergeCell ref="L142:L144"/>
    <mergeCell ref="D145:D148"/>
    <mergeCell ref="L145:L148"/>
    <mergeCell ref="D150:D151"/>
    <mergeCell ref="L150:L151"/>
    <mergeCell ref="D152:D153"/>
    <mergeCell ref="L152:L153"/>
    <mergeCell ref="D154:D155"/>
    <mergeCell ref="L154:L155"/>
    <mergeCell ref="D156:D157"/>
    <mergeCell ref="L156:L157"/>
    <mergeCell ref="D159:D160"/>
    <mergeCell ref="L159:L160"/>
    <mergeCell ref="D162:D163"/>
    <mergeCell ref="L162:L163"/>
    <mergeCell ref="D164:D165"/>
    <mergeCell ref="L164:L165"/>
    <mergeCell ref="D166:D167"/>
    <mergeCell ref="L166:L167"/>
    <mergeCell ref="D168:D169"/>
    <mergeCell ref="L168:L169"/>
    <mergeCell ref="D170:D172"/>
    <mergeCell ref="L170:L172"/>
    <mergeCell ref="D174:D175"/>
    <mergeCell ref="L174:L175"/>
    <mergeCell ref="D176:D179"/>
    <mergeCell ref="L176:L179"/>
    <mergeCell ref="D180:D185"/>
    <mergeCell ref="L180:L185"/>
    <mergeCell ref="D186:D191"/>
    <mergeCell ref="L186:L191"/>
    <mergeCell ref="D192:D193"/>
    <mergeCell ref="L192:L193"/>
    <mergeCell ref="D194:D197"/>
    <mergeCell ref="L194:L197"/>
    <mergeCell ref="D198:D207"/>
    <mergeCell ref="L198:L207"/>
    <mergeCell ref="D208:D209"/>
    <mergeCell ref="L208:L209"/>
    <mergeCell ref="D210:D213"/>
    <mergeCell ref="L210:L213"/>
    <mergeCell ref="D214:D215"/>
    <mergeCell ref="L214:L215"/>
    <mergeCell ref="D217:D220"/>
    <mergeCell ref="L217:L220"/>
    <mergeCell ref="D221:D227"/>
    <mergeCell ref="L221:L227"/>
    <mergeCell ref="D228:D231"/>
    <mergeCell ref="L228:L231"/>
    <mergeCell ref="D232:D234"/>
    <mergeCell ref="L232:L234"/>
    <mergeCell ref="D235:D242"/>
    <mergeCell ref="L235:L242"/>
    <mergeCell ref="D244:D248"/>
    <mergeCell ref="L244:L248"/>
    <mergeCell ref="D249:D263"/>
    <mergeCell ref="L249:L263"/>
    <mergeCell ref="D264:D265"/>
    <mergeCell ref="L264:L265"/>
    <mergeCell ref="D266:D267"/>
    <mergeCell ref="L266:L267"/>
    <mergeCell ref="D268:D270"/>
    <mergeCell ref="L268:L270"/>
    <mergeCell ref="D271:D272"/>
    <mergeCell ref="L271:L272"/>
    <mergeCell ref="D273:D281"/>
    <mergeCell ref="L273:L281"/>
    <mergeCell ref="D282:D292"/>
    <mergeCell ref="L282:L292"/>
    <mergeCell ref="D293:D294"/>
    <mergeCell ref="L293:L294"/>
    <mergeCell ref="D295:D296"/>
    <mergeCell ref="L295:L296"/>
    <mergeCell ref="D298:D302"/>
    <mergeCell ref="L298:L302"/>
    <mergeCell ref="D304:D306"/>
    <mergeCell ref="L304:L306"/>
    <mergeCell ref="D307:D309"/>
    <mergeCell ref="L307:L309"/>
    <mergeCell ref="D310:D313"/>
    <mergeCell ref="L310:L313"/>
    <mergeCell ref="D314:D316"/>
    <mergeCell ref="L314:L316"/>
    <mergeCell ref="D317:D320"/>
    <mergeCell ref="L317:L320"/>
    <mergeCell ref="D321:D328"/>
    <mergeCell ref="L321:L328"/>
    <mergeCell ref="D332:D335"/>
    <mergeCell ref="L332:L335"/>
    <mergeCell ref="D340:D342"/>
    <mergeCell ref="L340:L342"/>
    <mergeCell ref="D343:D348"/>
    <mergeCell ref="L343:L348"/>
    <mergeCell ref="D349:D350"/>
    <mergeCell ref="L349:L350"/>
    <mergeCell ref="D351:D354"/>
    <mergeCell ref="L351:L354"/>
    <mergeCell ref="D355:D361"/>
    <mergeCell ref="L355:L361"/>
    <mergeCell ref="D363:D364"/>
    <mergeCell ref="L363:L364"/>
    <mergeCell ref="D365:D380"/>
    <mergeCell ref="L365:L380"/>
    <mergeCell ref="D381:D385"/>
    <mergeCell ref="L381:L385"/>
    <mergeCell ref="D387:D390"/>
    <mergeCell ref="L387:L390"/>
    <mergeCell ref="D391:D393"/>
    <mergeCell ref="L391:L393"/>
    <mergeCell ref="D397:D398"/>
    <mergeCell ref="L397:L398"/>
    <mergeCell ref="D399:D405"/>
    <mergeCell ref="L399:L405"/>
    <mergeCell ref="D406:D410"/>
    <mergeCell ref="L406:L410"/>
    <mergeCell ref="D411:D422"/>
    <mergeCell ref="L411:L422"/>
    <mergeCell ref="D423:D430"/>
    <mergeCell ref="L423:L430"/>
    <mergeCell ref="D432:D433"/>
    <mergeCell ref="L432:L433"/>
    <mergeCell ref="D438:D440"/>
    <mergeCell ref="L438:L440"/>
    <mergeCell ref="D443:D444"/>
    <mergeCell ref="L443:L444"/>
    <mergeCell ref="D445:D446"/>
    <mergeCell ref="L445:L446"/>
    <mergeCell ref="D456:D457"/>
    <mergeCell ref="L456:L457"/>
    <mergeCell ref="D458:D459"/>
    <mergeCell ref="L458:L459"/>
    <mergeCell ref="D460:D463"/>
    <mergeCell ref="L460:L463"/>
    <mergeCell ref="D468:D470"/>
    <mergeCell ref="L468:L470"/>
    <mergeCell ref="D472:D473"/>
    <mergeCell ref="L472:L473"/>
    <mergeCell ref="D475:D476"/>
    <mergeCell ref="L475:L476"/>
    <mergeCell ref="D478:D480"/>
    <mergeCell ref="L478:L480"/>
    <mergeCell ref="D481:D482"/>
    <mergeCell ref="L481:L482"/>
    <mergeCell ref="D484:D485"/>
    <mergeCell ref="L484:L485"/>
    <mergeCell ref="D486:D488"/>
    <mergeCell ref="L486:L488"/>
    <mergeCell ref="D489:D490"/>
    <mergeCell ref="L489:L490"/>
    <mergeCell ref="D492:D494"/>
    <mergeCell ref="L492:L494"/>
    <mergeCell ref="D496:D497"/>
    <mergeCell ref="L496:L497"/>
    <mergeCell ref="D498:D499"/>
    <mergeCell ref="L498:L499"/>
    <mergeCell ref="D500:D501"/>
    <mergeCell ref="L500:L501"/>
    <mergeCell ref="D502:D505"/>
    <mergeCell ref="L502:L505"/>
    <mergeCell ref="D511:D512"/>
    <mergeCell ref="L511:L512"/>
    <mergeCell ref="D513:D515"/>
    <mergeCell ref="L513:L515"/>
    <mergeCell ref="D519:D520"/>
    <mergeCell ref="L519:L520"/>
    <mergeCell ref="D521:D522"/>
    <mergeCell ref="L521:L522"/>
    <mergeCell ref="D524:D525"/>
    <mergeCell ref="L524:L525"/>
    <mergeCell ref="D530:D532"/>
    <mergeCell ref="L530:L532"/>
    <mergeCell ref="D539:D541"/>
    <mergeCell ref="L539:L541"/>
    <mergeCell ref="D543:D546"/>
    <mergeCell ref="L543:L546"/>
    <mergeCell ref="D548:D550"/>
    <mergeCell ref="L548:L550"/>
    <mergeCell ref="D551:D553"/>
    <mergeCell ref="L551:L553"/>
    <mergeCell ref="D555:D556"/>
    <mergeCell ref="L555:L556"/>
    <mergeCell ref="D559:D561"/>
    <mergeCell ref="L559:L561"/>
    <mergeCell ref="D563:D564"/>
    <mergeCell ref="L563:L564"/>
    <mergeCell ref="D565:D566"/>
    <mergeCell ref="L565:L566"/>
    <mergeCell ref="D574:D575"/>
    <mergeCell ref="L574:L575"/>
    <mergeCell ref="D577:D579"/>
    <mergeCell ref="L577:L579"/>
    <mergeCell ref="D584:D585"/>
    <mergeCell ref="L584:L585"/>
    <mergeCell ref="D586:D588"/>
    <mergeCell ref="L586:L588"/>
    <mergeCell ref="D594:D595"/>
    <mergeCell ref="L594:L595"/>
    <mergeCell ref="D596:D598"/>
    <mergeCell ref="L596:L598"/>
    <mergeCell ref="D599:D601"/>
    <mergeCell ref="L599:L601"/>
    <mergeCell ref="D605:D607"/>
    <mergeCell ref="L605:L607"/>
    <mergeCell ref="D608:D613"/>
    <mergeCell ref="L608:L613"/>
    <mergeCell ref="D614:D626"/>
    <mergeCell ref="L614:L626"/>
    <mergeCell ref="D627:D639"/>
    <mergeCell ref="L627:L639"/>
    <mergeCell ref="D640:D651"/>
    <mergeCell ref="L640:L651"/>
    <mergeCell ref="D652:D664"/>
    <mergeCell ref="L652:L664"/>
    <mergeCell ref="D665:D676"/>
    <mergeCell ref="L665:L676"/>
    <mergeCell ref="D678:D689"/>
    <mergeCell ref="L678:L689"/>
    <mergeCell ref="D691:D700"/>
    <mergeCell ref="L691:L700"/>
    <mergeCell ref="D701:D706"/>
    <mergeCell ref="L701:L706"/>
    <mergeCell ref="D707:D711"/>
    <mergeCell ref="L707:L711"/>
    <mergeCell ref="D714:D725"/>
    <mergeCell ref="L714:L725"/>
    <mergeCell ref="D726:D737"/>
    <mergeCell ref="L726:L737"/>
    <mergeCell ref="D738:D740"/>
    <mergeCell ref="L738:L740"/>
    <mergeCell ref="D741:D746"/>
    <mergeCell ref="L741:L746"/>
    <mergeCell ref="D747:D748"/>
    <mergeCell ref="L747:L748"/>
    <mergeCell ref="D749:D750"/>
    <mergeCell ref="L749:L750"/>
    <mergeCell ref="D753:D756"/>
    <mergeCell ref="L753:L756"/>
    <mergeCell ref="D758:D766"/>
    <mergeCell ref="L758:L766"/>
    <mergeCell ref="D767:D769"/>
    <mergeCell ref="L767:L769"/>
    <mergeCell ref="D770:D772"/>
    <mergeCell ref="L770:L772"/>
    <mergeCell ref="D773:D779"/>
    <mergeCell ref="L773:L779"/>
    <mergeCell ref="D780:D783"/>
    <mergeCell ref="L780:L783"/>
    <mergeCell ref="D784:D789"/>
    <mergeCell ref="L784:L789"/>
    <mergeCell ref="D790:D807"/>
    <mergeCell ref="L790:L807"/>
    <mergeCell ref="D808:D817"/>
    <mergeCell ref="L808:L817"/>
    <mergeCell ref="D818:D824"/>
    <mergeCell ref="L818:L824"/>
    <mergeCell ref="D825:D830"/>
    <mergeCell ref="L825:L830"/>
    <mergeCell ref="D831:D837"/>
    <mergeCell ref="L831:L837"/>
    <mergeCell ref="D838:D839"/>
    <mergeCell ref="L838:L839"/>
    <mergeCell ref="D840:D850"/>
    <mergeCell ref="L840:L850"/>
    <mergeCell ref="D851:D852"/>
    <mergeCell ref="L851:L852"/>
    <mergeCell ref="D853:D854"/>
    <mergeCell ref="L853:L854"/>
    <mergeCell ref="D857:D858"/>
    <mergeCell ref="L857:L858"/>
    <mergeCell ref="D859:D861"/>
    <mergeCell ref="L859:L861"/>
    <mergeCell ref="D862:D864"/>
    <mergeCell ref="L862:L864"/>
    <mergeCell ref="D865:D867"/>
    <mergeCell ref="L865:L867"/>
    <mergeCell ref="D868:D875"/>
    <mergeCell ref="L868:L875"/>
    <mergeCell ref="D876:D883"/>
    <mergeCell ref="L876:L883"/>
    <mergeCell ref="D884:D894"/>
    <mergeCell ref="L884:L894"/>
    <mergeCell ref="D896:D897"/>
    <mergeCell ref="L896:L897"/>
    <mergeCell ref="D898:D905"/>
    <mergeCell ref="L898:L905"/>
    <mergeCell ref="D906:D911"/>
    <mergeCell ref="L906:L911"/>
    <mergeCell ref="D912:D919"/>
    <mergeCell ref="L912:L919"/>
    <mergeCell ref="D920:D926"/>
    <mergeCell ref="L920:L926"/>
    <mergeCell ref="D927:D931"/>
    <mergeCell ref="L927:L931"/>
    <mergeCell ref="D932:D940"/>
    <mergeCell ref="L932:L940"/>
    <mergeCell ref="D942:D949"/>
    <mergeCell ref="L942:L949"/>
    <mergeCell ref="D950:D953"/>
    <mergeCell ref="L950:L953"/>
    <mergeCell ref="D954:D958"/>
    <mergeCell ref="L954:L958"/>
    <mergeCell ref="D959:D965"/>
    <mergeCell ref="L959:L965"/>
    <mergeCell ref="D966:D968"/>
    <mergeCell ref="L966:L968"/>
    <mergeCell ref="D970:D974"/>
    <mergeCell ref="L970:L974"/>
    <mergeCell ref="D975:D977"/>
    <mergeCell ref="L975:L977"/>
    <mergeCell ref="D978:D993"/>
    <mergeCell ref="L978:L993"/>
    <mergeCell ref="D994:D1002"/>
    <mergeCell ref="L994:L1002"/>
    <mergeCell ref="D1003:D1008"/>
    <mergeCell ref="L1003:L1008"/>
    <mergeCell ref="D1009:D1015"/>
    <mergeCell ref="L1009:L1015"/>
    <mergeCell ref="D1016:D1022"/>
    <mergeCell ref="L1016:L1022"/>
    <mergeCell ref="D1023:D1028"/>
    <mergeCell ref="L1023:L1028"/>
    <mergeCell ref="D1029:D1032"/>
    <mergeCell ref="L1029:L1032"/>
    <mergeCell ref="D1034:D1036"/>
    <mergeCell ref="L1034:L1036"/>
    <mergeCell ref="D1037:D1038"/>
    <mergeCell ref="L1037:L1038"/>
    <mergeCell ref="D1040:D1045"/>
    <mergeCell ref="L1040:L1045"/>
    <mergeCell ref="D1046:D1056"/>
    <mergeCell ref="L1046:L1056"/>
    <mergeCell ref="D1060:D1063"/>
    <mergeCell ref="L1060:L1063"/>
    <mergeCell ref="D1064:D1069"/>
    <mergeCell ref="L1064:L1069"/>
    <mergeCell ref="D1071:D1078"/>
    <mergeCell ref="L1071:L1078"/>
    <mergeCell ref="D1080:D1087"/>
    <mergeCell ref="L1080:L1087"/>
    <mergeCell ref="D1089:D1098"/>
    <mergeCell ref="L1089:L1098"/>
    <mergeCell ref="D1099:D1100"/>
    <mergeCell ref="L1099:L1100"/>
    <mergeCell ref="D1101:D1110"/>
    <mergeCell ref="L1101:L1110"/>
    <mergeCell ref="D1111:D1112"/>
    <mergeCell ref="L1111:L1112"/>
    <mergeCell ref="D1113:D1119"/>
    <mergeCell ref="L1113:L1119"/>
    <mergeCell ref="D1120:D1123"/>
    <mergeCell ref="L1120:L1123"/>
    <mergeCell ref="D1124:D1126"/>
    <mergeCell ref="L1124:L1126"/>
    <mergeCell ref="D1127:D1139"/>
    <mergeCell ref="L1127:L1139"/>
    <mergeCell ref="D1141:D1142"/>
    <mergeCell ref="L1141:L1142"/>
    <mergeCell ref="D1143:D1146"/>
    <mergeCell ref="L1143:L1146"/>
    <mergeCell ref="D1147:D1153"/>
    <mergeCell ref="L1147:L1153"/>
    <mergeCell ref="D1154:D1159"/>
    <mergeCell ref="L1154:L1159"/>
    <mergeCell ref="D1160:D1162"/>
    <mergeCell ref="L1160:L1162"/>
    <mergeCell ref="D1163:D1170"/>
    <mergeCell ref="L1163:L1170"/>
    <mergeCell ref="D1171:D1172"/>
    <mergeCell ref="L1171:L1172"/>
    <mergeCell ref="D1173:D1181"/>
    <mergeCell ref="L1173:L1181"/>
    <mergeCell ref="D1182:D1183"/>
    <mergeCell ref="L1182:L1183"/>
    <mergeCell ref="D1184:D1189"/>
    <mergeCell ref="L1184:L1189"/>
    <mergeCell ref="D1190:D1200"/>
    <mergeCell ref="L1190:L1200"/>
    <mergeCell ref="D1201:D1212"/>
    <mergeCell ref="L1201:L1212"/>
    <mergeCell ref="D1213:D1222"/>
    <mergeCell ref="L1213:L1222"/>
    <mergeCell ref="D1223:D1227"/>
    <mergeCell ref="L1223:L1227"/>
    <mergeCell ref="D1228:D1230"/>
    <mergeCell ref="L1228:L1230"/>
    <mergeCell ref="D1231:D1232"/>
    <mergeCell ref="L1231:L1232"/>
    <mergeCell ref="D1235:D1237"/>
    <mergeCell ref="L1235:L1237"/>
    <mergeCell ref="D1239:D1240"/>
    <mergeCell ref="L1239:L1240"/>
    <mergeCell ref="D1242:D1246"/>
    <mergeCell ref="L1242:L1246"/>
    <mergeCell ref="D1247:D1259"/>
    <mergeCell ref="L1247:L1259"/>
    <mergeCell ref="D1260:D1261"/>
    <mergeCell ref="L1260:L1261"/>
    <mergeCell ref="D1263:D1272"/>
    <mergeCell ref="L1263:L1272"/>
    <mergeCell ref="D1273:D1279"/>
    <mergeCell ref="L1273:L1279"/>
    <mergeCell ref="D1283:D1294"/>
    <mergeCell ref="L1283:L1294"/>
    <mergeCell ref="D1295:D1301"/>
    <mergeCell ref="L1295:L1301"/>
    <mergeCell ref="D1303:D1309"/>
    <mergeCell ref="L1303:L1309"/>
    <mergeCell ref="D1310:D1313"/>
    <mergeCell ref="L1310:L1313"/>
    <mergeCell ref="D1314:D1316"/>
    <mergeCell ref="L1314:L1316"/>
    <mergeCell ref="D1317:D1320"/>
    <mergeCell ref="L1317:L1320"/>
    <mergeCell ref="D1321:D1327"/>
    <mergeCell ref="L1321:L1327"/>
    <mergeCell ref="D1328:D1331"/>
    <mergeCell ref="L1328:L1331"/>
    <mergeCell ref="D1332:D1342"/>
    <mergeCell ref="L1332:L1342"/>
    <mergeCell ref="D1345:D1349"/>
    <mergeCell ref="L1345:L1349"/>
    <mergeCell ref="D1351:D1355"/>
    <mergeCell ref="L1351:L1355"/>
    <mergeCell ref="D1356:D1358"/>
    <mergeCell ref="L1356:L1358"/>
    <mergeCell ref="D1359:D1363"/>
    <mergeCell ref="L1359:L1363"/>
    <mergeCell ref="D1364:D1371"/>
    <mergeCell ref="L1364:L1371"/>
    <mergeCell ref="D1372:D1374"/>
    <mergeCell ref="L1372:L1374"/>
    <mergeCell ref="D1375:D1385"/>
    <mergeCell ref="L1375:L1385"/>
    <mergeCell ref="D1386:D1388"/>
    <mergeCell ref="L1386:L1388"/>
    <mergeCell ref="D1389:D1391"/>
    <mergeCell ref="L1389:L1391"/>
    <mergeCell ref="D1393:D1395"/>
    <mergeCell ref="L1393:L1395"/>
    <mergeCell ref="D1397:D1406"/>
    <mergeCell ref="L1397:L1406"/>
    <mergeCell ref="D1409:D1419"/>
    <mergeCell ref="L1409:L1419"/>
    <mergeCell ref="D1421:D1428"/>
    <mergeCell ref="L1421:L1428"/>
    <mergeCell ref="D1429:D1433"/>
    <mergeCell ref="L1429:L1433"/>
    <mergeCell ref="D1435:D1451"/>
    <mergeCell ref="L1435:L1451"/>
    <mergeCell ref="D1453:D1456"/>
    <mergeCell ref="L1453:L1456"/>
    <mergeCell ref="D1457:D1459"/>
    <mergeCell ref="L1457:L1459"/>
    <mergeCell ref="D1461:D1463"/>
    <mergeCell ref="L1461:L1463"/>
    <mergeCell ref="D1464:D1475"/>
    <mergeCell ref="L1464:L1475"/>
    <mergeCell ref="D1478:D1481"/>
    <mergeCell ref="L1478:L1481"/>
    <mergeCell ref="D1482:D1487"/>
    <mergeCell ref="L1482:L1487"/>
    <mergeCell ref="D1488:D1490"/>
    <mergeCell ref="L1488:L1490"/>
    <mergeCell ref="D1491:D1494"/>
    <mergeCell ref="L1491:L1494"/>
    <mergeCell ref="D1495:D1496"/>
    <mergeCell ref="L1495:L1496"/>
    <mergeCell ref="D1498:D1503"/>
    <mergeCell ref="L1498:L1503"/>
    <mergeCell ref="D1504:D1519"/>
    <mergeCell ref="L1504:L1519"/>
    <mergeCell ref="D1520:D1527"/>
    <mergeCell ref="L1520:L1527"/>
    <mergeCell ref="D1528:D1532"/>
    <mergeCell ref="L1528:L1532"/>
    <mergeCell ref="D1534:D1535"/>
    <mergeCell ref="L1534:L1535"/>
    <mergeCell ref="D1536:D1543"/>
    <mergeCell ref="L1536:L1543"/>
    <mergeCell ref="D1544:D1554"/>
    <mergeCell ref="L1544:L1554"/>
    <mergeCell ref="D1555:D1557"/>
    <mergeCell ref="L1555:L1557"/>
    <mergeCell ref="D1558:D1560"/>
    <mergeCell ref="L1558:L1560"/>
    <mergeCell ref="D1561:D1568"/>
    <mergeCell ref="L1561:L1568"/>
    <mergeCell ref="D1569:D1571"/>
    <mergeCell ref="L1569:L1571"/>
    <mergeCell ref="D1572:D1580"/>
    <mergeCell ref="L1572:L1580"/>
    <mergeCell ref="D1583:D1589"/>
    <mergeCell ref="L1583:L1589"/>
    <mergeCell ref="D1590:D1592"/>
    <mergeCell ref="L1590:L1592"/>
    <mergeCell ref="D1593:D1594"/>
    <mergeCell ref="L1593:L1594"/>
    <mergeCell ref="D1595:D1600"/>
    <mergeCell ref="L1595:L1600"/>
    <mergeCell ref="D1602:D1606"/>
    <mergeCell ref="L1602:L1606"/>
    <mergeCell ref="D1607:D1608"/>
    <mergeCell ref="L1607:L1608"/>
    <mergeCell ref="D1609:D1614"/>
    <mergeCell ref="L1609:L1614"/>
    <mergeCell ref="D1616:D1618"/>
    <mergeCell ref="L1616:L1618"/>
    <mergeCell ref="D1622:D1627"/>
    <mergeCell ref="L1622:L1627"/>
    <mergeCell ref="D1628:D1633"/>
    <mergeCell ref="L1628:L1633"/>
    <mergeCell ref="D1634:D1636"/>
    <mergeCell ref="L1634:L1636"/>
    <mergeCell ref="D1638:D1642"/>
    <mergeCell ref="L1638:L1642"/>
    <mergeCell ref="D1643:D1648"/>
    <mergeCell ref="L1643:L1648"/>
    <mergeCell ref="D1649:D1653"/>
    <mergeCell ref="L1649:L1653"/>
    <mergeCell ref="D1654:D1663"/>
    <mergeCell ref="L1654:L1663"/>
    <mergeCell ref="D1667:D1668"/>
    <mergeCell ref="L1667:L1668"/>
    <mergeCell ref="D1670:D1671"/>
    <mergeCell ref="L1670:L1671"/>
    <mergeCell ref="D1672:D1673"/>
    <mergeCell ref="L1672:L1673"/>
    <mergeCell ref="D1674:D1684"/>
    <mergeCell ref="L1674:L1684"/>
    <mergeCell ref="D1685:D1696"/>
    <mergeCell ref="L1685:L1696"/>
    <mergeCell ref="D1697:D1703"/>
    <mergeCell ref="L1697:L1703"/>
    <mergeCell ref="D1704:D1705"/>
    <mergeCell ref="L1704:L1705"/>
    <mergeCell ref="D1711:D1713"/>
    <mergeCell ref="L1711:L1713"/>
    <mergeCell ref="D1714:D1715"/>
    <mergeCell ref="L1714:L1715"/>
    <mergeCell ref="D1716:D1717"/>
    <mergeCell ref="L1716:L1717"/>
    <mergeCell ref="D1719:D1724"/>
    <mergeCell ref="L1719:L1724"/>
    <mergeCell ref="D1725:D1726"/>
    <mergeCell ref="L1725:L1726"/>
    <mergeCell ref="D1727:D1728"/>
    <mergeCell ref="L1727:L1728"/>
    <mergeCell ref="D1729:D1731"/>
    <mergeCell ref="L1729:L1731"/>
    <mergeCell ref="D1732:D1734"/>
    <mergeCell ref="L1732:L1734"/>
    <mergeCell ref="D1735:D1737"/>
    <mergeCell ref="L1735:L1737"/>
    <mergeCell ref="D1738:D1739"/>
    <mergeCell ref="L1738:L1739"/>
    <mergeCell ref="D1741:D1744"/>
    <mergeCell ref="L1741:L1744"/>
    <mergeCell ref="D1752:D1754"/>
    <mergeCell ref="L1752:L1754"/>
    <mergeCell ref="D1756:D1758"/>
    <mergeCell ref="L1756:L1758"/>
    <mergeCell ref="D1759:D1761"/>
    <mergeCell ref="L1759:L1761"/>
    <mergeCell ref="D1763:D1765"/>
    <mergeCell ref="L1763:L1765"/>
    <mergeCell ref="D1766:D1769"/>
    <mergeCell ref="L1766:L1769"/>
    <mergeCell ref="D1770:D1773"/>
    <mergeCell ref="L1770:L1773"/>
    <mergeCell ref="D1774:D1776"/>
    <mergeCell ref="L1774:L1776"/>
    <mergeCell ref="D1778:D1781"/>
    <mergeCell ref="L1778:L1781"/>
    <mergeCell ref="D1782:D1785"/>
    <mergeCell ref="L1782:L1785"/>
    <mergeCell ref="D1786:D1789"/>
    <mergeCell ref="L1786:L1789"/>
    <mergeCell ref="D1791:D1793"/>
    <mergeCell ref="L1791:L1793"/>
    <mergeCell ref="D1794:D1795"/>
    <mergeCell ref="L1794:L1795"/>
    <mergeCell ref="D1800:D1801"/>
    <mergeCell ref="L1800:L1801"/>
    <mergeCell ref="D1802:D1803"/>
    <mergeCell ref="L1802:L1803"/>
    <mergeCell ref="D1804:D1806"/>
    <mergeCell ref="L1804:L1806"/>
    <mergeCell ref="D1809:D1811"/>
    <mergeCell ref="L1809:L1811"/>
    <mergeCell ref="D1815:D1819"/>
    <mergeCell ref="L1815:L1819"/>
    <mergeCell ref="D1820:D1824"/>
    <mergeCell ref="L1820:L1824"/>
    <mergeCell ref="D1825:D1829"/>
    <mergeCell ref="L1825:L1829"/>
    <mergeCell ref="D1831:D1834"/>
    <mergeCell ref="L1831:L1834"/>
    <mergeCell ref="D1842:D1843"/>
    <mergeCell ref="L1842:L1843"/>
    <mergeCell ref="D1845:D1846"/>
    <mergeCell ref="L1845:L1846"/>
    <mergeCell ref="D1847:D1848"/>
    <mergeCell ref="L1847:L1848"/>
    <mergeCell ref="D1861:D1864"/>
    <mergeCell ref="L1861:L1864"/>
    <mergeCell ref="D1868:D1870"/>
    <mergeCell ref="L1868:L1870"/>
    <mergeCell ref="D1871:D1873"/>
    <mergeCell ref="L1871:L1873"/>
    <mergeCell ref="D1874:D1875"/>
    <mergeCell ref="L1874:L1875"/>
    <mergeCell ref="D1876:D1878"/>
    <mergeCell ref="L1876:L1878"/>
    <mergeCell ref="D1880:D1881"/>
    <mergeCell ref="L1880:L1881"/>
    <mergeCell ref="D1882:D1886"/>
    <mergeCell ref="L1882:L1886"/>
    <mergeCell ref="D1888:D1889"/>
    <mergeCell ref="L1888:L1889"/>
    <mergeCell ref="D1898:D1901"/>
    <mergeCell ref="L1898:L1901"/>
    <mergeCell ref="D1902:D1906"/>
    <mergeCell ref="L1902:L1906"/>
    <mergeCell ref="D1907:D1910"/>
    <mergeCell ref="L1907:L1910"/>
    <mergeCell ref="D1915:D1917"/>
    <mergeCell ref="L1915:L1917"/>
    <mergeCell ref="D1918:D1923"/>
    <mergeCell ref="L1918:L1923"/>
    <mergeCell ref="D1924:D1925"/>
    <mergeCell ref="L1924:L1925"/>
    <mergeCell ref="D1926:D1927"/>
    <mergeCell ref="L1926:L1927"/>
    <mergeCell ref="D1930:D1931"/>
    <mergeCell ref="L1930:L1931"/>
    <mergeCell ref="D1936:D1937"/>
    <mergeCell ref="L1936:L1937"/>
    <mergeCell ref="D1938:D1939"/>
    <mergeCell ref="L1938:L1939"/>
    <mergeCell ref="D1940:D1941"/>
    <mergeCell ref="L1940:L1941"/>
    <mergeCell ref="D1942:D1944"/>
    <mergeCell ref="L1942:L1944"/>
    <mergeCell ref="D1948:D1949"/>
    <mergeCell ref="L1948:L1949"/>
    <mergeCell ref="D1952:D1953"/>
    <mergeCell ref="L1952:L1953"/>
    <mergeCell ref="D1954:D1955"/>
    <mergeCell ref="L1954:L1955"/>
    <mergeCell ref="D1959:D1961"/>
    <mergeCell ref="L1959:L1961"/>
    <mergeCell ref="D1962:D1964"/>
    <mergeCell ref="L1962:L1964"/>
    <mergeCell ref="D1978:D1979"/>
    <mergeCell ref="L1978:L1979"/>
    <mergeCell ref="D1980:D1981"/>
    <mergeCell ref="L1980:L1981"/>
    <mergeCell ref="D1982:D1984"/>
    <mergeCell ref="L1982:L1984"/>
    <mergeCell ref="D1985:D1986"/>
    <mergeCell ref="L1985:L1986"/>
    <mergeCell ref="D1987:D1988"/>
    <mergeCell ref="L1987:L1988"/>
    <mergeCell ref="D1989:D1991"/>
    <mergeCell ref="L1989:L1991"/>
    <mergeCell ref="D1992:D1996"/>
    <mergeCell ref="L1992:L1996"/>
    <mergeCell ref="D1997:D2000"/>
    <mergeCell ref="L1997:L2000"/>
    <mergeCell ref="D2003:D2004"/>
    <mergeCell ref="L2003:L2004"/>
    <mergeCell ref="D2005:D2007"/>
    <mergeCell ref="L2005:L2007"/>
    <mergeCell ref="D2008:D2009"/>
    <mergeCell ref="L2008:L2009"/>
    <mergeCell ref="D2010:D2013"/>
    <mergeCell ref="L2010:L2013"/>
    <mergeCell ref="D2014:D2017"/>
    <mergeCell ref="L2014:L2017"/>
    <mergeCell ref="D2018:D2022"/>
    <mergeCell ref="L2018:L2022"/>
    <mergeCell ref="D2023:D2027"/>
    <mergeCell ref="L2023:L2027"/>
    <mergeCell ref="D2029:D2032"/>
    <mergeCell ref="L2029:L2032"/>
    <mergeCell ref="D2033:D2035"/>
    <mergeCell ref="L2033:L2035"/>
    <mergeCell ref="D2036:D2038"/>
    <mergeCell ref="L2036:L2038"/>
    <mergeCell ref="D2039:D2042"/>
    <mergeCell ref="L2039:L2042"/>
    <mergeCell ref="D2047:D2050"/>
    <mergeCell ref="L2047:L2050"/>
    <mergeCell ref="D2051:D2054"/>
    <mergeCell ref="L2051:L2054"/>
    <mergeCell ref="D2055:D2056"/>
    <mergeCell ref="L2055:L2056"/>
    <mergeCell ref="D2058:D2061"/>
    <mergeCell ref="L2058:L2061"/>
    <mergeCell ref="D2063:D2064"/>
    <mergeCell ref="L2063:L2064"/>
    <mergeCell ref="D2065:D2068"/>
    <mergeCell ref="L2065:L2068"/>
    <mergeCell ref="D2072:D2073"/>
    <mergeCell ref="L2072:L2073"/>
    <mergeCell ref="D2074:D2076"/>
    <mergeCell ref="L2074:L2076"/>
    <mergeCell ref="D2077:D2078"/>
    <mergeCell ref="L2077:L2078"/>
    <mergeCell ref="D2079:D2081"/>
    <mergeCell ref="L2079:L2081"/>
    <mergeCell ref="D2082:D2083"/>
    <mergeCell ref="L2082:L2083"/>
    <mergeCell ref="D2084:D2086"/>
    <mergeCell ref="L2084:L2086"/>
    <mergeCell ref="D2087:D2091"/>
    <mergeCell ref="L2087:L2091"/>
    <mergeCell ref="D2092:D2095"/>
    <mergeCell ref="L2092:L2095"/>
    <mergeCell ref="D2096:D2097"/>
    <mergeCell ref="L2096:L2097"/>
    <mergeCell ref="D2098:D2101"/>
    <mergeCell ref="L2098:L2101"/>
    <mergeCell ref="D2102:D2103"/>
    <mergeCell ref="L2102:L2103"/>
    <mergeCell ref="D2104:D2106"/>
    <mergeCell ref="L2104:L2106"/>
    <mergeCell ref="D2107:D2108"/>
    <mergeCell ref="L2107:L2108"/>
    <mergeCell ref="D2109:D2110"/>
    <mergeCell ref="L2109:L2110"/>
    <mergeCell ref="D2111:D2112"/>
    <mergeCell ref="L2111:L2112"/>
    <mergeCell ref="D2113:D2115"/>
    <mergeCell ref="L2113:L2115"/>
    <mergeCell ref="D2116:D2117"/>
    <mergeCell ref="L2116:L2117"/>
    <mergeCell ref="D2119:D2121"/>
    <mergeCell ref="L2119:L2121"/>
    <mergeCell ref="D2123:D2124"/>
    <mergeCell ref="L2123:L2124"/>
    <mergeCell ref="D2127:D2129"/>
    <mergeCell ref="L2127:L2129"/>
    <mergeCell ref="D2131:D2133"/>
    <mergeCell ref="L2131:L2133"/>
    <mergeCell ref="D2135:D2136"/>
    <mergeCell ref="L2135:L2136"/>
    <mergeCell ref="D2140:D2143"/>
    <mergeCell ref="L2140:L2143"/>
    <mergeCell ref="D2148:D2150"/>
    <mergeCell ref="L2148:L2150"/>
    <mergeCell ref="D2151:D2152"/>
    <mergeCell ref="L2151:L2152"/>
    <mergeCell ref="D2154:D2155"/>
    <mergeCell ref="L2154:L2155"/>
    <mergeCell ref="D2156:D2159"/>
    <mergeCell ref="L2156:L2159"/>
    <mergeCell ref="D2160:D2163"/>
    <mergeCell ref="L2160:L2163"/>
    <mergeCell ref="D2186:D2187"/>
    <mergeCell ref="L2186:L2187"/>
    <mergeCell ref="D2194:D2195"/>
    <mergeCell ref="L2194:L2195"/>
    <mergeCell ref="D2196:D2199"/>
    <mergeCell ref="L2196:L2199"/>
    <mergeCell ref="D2201:D2204"/>
    <mergeCell ref="L2201:L2204"/>
    <mergeCell ref="D2206:D2207"/>
    <mergeCell ref="L2206:L2207"/>
    <mergeCell ref="D2209:D2212"/>
    <mergeCell ref="L2209:L2212"/>
    <mergeCell ref="D2213:D2215"/>
    <mergeCell ref="L2213:L2215"/>
    <mergeCell ref="D2218:D2219"/>
    <mergeCell ref="L2218:L2219"/>
    <mergeCell ref="D2220:D2221"/>
    <mergeCell ref="L2220:L2221"/>
    <mergeCell ref="D2223:D2225"/>
    <mergeCell ref="L2223:L2225"/>
    <mergeCell ref="D2228:D2229"/>
    <mergeCell ref="L2228:L2229"/>
    <mergeCell ref="D2230:D2233"/>
    <mergeCell ref="L2230:L2233"/>
    <mergeCell ref="D2234:D2235"/>
    <mergeCell ref="L2234:L2235"/>
    <mergeCell ref="D2236:D2237"/>
    <mergeCell ref="L2236:L2237"/>
    <mergeCell ref="D2239:D2240"/>
    <mergeCell ref="L2239:L2240"/>
    <mergeCell ref="D2241:D2242"/>
    <mergeCell ref="L2241:L2242"/>
    <mergeCell ref="D2243:D2244"/>
    <mergeCell ref="L2243:L2244"/>
    <mergeCell ref="D2245:D2247"/>
    <mergeCell ref="L2245:L2247"/>
    <mergeCell ref="D2248:D2251"/>
    <mergeCell ref="L2248:L2251"/>
    <mergeCell ref="D2252:D2255"/>
    <mergeCell ref="L2252:L2255"/>
    <mergeCell ref="D2256:D2258"/>
    <mergeCell ref="L2256:L2258"/>
    <mergeCell ref="D2260:D2261"/>
    <mergeCell ref="L2260:L2261"/>
    <mergeCell ref="D2263:D2264"/>
    <mergeCell ref="L2263:L2264"/>
    <mergeCell ref="D2265:D2268"/>
    <mergeCell ref="L2265:L2268"/>
    <mergeCell ref="D2269:D2271"/>
    <mergeCell ref="L2269:L2271"/>
    <mergeCell ref="D2272:D2275"/>
    <mergeCell ref="L2272:L2275"/>
    <mergeCell ref="D2276:D2277"/>
    <mergeCell ref="L2276:L2277"/>
    <mergeCell ref="D2278:D2279"/>
    <mergeCell ref="L2278:L2279"/>
    <mergeCell ref="D2280:D2281"/>
    <mergeCell ref="L2280:L2281"/>
    <mergeCell ref="D2283:D2285"/>
    <mergeCell ref="L2283:L2285"/>
    <mergeCell ref="D2286:D2289"/>
    <mergeCell ref="L2286:L2289"/>
    <mergeCell ref="D2290:D2293"/>
    <mergeCell ref="L2290:L2293"/>
    <mergeCell ref="D2294:D2297"/>
    <mergeCell ref="L2294:L2297"/>
    <mergeCell ref="D2298:D2301"/>
    <mergeCell ref="L2298:L2301"/>
    <mergeCell ref="D2302:D2305"/>
    <mergeCell ref="L2302:L2305"/>
    <mergeCell ref="D2306:D2310"/>
    <mergeCell ref="L2306:L2310"/>
    <mergeCell ref="D2311:D2315"/>
    <mergeCell ref="L2311:L2315"/>
    <mergeCell ref="D2317:D2320"/>
    <mergeCell ref="L2317:L2320"/>
    <mergeCell ref="D2322:D2326"/>
    <mergeCell ref="L2322:L2326"/>
    <mergeCell ref="D2327:D2328"/>
    <mergeCell ref="L2327:L2328"/>
    <mergeCell ref="D2329:D2331"/>
    <mergeCell ref="L2329:L2331"/>
    <mergeCell ref="D2336:D2337"/>
    <mergeCell ref="L2336:L2337"/>
    <mergeCell ref="D2339:D2341"/>
    <mergeCell ref="L2339:L2341"/>
    <mergeCell ref="D2343:D2345"/>
    <mergeCell ref="L2343:L2345"/>
    <mergeCell ref="D2346:D2348"/>
    <mergeCell ref="L2346:L2348"/>
    <mergeCell ref="D2349:D2352"/>
    <mergeCell ref="L2349:L2352"/>
    <mergeCell ref="D2353:D2356"/>
    <mergeCell ref="L2353:L2356"/>
    <mergeCell ref="D2357:D2358"/>
    <mergeCell ref="L2357:L2358"/>
    <mergeCell ref="D2359:D2362"/>
    <mergeCell ref="L2359:L2362"/>
    <mergeCell ref="D2363:D2364"/>
    <mergeCell ref="L2363:L2364"/>
    <mergeCell ref="D2365:D2367"/>
    <mergeCell ref="L2365:L2367"/>
    <mergeCell ref="D2368:D2371"/>
    <mergeCell ref="L2368:L2371"/>
    <mergeCell ref="D2372:D2373"/>
    <mergeCell ref="L2372:L2373"/>
    <mergeCell ref="D2374:D2376"/>
    <mergeCell ref="L2374:L2376"/>
    <mergeCell ref="D2377:D2378"/>
    <mergeCell ref="L2377:L2378"/>
    <mergeCell ref="D2379:D2380"/>
    <mergeCell ref="L2379:L2380"/>
    <mergeCell ref="D2384:D2385"/>
    <mergeCell ref="L2384:L2385"/>
    <mergeCell ref="D2386:D2387"/>
    <mergeCell ref="L2386:L2387"/>
    <mergeCell ref="D2388:D2389"/>
    <mergeCell ref="L2388:L2389"/>
    <mergeCell ref="D2392:D2394"/>
    <mergeCell ref="L2392:L2394"/>
    <mergeCell ref="D2395:D2396"/>
    <mergeCell ref="L2395:L2396"/>
    <mergeCell ref="D2397:D2398"/>
    <mergeCell ref="L2397:L2398"/>
    <mergeCell ref="D2399:D2400"/>
    <mergeCell ref="L2399:L2400"/>
    <mergeCell ref="D2401:D2403"/>
    <mergeCell ref="L2401:L2403"/>
    <mergeCell ref="D2404:D2408"/>
    <mergeCell ref="L2404:L2408"/>
    <mergeCell ref="D2409:D2412"/>
    <mergeCell ref="L2409:L2412"/>
    <mergeCell ref="D2413:D2415"/>
    <mergeCell ref="L2413:L2415"/>
    <mergeCell ref="D2416:D2417"/>
    <mergeCell ref="L2416:L2417"/>
    <mergeCell ref="D2419:D2420"/>
    <mergeCell ref="L2419:L2420"/>
    <mergeCell ref="D2421:D2422"/>
    <mergeCell ref="L2421:L2422"/>
    <mergeCell ref="D2423:D2424"/>
    <mergeCell ref="L2423:L2424"/>
    <mergeCell ref="D2426:D2429"/>
    <mergeCell ref="L2426:L2429"/>
    <mergeCell ref="D2431:D2432"/>
    <mergeCell ref="L2431:L2432"/>
    <mergeCell ref="D2434:D2437"/>
    <mergeCell ref="L2434:L2437"/>
    <mergeCell ref="D2438:D2441"/>
    <mergeCell ref="L2438:L2441"/>
    <mergeCell ref="D2446:D2447"/>
    <mergeCell ref="L2446:L2447"/>
    <mergeCell ref="D2449:D2450"/>
    <mergeCell ref="L2449:L2450"/>
    <mergeCell ref="D2452:D2455"/>
    <mergeCell ref="L2452:L2455"/>
    <mergeCell ref="D2457:D2459"/>
    <mergeCell ref="L2457:L2459"/>
    <mergeCell ref="D2463:D2464"/>
    <mergeCell ref="L2463:L2464"/>
    <mergeCell ref="D2465:D2467"/>
    <mergeCell ref="L2465:L2467"/>
    <mergeCell ref="D2469:D2470"/>
    <mergeCell ref="L2469:L2470"/>
    <mergeCell ref="D2474:D2475"/>
    <mergeCell ref="L2474:L2475"/>
    <mergeCell ref="D2476:D2479"/>
    <mergeCell ref="L2476:L2479"/>
    <mergeCell ref="D2480:D2482"/>
    <mergeCell ref="L2480:L2482"/>
    <mergeCell ref="D2483:D2485"/>
    <mergeCell ref="L2483:L2485"/>
    <mergeCell ref="D2486:D2489"/>
    <mergeCell ref="L2486:L2489"/>
    <mergeCell ref="D2491:D2493"/>
    <mergeCell ref="L2491:L2493"/>
    <mergeCell ref="D2494:D2495"/>
    <mergeCell ref="L2494:L2495"/>
    <mergeCell ref="D2496:D2499"/>
    <mergeCell ref="L2496:L2499"/>
    <mergeCell ref="D2500:D2503"/>
    <mergeCell ref="L2500:L2503"/>
    <mergeCell ref="D2504:D2507"/>
    <mergeCell ref="L2504:L2507"/>
    <mergeCell ref="D2508:D2509"/>
    <mergeCell ref="L2508:L2509"/>
    <mergeCell ref="D2510:D2511"/>
    <mergeCell ref="L2510:L2511"/>
    <mergeCell ref="D2512:D2513"/>
    <mergeCell ref="L2512:L2513"/>
    <mergeCell ref="D2514:D2515"/>
    <mergeCell ref="L2514:L2515"/>
    <mergeCell ref="D2517:D2520"/>
    <mergeCell ref="L2517:L2520"/>
    <mergeCell ref="D2522:D2523"/>
    <mergeCell ref="L2522:L2523"/>
    <mergeCell ref="D2524:D2525"/>
    <mergeCell ref="L2524:L2525"/>
    <mergeCell ref="D2530:D2531"/>
    <mergeCell ref="L2530:L2531"/>
    <mergeCell ref="D2535:D2536"/>
    <mergeCell ref="L2535:L2536"/>
    <mergeCell ref="D2540:D2541"/>
    <mergeCell ref="L2540:L2541"/>
    <mergeCell ref="D2581:D2584"/>
    <mergeCell ref="L2581:L2584"/>
    <mergeCell ref="D2585:D2588"/>
    <mergeCell ref="L2585:L2588"/>
    <mergeCell ref="D2591:D2598"/>
    <mergeCell ref="L2591:L2598"/>
    <mergeCell ref="D2599:D2606"/>
    <mergeCell ref="L2599:L2606"/>
    <mergeCell ref="D2613:D2616"/>
    <mergeCell ref="L2613:L2616"/>
    <mergeCell ref="D2617:D2618"/>
    <mergeCell ref="L2617:L2618"/>
    <mergeCell ref="D2619:D2628"/>
    <mergeCell ref="L2619:L2628"/>
    <mergeCell ref="D2542:D2543"/>
    <mergeCell ref="L2542:L2543"/>
    <mergeCell ref="D2544:D2545"/>
    <mergeCell ref="L2544:L2545"/>
    <mergeCell ref="D2547:D2549"/>
    <mergeCell ref="L2547:L2549"/>
    <mergeCell ref="D2551:D2558"/>
    <mergeCell ref="L2551:L2558"/>
    <mergeCell ref="D2559:D2560"/>
    <mergeCell ref="L2559:L2560"/>
    <mergeCell ref="D2562:D2563"/>
    <mergeCell ref="L2562:L2563"/>
    <mergeCell ref="D2566:D2571"/>
    <mergeCell ref="L2566:L2571"/>
    <mergeCell ref="D2572:D2575"/>
    <mergeCell ref="L2572:L2575"/>
    <mergeCell ref="D2576:D2580"/>
    <mergeCell ref="L2576:L2580"/>
  </mergeCells>
  <dataValidations count="69">
    <dataValidation type="whole" operator="lessThanOrEqual" allowBlank="1" showErrorMessage="1" errorTitle="Неверно" error="Заказ не может быть больше Наличия" sqref="X4 X2599 X2576 X2570 X2555 X2552 X2535 X2529 X2505 X2422 X2405 X2399 X2369 X2364 X2343 X2294 X2270 X2189 X2162:X2163 X2160 X2153 X2140 X2136 X2102 X2078 X2066:X2067 X1985 X1954 X1938 X1916 X1890 X1888 X1837 X1815 X1802 X1785 X1734 X1698 X1655 X1650 X1648 X1644 X1527 X1516 X1499 X1478 X1442 X1438 X1420 X1403:X1404 X1337 X1297 X1248 X1198 X1169 X1096 X1092 X1066 X1027:X1028 X1001 X975 X940 X933 X919:X920 X917 X909 X862 X854 X848 X846 X814 X797 X780 X766 X752 X749 X731 X724 X716 X714 X708 X706 X676 X673 X671 X669 X666 X664 X660 X658 X656 X653 X429 X413 X397 X303 X296 X259 X257 X247 X226 X218 X110 X74 X62 X19:X20" xr:uid="{00000000-0002-0000-0000-000000000000}">
      <formula1>5</formula1>
    </dataValidation>
    <dataValidation type="whole" operator="lessThanOrEqual" allowBlank="1" showErrorMessage="1" errorTitle="Неверно" error="Заказ не может быть больше Наличия" sqref="X2627 X2619:X2620 X2612 X2579 X2577 X2574:X2575 X2567 X2556:X2557 X2551 X2549 X2544 X2536 X2527 X2524 X2499 X2494:X2496 X2491:X2492 X2480:X2482 X2466:X2468 X2453:X2454 X2437 X2430 X2424 X2421 X2419 X2416:X2417 X2407 X2400 X2394 X2373:X2376 X2368 X2358 X2349 X2346 X2341:X2342 X2335 X2284 X2282 X2271 X2268 X2263:X2264 X2256:X2257 X2245 X2214:X2216 X2212 X2209 X2207 X2199 X2183 X2179 X2176 X2131 X2127 X2125 X2103:X2104 X2101 X2098 X2095 X2093 X2091 X2088 X2086 X2080 X2076 X2074 X2072 X2062 X1986 X1981 X1977 X1972 X1964:X1965 X1959 X1948 X1944 X1939 X1937 X1932:X1933 X1929 X1879 X1868:X1869 X1864 X1857 X1853 X1831 X1811 X1807 X1803 X1797 X1774 X1754 X1749 X1738 X1729 X1726 X1703 X1697 X1684 X1681 X1677 X1672:X1674 X1665 X1640 X1635 X1624 X1616 X1611 X1609 X1603:X1604 X1595:X1598 X1589 X1586 X1583 X1572 X1559 X1530 X1517 X1506 X1504 X1492 X1487 X1446 X1444 X1422 X1417 X1394 X1387 X1374 X1358 X1349 X1347 X1345 X1343 X1334 X1329:X1330 X1327 X1325 X1323 X1317:X1318 X1295 X1290:X1291 X1288 X1277 X1266 X1261 X1242 X1228 X1219:X1220 X1216:X1217 X1213 X1209 X1206 X1203 X1194:X1195 X1192 X1190 X1171 X1161 X1156 X1141 X1121 X1078 X1074 X1069 X1062:X1063 X1055 X1044:X1047 X1040 X1034:X1035 X1022:X1023 X1020 X1016 X1013 X1010 X1008 X996 X993 X973 X970 X965 X963 X951 X948 X943 X910:X911 X897 X893 X882 X879:X880 X874 X868 X861 X853 X829 X806:X807 X790 X779 X767:X770 X736 X732 X730 X727 X725 X699:X701 X694:X697 X691:X692 X679 X613 X611 X606 X601 X598 X590 X576 X568 X561 X544:X545 X538:X539 X534 X531:X532 X527 X518 X508 X494 X490 X479 X473 X462 X460 X446 X409:X410 X404 X398 X394:X395 X387 X372:X373 X368:X369 X362:X364 X350:X351 X347 X337 X332:X333 X327 X324 X319 X316 X307 X300 X282 X253 X235 X225 X212 X195 X190 X187 X173 X169 X136:X139 X132 X111 X106:X108 X104 X102 X96 X92 X85 X69 X54 X42 X39 X12 X5:X7" xr:uid="{00000000-0002-0000-0000-000001000000}">
      <formula1>2</formula1>
    </dataValidation>
    <dataValidation type="whole" operator="lessThanOrEqual" allowBlank="1" showErrorMessage="1" errorTitle="Неверно" error="Заказ не может быть больше Наличия" sqref="X2629 X2626 X2613:X2618 X2609:X2611 X2607 X2589:X2590 X2587 X2580 X2571:X2573 X2558:X2565 X2550 X2545:X2546 X2537:X2543 X2532:X2534 X2530 X2525:X2526 X2521 X2516 X2510:X2513 X2493 X2490 X2485:X2486 X2483 X2469:X2472 X2459:X2465 X2455 X2452 X2448:X2450 X2442:X2445 X2436 X2431:X2434 X2425 X2423 X2420 X2418 X2414:X2415 X2412 X2408 X2404 X2396 X2389:X2391 X2387 X2381:X2385 X2377:X2379 X2371 X2367 X2365 X2336:X2338 X2331:X2334 X2321 X2316 X2285 X2283 X2276:X2281 X2258:X2261 X2241:X2244 X2235:X2238 X2228 X2226 X2217:X2221 X2213 X2208 X2205:X2206 X2200 X2190:X2195 X2185:X2188 X2181:X2182 X2177:X2178 X2175 X2164:X2173 X2144:X2146 X2138:X2139 X2134 X2128:X2130 X2126 X2123:X2124 X2115:X2116 X2112 X2110 X2096:X2097 X2089 X2085 X2082:X2083 X2068:X2071 X2063:X2064 X2056:X2057 X2046 X2011 X2001:X2008 X1978:X1979 X1973:X1976 X1971 X1966:X1969 X1961 X1955 X1949:X1953 X1945:X1947 X1940:X1942 X1934 X1928 X1922:X1923 X1917:X1918 X1911:X1914 X1906 X1893:X1897 X1889 X1870:X1878 X1867 X1865 X1858:X1863 X1855:X1856 X1850 X1846:X1847 X1842 X1838:X1839 X1833:X1836 X1830 X1820 X1812:X1814 X1808 X1799:X1801 X1794:X1795 X1776:X1777 X1762 X1755 X1752:X1753 X1750 X1746:X1748 X1739 X1731 X1727 X1725 X1715 X1713 X1709:X1710 X1704:X1707 X1701:X1702 X1699 X1682:X1683 X1678:X1680 X1675:X1676 X1666:X1671 X1664 X1641:X1642 X1636:X1639 X1633:X1634 X1625:X1631 X1623 X1619:X1621 X1615 X1605:X1608 X1601:X1602 X1599 X1590:X1594 X1587 X1584 X1581:X1582 X1579 X1573 X1571 X1558 X1533:X1535 X1529 X1518:X1519 X1509 X1505 X1500:X1503 X1493:X1498 X1488:X1490 X1480:X1481 X1476:X1477 X1463 X1460:X1461 X1452:X1458 X1447 X1431:X1433 X1427:X1428 X1423 X1406:X1407 X1400 X1395:X1396 X1390:X1393 X1388 X1386 X1372:X1373 X1350 X1348 X1346 X1344 X1335 X1331 X1324 X1319:X1321 X1314:X1316 X1308 X1301:X1302 X1298 X1296 X1294 X1292 X1289 X1285:X1287 X1280:X1282 X1271 X1262 X1260 X1245 X1238:X1241 X1229:X1235 X1225:X1226 X1221:X1222 X1218 X1214:X1215 X1212 X1210 X1208 X1204 X1200:X1202 X1197 X1182:X1189 X1172 X1160 X1146 X1144 X1142 X1140 X1137:X1138 X1135 X1122:X1133 X1118:X1120 X1111:X1112 X1099:X1100 X1088 X1085:X1086 X1079:X1080 X1077 X1075 X1073 X1070:X1071 X1067:X1068 X1064:X1065 X1056:X1061 X1053 X1048:X1050 X1042:X1043 X1039 X1036 X1032:X1033 X1015 X1007 X1002 X976:X977 X974 X972 X969 X964 X958:X962 X954 X952 X949:X950 X944:X947 X941 X937 X932 X930 X895:X896 X883 X881 X875:X877 X869:X873 X865:X867 X857:X858 X855 X850 X838 X830 X804 X792 X787:X789 X781:X784 X776:X777 X773:X774 X754 X751 X747:X748 X745 X743 X740 X737:X738 X734:X735 X726 X723 X720 X715 X709:X713 X707 X704 X698 X693 X680:X690 X677:X678 X612 X607:X610 X602:X605 X599:X600 X591:X597 X589 X582:X586 X577:X580 X569:X575 X566:X567 X562:X564 X559:X560 X553:X557 X546:X551 X540:X543 X535:X536 X533 X528:X530 X523:X526 X519:X520 X514:X517 X509:X512 X495:X507 X491:X493 X480:X489 X474:X478 X463:X471 X461 X457:X459 X447:X455 X443:X445 X440:X441 X430:X438 X428 X426 X423 X407:X408 X405 X399:X402 X396 X390:X392 X378:X386 X376 X365:X367 X359:X360 X356:X357 X354 X348:X349 X341:X343 X339 X336 X334 X331 X329 X325 X320:X321 X317 X308:X315 X304:X306 X301:X302 X298:X299 X292 X288:X290 X283 X272:X281 X264:X267 X262 X255 X252 X249:X250 X241:X242 X237 X232:X233 X230 X213 X211 X205:X207 X199 X191 X188:X189 X185:X186 X183 X170 X148 X140:X141 X135 X133 X127:X131 X109 X82:X84 X80 X72 X70 X66:X68 X61 X59 X55:X56 X51:X53 X43:X49 X40 X37:X38 X35 X33 X21:X31 X13 X11 X8:X9" xr:uid="{00000000-0002-0000-0000-000004000000}">
      <formula1>1</formula1>
    </dataValidation>
    <dataValidation type="whole" operator="lessThanOrEqual" allowBlank="1" showErrorMessage="1" errorTitle="Неверно" error="Заказ не может быть больше Наличия" sqref="X10 X2628 X2608 X2588 X2584:X2585 X2578 X2553 X2531 X2474 X2435 X2413 X2398 X2395 X2392 X2380 X2347 X2339:X2340 X2269 X2246 X2239 X2233:X2234 X2224 X2211 X2196 X2174 X2159 X2135 X2109 X2100 X2094 X2090 X2081 X2043 X2012 X2009 X1997 X1984 X1927 X1892 X1866 X1849 X1841 X1832 X1793 X1790 X1775 X1751 X1745 X1737 X1735 X1728 X1714 X1700 X1646 X1632 X1622 X1618 X1588 X1585 X1556:X1557 X1513 X1511 X1508 X1491 X1471 X1466 X1451 X1439 X1429 X1408 X1389 X1381 X1363 X1326 X1322 X1312 X1284 X1237 X1227 X1224 X1211 X1205 X1199 X1165 X1159 X1154:X1155 X1143 X1139 X1136 X1134 X1116 X1094 X1087 X1084 X1081 X1076 X1072 X1054 X1051 X1041 X1025 X1011:X1012 X1004 X998 X987 X981:X982 X979 X968 X953 X942 X935 X931 X925 X905 X903 X894 X878 X860 X828 X826 X800 X775 X753 X750 X746 X742 X739 X733 X722 X588 X552 X537 X513 X442 X439 X415:X416 X403 X389 X375 X371 X361 X352 X340 X338 X326 X322:X323 X294 X291 X284 X263 X228:X229 X220 X208 X198 X165 X134 X105 X100 X94 X91 X71 X65 X57 X41 X34 X17" xr:uid="{00000000-0002-0000-0000-000006000000}">
      <formula1>3</formula1>
    </dataValidation>
    <dataValidation type="whole" operator="lessThanOrEqual" allowBlank="1" showErrorMessage="1" errorTitle="Неверно" error="Заказ не может быть больше Наличия" sqref="X14 X2581:X2583 X2554 X2522:X2523 X2508 X2498 X2363 X2247 X2240 X2229 X2210 X2180 X2156:X2157 X2132 X2122 X2117 X2114 X2106 X2092 X2087 X2084 X2077 X2073 X2039 X1982 X1960 X1935 X1851 X1840 X1825 X1791 X1732 X1718 X1708 X1612 X1600 X1569:X1570 X1555 X1515 X1507 X1486 X1473 X1462 X1436 X1434 X1419 X1414 X1412 X1410 X1379 X1359 X1356:X1357 X1341 X1328 X1310:X1311 X1293 X1283 X1223 X1207 X1196 X1162 X1157 X1145 X1117 X1106 X1082 X1052 X1037 X1029 X1026 X1024 X1003 X971 X966 X955 X934 X924 X904 X901 X839 X825 X823 X778 X772 X744 X728 X721 X702 X662 X618 X581 X565 X456 X406 X370 X358 X355 X346 X335 X330 X328 X318 X293 X261 X254 X240 X227 X217 X215 X210 X182 X178 X95 X93 X89 X76 X64 X60 X58 X50 X32" xr:uid="{00000000-0002-0000-0000-00000A000000}">
      <formula1>4</formula1>
    </dataValidation>
    <dataValidation type="whole" operator="lessThanOrEqual" allowBlank="1" showErrorMessage="1" errorTitle="Неверно" error="Заказ не может быть больше Наличия" sqref="X15 X2566 X2547 X2514 X2506 X2497 X2438 X2409 X2406 X2370 X2359 X2302 X2290 X2286 X2262 X2230 X2198 X2184 X2158 X2152 X2105 X2065 X2058 X1992 X1987:X1988 X1980 X1963 X1943 X1924 X1902 X1898 X1792 X1781 X1740 X1653 X1645 X1617 X1567:X1568 X1554 X1548 X1543 X1541 X1539 X1524 X1521 X1510 X1484 X1468 X1430 X1426 X1397 X1377 X1375 X1361 X1250 X1158 X1152 X1150 X1147:X1148 X1113:X1115 X1104 X1098 X1038 X989 X957 X938:X939 X936 X902 X822 X816 X812 X810 X808 X805 X785 X771 X756 X741 X705 X665 X651:X652 X649 X647 X645 X643 X639:X640 X637 X635 X633 X631 X626:X628 X624 X622 X620 X614:X615 X558 X521 X414 X377 X374 X344 X287 X271 X260 X258 X222 X201 X179 X164 X112 X103 X63 X36" xr:uid="{00000000-0002-0000-0000-00000B000000}">
      <formula1>6</formula1>
    </dataValidation>
    <dataValidation type="whole" operator="lessThanOrEqual" allowBlank="1" showErrorMessage="1" errorTitle="Неверно" error="Заказ не может быть больше Наличия" sqref="X16 X2591 X2504 X2488:X2489 X2441 X2328 X2289 X2231 X2161 X2118 X2041 X2035 X1779 X1712 X1654 X1652 X1531 X1528 X1523 X1313 X1273 X1164 X1019 X967 X908 X835 X798 X659 X285 X203" xr:uid="{00000000-0002-0000-0000-00000C000000}">
      <formula1>15</formula1>
    </dataValidation>
    <dataValidation type="whole" operator="lessThanOrEqual" allowBlank="1" showErrorMessage="1" errorTitle="Неверно" error="Заказ не может быть больше Наличия" sqref="X18 X2569 X2411 X2357 X2202 X2143 X2137 X2133 X2121 X1910 X1886 X1881 X1786 X1759 X1716 X1711 X1610 X1464 X1383 X1269 X1267 X1265 X1263 X1254 X1246:X1247 X1166:X1167 X1097 X1083 X1021 X922 X918 X827 X802 X791 X786 X719 X418 X393 X345 X248 X244 X238:X239 X168 X157 X90 X86 X81" xr:uid="{00000000-0002-0000-0000-00000E000000}">
      <formula1>9</formula1>
    </dataValidation>
    <dataValidation type="whole" operator="lessThanOrEqual" allowBlank="1" showErrorMessage="1" errorTitle="Неверно" error="Заказ не может быть больше Наличия" sqref="X73 X2625 X2515 X2502:X2503 X2475 X2457 X2344 X2275 X2272 X2255 X2251:X2252 X2248 X2232 X2225 X2204 X2201 X2151 X2053:X2054 X2036 X2032 X2028 X2000 X1998 X1930 X1904 X1899:X1900 X1804 X1760:X1761 X1724 X1651 X1564:X1565 X1532 X1522 X1483 X1425 X1371 X1366:X1367 X1309 X1270 X1249 X1193 X1163 X1108 X995 X978 X887 X849 X837 X819 X817 X424 X417 X353 X209 X196 X125 X120:X121 X75" xr:uid="{00000000-0002-0000-0000-000045000000}">
      <formula1>10</formula1>
    </dataValidation>
    <dataValidation type="whole" operator="lessThanOrEqual" allowBlank="1" showErrorMessage="1" errorTitle="Неверно" error="Заказ не может быть больше Наличия" sqref="X77 X2320 X2314 X2312 X2050:X2051 X1931 X1909 X1883 X1806 X1780 X1691 X1552 X1440 X1257 X999 X991 X859 X834 X818 X297 X115 X87" xr:uid="{00000000-0002-0000-0000-000049000000}">
      <formula1>17</formula1>
    </dataValidation>
    <dataValidation type="whole" operator="lessThanOrEqual" allowBlank="1" showErrorMessage="1" errorTitle="Неверно" error="Заказ не может быть больше Наличия" sqref="X78 X2623 X2586 X2548 X2507 X2487 X2458 X2403 X2393 X2356 X2329 X2298 X2266 X2148 X2120 X2111 X2045 X2029 X2023 X2013 X2010 X1996 X1970 X1925:X1926 X1905 X1901 X1887 X1854 X1782 X1778 X1663 X1661 X1659 X1657 X1614 X1560 X1526 X1475 X1441 X1415 X1405 X1398 X1385 X1376 X1364 X1360 X1339 X1303 X1272 X1243:X1244 X1095 X1017 X980 X927 X921 X898 X851:X852 X844 X842 X824 X755 X729 X522 X472 X427 X251 X234 X204 X113" xr:uid="{00000000-0002-0000-0000-00004A000000}">
      <formula1>7</formula1>
    </dataValidation>
    <dataValidation type="whole" operator="lessThanOrEqual" allowBlank="1" showErrorMessage="1" errorTitle="Неверно" error="Заказ не может быть больше Наличия" sqref="X79 X2355 X2319 X2313 X2300:X2301 X2108 X2060 X2049 X1816 X1545 X1178 X1176 X156" xr:uid="{00000000-0002-0000-0000-00004B000000}">
      <formula1>24</formula1>
    </dataValidation>
    <dataValidation type="whole" operator="lessThanOrEqual" allowBlank="1" showErrorMessage="1" errorTitle="Неверно" error="Заказ не может быть больше Наличия" sqref="X88 X2621 X2361 X2299 X2293 X2119 X2026 X2021 X1991 X1575 X1562 X1550 X1544 X1540 X1525 X1474 X1448 X1274 X1253 X1251 X1174 X1105 X1101 X1089:X1091 X983 X916 X890 X856 X843 X646 X634 X621 X221 X176 X124 X122 X114" xr:uid="{00000000-0002-0000-0000-000054000000}">
      <formula1>16</formula1>
    </dataValidation>
    <dataValidation type="whole" operator="lessThanOrEqual" allowBlank="1" showErrorMessage="1" errorTitle="Неверно" error="Заказ не может быть больше Наличия" sqref="X2624 X2429 X2410 X2330 X2326 X2322 X2317 X2315 X2311 X2295 X2267 X2222 X2197 X2141 X2047 X2042 X2033 X2014 X1907 X1903 X1891 X1885 X1843 X1798 X1773 X1769:X1770 X1766 X1649 X1561 X1469 X1401 X1380 X1365 X1362 X1304 X1268 X1259 X1256 X1252 X1168 X1109 X1018 X990 X928 X906 X847 X845 X757 X675 X667 X654 X425 X286 X269:X270 X231 X214 X126 X97:X99" xr:uid="{00000000-0002-0000-0000-00005D000000}">
      <formula1>11</formula1>
    </dataValidation>
    <dataValidation type="whole" operator="lessThanOrEqual" allowBlank="1" showErrorMessage="1" errorTitle="Неверно" error="Заказ не может быть больше Наличия" sqref="X101 X2568 X2509 X2401:X2402 X2397 X2372 X2360 X2352:X2353 X2265 X2227 X2113 X2075 X2044 X2027 X2022 X1956:X1958 X1936 X1844 X1809:X1810 X1796 X1789 X1783 X1736 X1696 X1694 X1692 X1688 X1686 X1613 X1574 X1566 X1520 X1514 X1512 X1485 X1482 X1449:X1450 X1445 X1424 X1369 X1340 X1236 X1191 X1181 X1170 X1005 X986 X984 X926 X900 X891 X889 X840 X821 X801 X794 X764 X761 X759 X718 X703 X672 X616 X587 X419:X422 X411:X412 X295 X256 X236 X197 X193" xr:uid="{00000000-0002-0000-0000-000061000000}">
      <formula1>8</formula1>
    </dataValidation>
    <dataValidation type="whole" operator="lessThanOrEqual" allowBlank="1" showErrorMessage="1" errorTitle="Неверно" error="Заказ не может быть больше Наличия" sqref="X116 X2518 X2500:X2501 X2440 X2427 X2351 X2307 X2304 X2292 X2288 X2273:X2274 X2253:X2254 X2249:X2250 X2099 X2059 X2037:X2038 X1994 X1915 X1821 X1787 X1764:X1765 X1757:X1758 X1743:X1744 X1723 X1689 X1470 X1465 X1437 X1368 X1278 X1276 X913 X885 X811 X793 X644 X632 X619" xr:uid="{00000000-0002-0000-0000-000070000000}">
      <formula1>20</formula1>
    </dataValidation>
    <dataValidation type="whole" operator="lessThanOrEqual" allowBlank="1" showErrorMessage="1" errorTitle="Неверно" error="Заказ не может быть больше Наличия" sqref="X2517 X2476 X2473 X2439 X2345 X2310 X2306 X2303 X2291 X2287 X2142 X2061 X2018 X1995 X1993 X1989 X1962 X1921 X1819 X1784 X1763 X1756 X1695 X1690 X1685 X1563 X1536 X1479 X1338 X1264 X1180 X1173 X1110 X1093 X1031 X994 X992 X864 X836 X820 X815 X799 X641 X629 X388 X142 X117:X119" xr:uid="{00000000-0002-0000-0000-000071000000}">
      <formula1>12</formula1>
    </dataValidation>
    <dataValidation type="whole" operator="lessThanOrEqual" allowBlank="1" showErrorMessage="1" errorTitle="Неверно" error="Заказ не может быть больше Наличия" sqref="X123 X2595 X2155 X1826 X1771 X1767 X1553 X988 X245" xr:uid="{00000000-0002-0000-0000-000077000000}">
      <formula1>25</formula1>
    </dataValidation>
    <dataValidation type="whole" operator="lessThanOrEqual" allowBlank="1" showErrorMessage="1" errorTitle="Неверно" error="Заказ не может быть больше Наличия" sqref="X143" xr:uid="{00000000-0002-0000-0000-00008B000000}">
      <formula1>226</formula1>
    </dataValidation>
    <dataValidation type="whole" operator="lessThanOrEqual" allowBlank="1" showErrorMessage="1" errorTitle="Неверно" error="Заказ не может быть больше Наличия" sqref="X144" xr:uid="{00000000-0002-0000-0000-00008C000000}">
      <formula1>50</formula1>
    </dataValidation>
    <dataValidation type="whole" operator="lessThanOrEqual" allowBlank="1" showErrorMessage="1" errorTitle="Неверно" error="Заказ не может быть больше Наличия" sqref="X145" xr:uid="{00000000-0002-0000-0000-00008D000000}">
      <formula1>167</formula1>
    </dataValidation>
    <dataValidation type="whole" operator="lessThanOrEqual" allowBlank="1" showErrorMessage="1" errorTitle="Неверно" error="Заказ не может быть больше Наличия" sqref="X146" xr:uid="{00000000-0002-0000-0000-00008E000000}">
      <formula1>621</formula1>
    </dataValidation>
    <dataValidation type="whole" operator="lessThanOrEqual" allowBlank="1" showErrorMessage="1" errorTitle="Неверно" error="Заказ не может быть больше Наличия" sqref="X147" xr:uid="{00000000-0002-0000-0000-00008F000000}">
      <formula1>596</formula1>
    </dataValidation>
    <dataValidation type="whole" operator="lessThanOrEqual" allowBlank="1" showErrorMessage="1" errorTitle="Неверно" error="Заказ не может быть больше Наличия" sqref="X149" xr:uid="{00000000-0002-0000-0000-000091000000}">
      <formula1>47</formula1>
    </dataValidation>
    <dataValidation type="whole" operator="lessThanOrEqual" allowBlank="1" showErrorMessage="1" errorTitle="Неверно" error="Заказ не может быть больше Наличия" sqref="X150" xr:uid="{00000000-0002-0000-0000-000092000000}">
      <formula1>141</formula1>
    </dataValidation>
    <dataValidation type="whole" operator="lessThanOrEqual" allowBlank="1" showErrorMessage="1" errorTitle="Неверно" error="Заказ не может быть больше Наличия" sqref="X151" xr:uid="{00000000-0002-0000-0000-000093000000}">
      <formula1>79</formula1>
    </dataValidation>
    <dataValidation type="whole" operator="lessThanOrEqual" allowBlank="1" showErrorMessage="1" errorTitle="Неверно" error="Заказ не может быть больше Наличия" sqref="X152" xr:uid="{00000000-0002-0000-0000-000094000000}">
      <formula1>90</formula1>
    </dataValidation>
    <dataValidation type="whole" operator="lessThanOrEqual" allowBlank="1" showErrorMessage="1" errorTitle="Неверно" error="Заказ не может быть больше Наличия" sqref="X153" xr:uid="{00000000-0002-0000-0000-000095000000}">
      <formula1>215</formula1>
    </dataValidation>
    <dataValidation type="whole" operator="lessThanOrEqual" allowBlank="1" showErrorMessage="1" errorTitle="Неверно" error="Заказ не может быть больше Наличия" sqref="X154" xr:uid="{00000000-0002-0000-0000-000096000000}">
      <formula1>126</formula1>
    </dataValidation>
    <dataValidation type="whole" operator="lessThanOrEqual" allowBlank="1" showErrorMessage="1" errorTitle="Неверно" error="Заказ не может быть больше Наличия" sqref="X155" xr:uid="{00000000-0002-0000-0000-000097000000}">
      <formula1>189</formula1>
    </dataValidation>
    <dataValidation type="whole" operator="lessThanOrEqual" allowBlank="1" showErrorMessage="1" errorTitle="Неверно" error="Заказ не может быть больше Наличия" sqref="X158 X2478 X2107 X1908 X1577 X1177 X1014 X985" xr:uid="{00000000-0002-0000-0000-00009A000000}">
      <formula1>28</formula1>
    </dataValidation>
    <dataValidation type="whole" operator="lessThanOrEqual" allowBlank="1" showErrorMessage="1" errorTitle="Неверно" error="Заказ не может быть больше Наличия" sqref="X159" xr:uid="{00000000-0002-0000-0000-00009B000000}">
      <formula1>182</formula1>
    </dataValidation>
    <dataValidation type="whole" operator="lessThanOrEqual" allowBlank="1" showErrorMessage="1" errorTitle="Неверно" error="Заказ не может быть больше Наличия" sqref="X160" xr:uid="{00000000-0002-0000-0000-00009C000000}">
      <formula1>123</formula1>
    </dataValidation>
    <dataValidation type="whole" operator="lessThanOrEqual" allowBlank="1" showErrorMessage="1" errorTitle="Неверно" error="Заказ не может быть больше Наличия" sqref="X161" xr:uid="{00000000-0002-0000-0000-00009D000000}">
      <formula1>45</formula1>
    </dataValidation>
    <dataValidation type="whole" operator="lessThanOrEqual" allowBlank="1" showErrorMessage="1" errorTitle="Неверно" error="Заказ не может быть больше Наличия" sqref="X162 X2622 X2451 X2325 X2223 X2040 X2017 X1983 X1829 X1805 X1733 X1662 X1658 X1472 X1459 X1402 X1354:X1355 X1342 X1306 X1299 X1179 X1149 X997 X956 X907 X841 X803 X796 X674 X668 X663 X661 X655 X243 X216 X202" xr:uid="{00000000-0002-0000-0000-00009E000000}">
      <formula1>13</formula1>
    </dataValidation>
    <dataValidation type="whole" operator="lessThanOrEqual" allowBlank="1" showErrorMessage="1" errorTitle="Неверно" error="Заказ не может быть больше Наличия" sqref="X163 X2600 X2598 X2350 X1848 X1742 X1730 X1647 X1382 X1351 X1332 X194" xr:uid="{00000000-0002-0000-0000-00009F000000}">
      <formula1>21</formula1>
    </dataValidation>
    <dataValidation type="whole" operator="lessThanOrEqual" allowBlank="1" showErrorMessage="1" errorTitle="Неверно" error="Заказ не может быть больше Наличия" sqref="X166 X2605 X2386 X2154 X1823 X1818" xr:uid="{00000000-0002-0000-0000-0000A2000000}">
      <formula1>37</formula1>
    </dataValidation>
    <dataValidation type="whole" operator="lessThanOrEqual" allowBlank="1" showErrorMessage="1" errorTitle="Неверно" error="Заказ не может быть больше Наличия" sqref="X167" xr:uid="{00000000-0002-0000-0000-0000A3000000}">
      <formula1>42</formula1>
    </dataValidation>
    <dataValidation type="whole" operator="lessThanOrEqual" allowBlank="1" showErrorMessage="1" errorTitle="Неверно" error="Заказ не может быть больше Наличия" sqref="X171" xr:uid="{00000000-0002-0000-0000-0000A7000000}">
      <formula1>99</formula1>
    </dataValidation>
    <dataValidation type="whole" operator="lessThanOrEqual" allowBlank="1" showErrorMessage="1" errorTitle="Неверно" error="Заказ не может быть больше Наличия" sqref="X172 X1817 X1741 X181" xr:uid="{00000000-0002-0000-0000-0000A8000000}">
      <formula1>67</formula1>
    </dataValidation>
    <dataValidation type="whole" operator="lessThanOrEqual" allowBlank="1" showErrorMessage="1" errorTitle="Неверно" error="Заказ не может быть больше Наличия" sqref="X174" xr:uid="{00000000-0002-0000-0000-0000AA000000}">
      <formula1>136</formula1>
    </dataValidation>
    <dataValidation type="whole" operator="lessThanOrEqual" allowBlank="1" showErrorMessage="1" errorTitle="Неверно" error="Заказ не может быть больше Наличия" sqref="X175" xr:uid="{00000000-0002-0000-0000-0000AB000000}">
      <formula1>65</formula1>
    </dataValidation>
    <dataValidation type="whole" operator="lessThanOrEqual" allowBlank="1" showErrorMessage="1" errorTitle="Неверно" error="Заказ не может быть больше Наличия" sqref="X177" xr:uid="{00000000-0002-0000-0000-0000AD000000}">
      <formula1>72</formula1>
    </dataValidation>
    <dataValidation type="whole" operator="lessThanOrEqual" allowBlank="1" showErrorMessage="1" errorTitle="Неверно" error="Заказ не может быть больше Наличия" sqref="X180" xr:uid="{00000000-0002-0000-0000-0000B0000000}">
      <formula1>63</formula1>
    </dataValidation>
    <dataValidation type="whole" operator="lessThanOrEqual" allowBlank="1" showErrorMessage="1" errorTitle="Неверно" error="Заказ не может быть больше Наличия" sqref="X184" xr:uid="{00000000-0002-0000-0000-0000B4000000}">
      <formula1>56</formula1>
    </dataValidation>
    <dataValidation type="whole" operator="lessThanOrEqual" allowBlank="1" showErrorMessage="1" errorTitle="Неверно" error="Заказ не может быть больше Наличия" sqref="X192 X2597 X2594 X2592 X2519 X2308 X2025 X1416 X1006 X886 X762" xr:uid="{00000000-0002-0000-0000-0000BC000000}">
      <formula1>26</formula1>
    </dataValidation>
    <dataValidation type="whole" operator="lessThanOrEqual" allowBlank="1" showErrorMessage="1" errorTitle="Неверно" error="Заказ не может быть больше Наличия" sqref="X200 X2324 X1852 X1788 X1352:X1353 X1307 X795 X224" xr:uid="{00000000-0002-0000-0000-0000C4000000}">
      <formula1>23</formula1>
    </dataValidation>
    <dataValidation type="whole" operator="lessThanOrEqual" allowBlank="1" showErrorMessage="1" errorTitle="Неверно" error="Заказ не может быть больше Наличия" sqref="X219 X2456 X2149 X1660 X1421 X1413" xr:uid="{00000000-0002-0000-0000-0000D7000000}">
      <formula1>34</formula1>
    </dataValidation>
    <dataValidation type="whole" operator="lessThanOrEqual" allowBlank="1" showErrorMessage="1" errorTitle="Неверно" error="Заказ не может быть больше Наличия" sqref="X223 X2484 X2446 X2426 X2362 X2354 X2297 X1824 X1687 X1537:X1538 X1467 X1409 X1399 X1305 X1300 X1279 X1258 X1255 X1153 X1107 X1030 X1009 X892 X884 X813 X809 X717 X670 X650 X648 X642 X638 X636 X630 X625 X623 X617 X268" xr:uid="{00000000-0002-0000-0000-0000DB000000}">
      <formula1>14</formula1>
    </dataValidation>
    <dataValidation type="whole" operator="lessThanOrEqual" allowBlank="1" showErrorMessage="1" errorTitle="Неверно" error="Заказ не может быть больше Наличия" sqref="X246 X2606 X2477 X2305 X1643 X1578 X1418 X1370 X833 X760" xr:uid="{00000000-0002-0000-0000-0000F2000000}">
      <formula1>22</formula1>
    </dataValidation>
    <dataValidation type="whole" operator="lessThanOrEqual" allowBlank="1" showErrorMessage="1" errorTitle="Неверно" error="Заказ не может быть больше Наличия" sqref="X657 X2428 X2323 X2296 X2203 X2048 X2034 X2030:X2031 X1717 X1384 X1151 X1103 X923 X915" xr:uid="{00000000-0002-0000-0000-00008D020000}">
      <formula1>19</formula1>
    </dataValidation>
    <dataValidation type="whole" operator="lessThanOrEqual" allowBlank="1" showErrorMessage="1" errorTitle="Неверно" error="Заказ не может быть больше Наличия" sqref="X758 X2520 X2479 X2366 X2327 X2318 X2309 X2150 X2079 X2055 X2052 X1999 X1990 X1693 X1580 X1576 X1542 X1435 X1378 X1275 X1175 X1102 X1000 X929 X912 X899 X888 X831:X832" xr:uid="{00000000-0002-0000-0000-0000F2020000}">
      <formula1>18</formula1>
    </dataValidation>
    <dataValidation type="whole" operator="lessThanOrEqual" allowBlank="1" showErrorMessage="1" errorTitle="Неверно" error="Заказ не может быть больше Наличия" sqref="X763 X2593 X2024 X2019:X2020 X1722 X914 X765" xr:uid="{00000000-0002-0000-0000-0000F7020000}">
      <formula1>30</formula1>
    </dataValidation>
    <dataValidation type="whole" operator="lessThanOrEqual" allowBlank="1" showErrorMessage="1" errorTitle="Неверно" error="Заказ не может быть больше Наличия" sqref="X863 X1772 X1656 X1549" xr:uid="{00000000-0002-0000-0000-00005B030000}">
      <formula1>32</formula1>
    </dataValidation>
    <dataValidation type="whole" operator="lessThanOrEqual" allowBlank="1" showErrorMessage="1" errorTitle="Неверно" error="Заказ не может быть больше Наличия" sqref="X1333 X1882" xr:uid="{00000000-0002-0000-0000-000031050000}">
      <formula1>39</formula1>
    </dataValidation>
    <dataValidation type="whole" operator="lessThanOrEqual" allowBlank="1" showErrorMessage="1" errorTitle="Неверно" error="Заказ не может быть больше Наличия" sqref="X1336 X1828 X1551 X1547" xr:uid="{00000000-0002-0000-0000-000034050000}">
      <formula1>35</formula1>
    </dataValidation>
    <dataValidation type="whole" operator="lessThanOrEqual" allowBlank="1" showErrorMessage="1" errorTitle="Неверно" error="Заказ не может быть больше Наличия" sqref="X1411 X2447 X2348 X2015:X2016" xr:uid="{00000000-0002-0000-0000-00007F050000}">
      <formula1>29</formula1>
    </dataValidation>
    <dataValidation type="whole" operator="lessThanOrEqual" allowBlank="1" showErrorMessage="1" errorTitle="Неверно" error="Заказ не может быть больше Наличия" sqref="X1443 X2601 X2596 X1880" xr:uid="{00000000-0002-0000-0000-00009F050000}">
      <formula1>31</formula1>
    </dataValidation>
    <dataValidation type="whole" operator="lessThanOrEqual" allowBlank="1" showErrorMessage="1" errorTitle="Неверно" error="Заказ не может быть больше Наличия" sqref="X1546 X2602 X1884 X1768" xr:uid="{00000000-0002-0000-0000-000006060000}">
      <formula1>33</formula1>
    </dataValidation>
    <dataValidation type="whole" operator="lessThanOrEqual" allowBlank="1" showErrorMessage="1" errorTitle="Неверно" error="Заказ не может быть больше Наличия" sqref="X1719 X2147" xr:uid="{00000000-0002-0000-0000-0000B3060000}">
      <formula1>48</formula1>
    </dataValidation>
    <dataValidation type="whole" operator="lessThanOrEqual" allowBlank="1" showErrorMessage="1" errorTitle="Неверно" error="Заказ не может быть больше Наличия" sqref="X1720" xr:uid="{00000000-0002-0000-0000-0000B4060000}">
      <formula1>85</formula1>
    </dataValidation>
    <dataValidation type="whole" operator="lessThanOrEqual" allowBlank="1" showErrorMessage="1" errorTitle="Неверно" error="Заказ не может быть больше Наличия" sqref="X1721" xr:uid="{00000000-0002-0000-0000-0000B5060000}">
      <formula1>84</formula1>
    </dataValidation>
    <dataValidation type="whole" operator="lessThanOrEqual" allowBlank="1" showErrorMessage="1" errorTitle="Неверно" error="Заказ не может быть больше Наличия" sqref="X1822" xr:uid="{00000000-0002-0000-0000-00001A070000}">
      <formula1>64</formula1>
    </dataValidation>
    <dataValidation type="whole" operator="lessThanOrEqual" allowBlank="1" showErrorMessage="1" errorTitle="Неверно" error="Заказ не может быть больше Наличия" sqref="X1827" xr:uid="{00000000-0002-0000-0000-00001F070000}">
      <formula1>66</formula1>
    </dataValidation>
    <dataValidation type="whole" operator="lessThanOrEqual" allowBlank="1" showErrorMessage="1" errorTitle="Неверно" error="Заказ не может быть больше Наличия" sqref="X1845" xr:uid="{00000000-0002-0000-0000-000031070000}">
      <formula1>38</formula1>
    </dataValidation>
    <dataValidation type="whole" operator="lessThanOrEqual" allowBlank="1" showErrorMessage="1" errorTitle="Неверно" error="Заказ не может быть больше Наличия" sqref="X1919 X2603" xr:uid="{00000000-0002-0000-0000-00007B070000}">
      <formula1>27</formula1>
    </dataValidation>
    <dataValidation type="whole" operator="lessThanOrEqual" allowBlank="1" showErrorMessage="1" errorTitle="Неверно" error="Заказ не может быть больше Наличия" sqref="X1920" xr:uid="{00000000-0002-0000-0000-00007C070000}">
      <formula1>55</formula1>
    </dataValidation>
    <dataValidation type="whole" operator="lessThanOrEqual" allowBlank="1" showErrorMessage="1" errorTitle="Неверно" error="Заказ не может быть больше Наличия" sqref="X2388 X2604" xr:uid="{00000000-0002-0000-0000-000050090000}">
      <formula1>40</formula1>
    </dataValidation>
    <dataValidation type="whole" operator="lessThanOrEqual" allowBlank="1" showErrorMessage="1" errorTitle="Неверно" error="Заказ не может быть больше Наличия" sqref="X2528" xr:uid="{00000000-0002-0000-0000-0000DC090000}">
      <formula1>229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4" customWidth="1"/>
    <col min="2" max="3" width="31.75" style="44" customWidth="1"/>
    <col min="4" max="4" width="2.75" style="44" customWidth="1"/>
    <col min="5" max="5" width="35.75" style="45" customWidth="1"/>
    <col min="6" max="7" width="22.75" style="47" customWidth="1"/>
    <col min="8" max="8" width="2.75" style="45" customWidth="1"/>
    <col min="9" max="9" width="38.75" style="45" customWidth="1"/>
    <col min="10" max="11" width="16.75" style="47" customWidth="1"/>
    <col min="12" max="16384" width="9.1640625" style="44"/>
  </cols>
  <sheetData>
    <row r="1" spans="2:11" x14ac:dyDescent="0.45">
      <c r="E1" s="50" t="s">
        <v>2557</v>
      </c>
      <c r="F1" s="46"/>
      <c r="G1" s="51"/>
    </row>
    <row r="2" spans="2:11" x14ac:dyDescent="0.45">
      <c r="E2" s="48" t="s">
        <v>2558</v>
      </c>
      <c r="F2" s="52">
        <f>SUMPRODUCT(TDSheet!$Q$4:$Q$1048572,TDSheet!$X$4:$X$1048572)</f>
        <v>0</v>
      </c>
      <c r="G2" s="52"/>
      <c r="H2" s="53"/>
      <c r="I2" s="53"/>
      <c r="J2" s="54"/>
      <c r="K2" s="54"/>
    </row>
    <row r="3" spans="2:11" x14ac:dyDescent="0.45">
      <c r="B3" s="67"/>
      <c r="C3" s="67"/>
      <c r="E3" s="48" t="s">
        <v>2559</v>
      </c>
      <c r="F3" s="52" t="e">
        <f>SUMPRODUCT(TDSheet!#REF!,TDSheet!$X$4:$X$1048571)</f>
        <v>#REF!</v>
      </c>
      <c r="G3" s="52"/>
      <c r="H3" s="53"/>
      <c r="I3" s="53"/>
      <c r="J3" s="54"/>
      <c r="K3" s="54"/>
    </row>
    <row r="4" spans="2:11" x14ac:dyDescent="0.45">
      <c r="B4" s="65" t="s">
        <v>2556</v>
      </c>
      <c r="C4" s="66"/>
      <c r="E4" s="49" t="s">
        <v>2560</v>
      </c>
      <c r="F4" s="55" t="s">
        <v>2564</v>
      </c>
      <c r="G4" s="55" t="s">
        <v>2565</v>
      </c>
      <c r="H4" s="53"/>
      <c r="I4" s="55" t="s">
        <v>2566</v>
      </c>
      <c r="J4" s="55" t="s">
        <v>2568</v>
      </c>
      <c r="K4" s="55" t="s">
        <v>2565</v>
      </c>
    </row>
    <row r="5" spans="2:11" x14ac:dyDescent="0.45">
      <c r="B5" s="66"/>
      <c r="C5" s="66"/>
      <c r="E5" s="48" t="s">
        <v>1330</v>
      </c>
      <c r="F5" s="52" t="e">
        <f>SUMPRODUCT(- -(TDSheet!$H$4:$H$1048569="Обувь"),TDSheet!#REF!,TDSheet!$X$4:$X$1048569)</f>
        <v>#REF!</v>
      </c>
      <c r="G5" s="52">
        <f>SUMIF(TDSheet!$H$4:$H$1048569,"Обувь",TDSheet!$X$4:$X$1048569)</f>
        <v>0</v>
      </c>
      <c r="H5" s="53"/>
      <c r="I5" s="56" t="s">
        <v>57</v>
      </c>
      <c r="J5" s="52" t="e">
        <f>SUMPRODUCT(- -(TDSheet!$K$4:$K$1048569="Мужчины"),TDSheet!#REF!,TDSheet!$X$4:$X$1048569)</f>
        <v>#REF!</v>
      </c>
      <c r="K5" s="52">
        <f>SUMIF(TDSheet!$K$4:$K$1048569,"Мужчины",TDSheet!$X$4:$X$1048569)</f>
        <v>0</v>
      </c>
    </row>
    <row r="6" spans="2:11" x14ac:dyDescent="0.45">
      <c r="B6" s="66"/>
      <c r="C6" s="66"/>
      <c r="E6" s="48" t="s">
        <v>27</v>
      </c>
      <c r="F6" s="52" t="e">
        <f>SUMPRODUCT(- -(TDSheet!$H$4:$H$1048569="Одежда"),TDSheet!#REF!,TDSheet!$X$4:$X$1048569)</f>
        <v>#REF!</v>
      </c>
      <c r="G6" s="52">
        <f>SUMIF(TDSheet!$H$4:$H$1048569,"Одежда",TDSheet!$X$4:$X$1048569)</f>
        <v>0</v>
      </c>
      <c r="H6" s="53"/>
      <c r="I6" s="56" t="s">
        <v>29</v>
      </c>
      <c r="J6" s="52" t="e">
        <f>SUMPRODUCT(- -(TDSheet!$K$4:$K$1048569="Женщины"),TDSheet!#REF!,TDSheet!$X$4:$X$1048569)</f>
        <v>#REF!</v>
      </c>
      <c r="K6" s="52">
        <f>SUMIF(TDSheet!$K$4:$K$1048569,"Женщины",TDSheet!$X$4:$X$1048569)</f>
        <v>0</v>
      </c>
    </row>
    <row r="7" spans="2:11" x14ac:dyDescent="0.45">
      <c r="B7" s="66"/>
      <c r="C7" s="66"/>
      <c r="E7" s="48" t="s">
        <v>1338</v>
      </c>
      <c r="F7" s="52" t="e">
        <f>SUMPRODUCT(- -(TDSheet!$H$4:$H$1048569="Аксессуары"),TDSheet!#REF!,TDSheet!$X$4:$X$1048569)</f>
        <v>#REF!</v>
      </c>
      <c r="G7" s="52">
        <f>SUMIF(TDSheet!$H$4:$H$1048569,"Аксессуары",TDSheet!$X$4:$X$1048569)</f>
        <v>0</v>
      </c>
      <c r="H7" s="53"/>
      <c r="I7" s="56" t="s">
        <v>2567</v>
      </c>
      <c r="J7" s="52" t="e">
        <f>SUMPRODUCT(- -(TDSheet!$K$4:$K$1048569="Дети"),TDSheet!#REF!,TDSheet!$X$4:$X$1048569)</f>
        <v>#REF!</v>
      </c>
      <c r="K7" s="52">
        <f>SUMIF(TDSheet!$K$4:$K$1048569,"Дети",TDSheet!$X$4:$X$1048569)</f>
        <v>0</v>
      </c>
    </row>
    <row r="8" spans="2:11" x14ac:dyDescent="0.45">
      <c r="B8" s="66"/>
      <c r="C8" s="66"/>
      <c r="E8" s="48" t="s">
        <v>2561</v>
      </c>
      <c r="F8" s="52" t="e">
        <f>SUMPRODUCT(- -(TDSheet!$H$4:$H$1048569="Спорт. Инвентарь"),TDSheet!#REF!,TDSheet!$X$4:$X$1048569)</f>
        <v>#REF!</v>
      </c>
      <c r="G8" s="52">
        <f>SUMIF(TDSheet!$H$4:$H$1048569,"Спорт. Инвентарь",TDSheet!$X$4:$X$1048569)</f>
        <v>0</v>
      </c>
      <c r="H8" s="53"/>
      <c r="I8" s="56" t="s">
        <v>1540</v>
      </c>
      <c r="J8" s="52" t="e">
        <f>SUMPRODUCT(- -(TDSheet!$K$4:$K$1048569="Унисекс"),TDSheet!#REF!,TDSheet!$X$4:$X$1048569)</f>
        <v>#REF!</v>
      </c>
      <c r="K8" s="52">
        <f>SUMIF(TDSheet!$K$4:$K$1048569,"Унисекс",TDSheet!$X$4:$X$1048569)</f>
        <v>0</v>
      </c>
    </row>
    <row r="9" spans="2:11" x14ac:dyDescent="0.45">
      <c r="B9" s="66"/>
      <c r="C9" s="66"/>
      <c r="E9" s="48" t="s">
        <v>2562</v>
      </c>
      <c r="F9" s="52" t="e">
        <f>SUMPRODUCT(- -(TDSheet!$H$4:$H$1048569="Сумки и рюкзаки"),TDSheet!#REF!,TDSheet!$X$4:$X$1048569)</f>
        <v>#REF!</v>
      </c>
      <c r="G9" s="52">
        <f>SUMIF(TDSheet!$H$4:$H$1048569,"Сумки и рюкзаки",TDSheet!$X$4:$X$1048569)</f>
        <v>0</v>
      </c>
      <c r="H9" s="53"/>
      <c r="I9" s="53"/>
      <c r="J9" s="54"/>
      <c r="K9" s="54"/>
    </row>
    <row r="10" spans="2:11" x14ac:dyDescent="0.45">
      <c r="B10" s="66"/>
      <c r="C10" s="66"/>
      <c r="E10" s="48" t="s">
        <v>2563</v>
      </c>
      <c r="F10" s="52" t="e">
        <f>SUM(F5:F9)</f>
        <v>#REF!</v>
      </c>
      <c r="G10" s="52">
        <f>SUM(G5:G9)</f>
        <v>0</v>
      </c>
      <c r="H10" s="53"/>
      <c r="I10" s="53"/>
      <c r="J10" s="54"/>
      <c r="K10" s="54"/>
    </row>
    <row r="11" spans="2:11" x14ac:dyDescent="0.45">
      <c r="B11" s="66"/>
      <c r="C11" s="66"/>
    </row>
    <row r="12" spans="2:11" x14ac:dyDescent="0.45">
      <c r="B12" s="66"/>
      <c r="C12" s="66"/>
    </row>
    <row r="13" spans="2:11" x14ac:dyDescent="0.45">
      <c r="B13" s="66"/>
      <c r="C13" s="66"/>
    </row>
    <row r="14" spans="2:11" x14ac:dyDescent="0.45">
      <c r="B14" s="66"/>
      <c r="C14" s="66"/>
    </row>
    <row r="15" spans="2:11" x14ac:dyDescent="0.45">
      <c r="B15" s="66"/>
      <c r="C15" s="66"/>
    </row>
    <row r="16" spans="2:11" x14ac:dyDescent="0.45">
      <c r="B16" s="67"/>
      <c r="C16" s="67"/>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2026-10-09T09:20:05Z</dcterms:created>
  <dcterms:modified xsi:type="dcterms:W3CDTF">2026-10-09T14:49:15Z</dcterms:modified>
</cp:coreProperties>
</file>